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10704\Desktop\"/>
    </mc:Choice>
  </mc:AlternateContent>
  <xr:revisionPtr revIDLastSave="0" documentId="8_{350292B2-CAB1-463B-A8C3-ECC928D3220C}" xr6:coauthVersionLast="47" xr6:coauthVersionMax="47" xr10:uidLastSave="{00000000-0000-0000-0000-000000000000}"/>
  <bookViews>
    <workbookView xWindow="-120" yWindow="-120" windowWidth="29040" windowHeight="15720" xr2:uid="{CB734DFB-27DC-49E6-B63A-1BCF00222543}"/>
  </bookViews>
  <sheets>
    <sheet name="savedrec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2" i="1" l="1"/>
  <c r="BT2" i="1"/>
  <c r="BF3" i="1"/>
  <c r="BT3" i="1"/>
  <c r="BF4" i="1"/>
  <c r="BT4" i="1"/>
  <c r="BF5" i="1"/>
  <c r="BT5" i="1"/>
  <c r="BF6" i="1"/>
  <c r="BT6" i="1"/>
  <c r="BF7" i="1"/>
  <c r="BT7" i="1"/>
  <c r="BF8" i="1"/>
  <c r="BT8" i="1"/>
  <c r="BF9" i="1"/>
  <c r="BT9" i="1"/>
  <c r="BF10" i="1"/>
  <c r="BT10" i="1"/>
  <c r="BF11" i="1"/>
  <c r="BT11" i="1"/>
  <c r="BF12" i="1"/>
  <c r="BT12" i="1"/>
  <c r="BF13" i="1"/>
  <c r="BT13" i="1"/>
  <c r="BF14" i="1"/>
  <c r="BT14" i="1"/>
  <c r="BF15" i="1"/>
  <c r="BT15" i="1"/>
  <c r="BF16" i="1"/>
  <c r="BT16" i="1"/>
  <c r="BF17" i="1"/>
  <c r="BT17" i="1"/>
  <c r="BF18" i="1"/>
  <c r="BT18" i="1"/>
  <c r="BF19" i="1"/>
  <c r="BT19" i="1"/>
  <c r="BF20" i="1"/>
  <c r="BT20" i="1"/>
  <c r="BF21" i="1"/>
  <c r="BT21" i="1"/>
  <c r="BF22" i="1"/>
  <c r="BT22" i="1"/>
  <c r="BF23" i="1"/>
  <c r="BT23" i="1"/>
  <c r="BF24" i="1"/>
  <c r="BT24" i="1"/>
  <c r="BF25" i="1"/>
  <c r="BT25" i="1"/>
  <c r="BF26" i="1"/>
  <c r="BT26" i="1"/>
  <c r="BF27" i="1"/>
  <c r="BT27" i="1"/>
  <c r="BF28" i="1"/>
  <c r="BT28" i="1"/>
  <c r="BF29" i="1"/>
  <c r="BT29" i="1"/>
  <c r="BF30" i="1"/>
  <c r="BT30" i="1"/>
  <c r="BF31" i="1"/>
  <c r="BT31" i="1"/>
  <c r="BF32" i="1"/>
  <c r="BT32" i="1"/>
  <c r="BF33" i="1"/>
  <c r="BT33" i="1"/>
  <c r="BF34" i="1"/>
  <c r="BT34" i="1"/>
  <c r="BF35" i="1"/>
  <c r="BT35" i="1"/>
  <c r="BF36" i="1"/>
  <c r="BT36" i="1"/>
  <c r="BF37" i="1"/>
  <c r="BT37" i="1"/>
  <c r="BF38" i="1"/>
  <c r="BT38" i="1"/>
  <c r="BF39" i="1"/>
  <c r="BT39" i="1"/>
  <c r="BF40" i="1"/>
  <c r="BT40" i="1"/>
  <c r="BF41" i="1"/>
  <c r="BT41" i="1"/>
  <c r="BF42" i="1"/>
  <c r="BT42" i="1"/>
  <c r="BF43" i="1"/>
  <c r="BT43" i="1"/>
  <c r="BF44" i="1"/>
  <c r="BT44" i="1"/>
  <c r="BF45" i="1"/>
  <c r="BT45" i="1"/>
  <c r="BF46" i="1"/>
  <c r="BT46" i="1"/>
  <c r="BF47" i="1"/>
  <c r="BT47" i="1"/>
  <c r="BF48" i="1"/>
  <c r="BT48" i="1"/>
  <c r="BF49" i="1"/>
  <c r="BT49" i="1"/>
  <c r="BF50" i="1"/>
  <c r="BT50" i="1"/>
  <c r="BF51" i="1"/>
  <c r="BT51" i="1"/>
  <c r="BF52" i="1"/>
  <c r="BT52" i="1"/>
  <c r="BF53" i="1"/>
  <c r="BT53" i="1"/>
  <c r="BF54" i="1"/>
  <c r="BT54" i="1"/>
  <c r="BF55" i="1"/>
  <c r="BT55" i="1"/>
  <c r="BF56" i="1"/>
  <c r="BT56" i="1"/>
  <c r="BF57" i="1"/>
  <c r="BT57" i="1"/>
  <c r="BF58" i="1"/>
  <c r="BT58" i="1"/>
  <c r="BF59" i="1"/>
  <c r="BT59" i="1"/>
  <c r="BF60" i="1"/>
  <c r="BT60" i="1"/>
  <c r="BF61" i="1"/>
  <c r="BT61" i="1"/>
  <c r="BF62" i="1"/>
  <c r="BT62" i="1"/>
  <c r="BF63" i="1"/>
  <c r="BT63" i="1"/>
  <c r="BF64" i="1"/>
  <c r="BT64" i="1"/>
  <c r="BF65" i="1"/>
  <c r="BT65" i="1"/>
  <c r="BF66" i="1"/>
  <c r="BT66" i="1"/>
  <c r="BF67" i="1"/>
  <c r="BT67" i="1"/>
  <c r="BF68" i="1"/>
  <c r="BT68" i="1"/>
  <c r="BF69" i="1"/>
  <c r="BT69" i="1"/>
  <c r="BF70" i="1"/>
  <c r="BT70" i="1"/>
  <c r="BF71" i="1"/>
  <c r="BT71" i="1"/>
  <c r="BF72" i="1"/>
  <c r="BT72" i="1"/>
  <c r="BF73" i="1"/>
  <c r="BT73" i="1"/>
  <c r="BF74" i="1"/>
  <c r="BT74" i="1"/>
  <c r="BF75" i="1"/>
  <c r="BT75" i="1"/>
  <c r="BF76" i="1"/>
  <c r="BT76" i="1"/>
  <c r="BF77" i="1"/>
  <c r="BT77" i="1"/>
  <c r="BF78" i="1"/>
  <c r="BT78" i="1"/>
  <c r="BF79" i="1"/>
  <c r="BT79" i="1"/>
  <c r="BF80" i="1"/>
  <c r="BT80" i="1"/>
  <c r="BF81" i="1"/>
  <c r="BT81" i="1"/>
  <c r="BF82" i="1"/>
  <c r="BT82" i="1"/>
  <c r="BF83" i="1"/>
  <c r="BT83" i="1"/>
  <c r="BF84" i="1"/>
  <c r="BT84" i="1"/>
  <c r="BF85" i="1"/>
  <c r="BT85" i="1"/>
  <c r="BF86" i="1"/>
  <c r="BT86" i="1"/>
  <c r="BF87" i="1"/>
  <c r="BT87" i="1"/>
  <c r="BF88" i="1"/>
  <c r="BT88" i="1"/>
  <c r="BF89" i="1"/>
  <c r="BT89" i="1"/>
  <c r="BF90" i="1"/>
  <c r="BT90" i="1"/>
  <c r="BF91" i="1"/>
  <c r="BT91" i="1"/>
  <c r="BF92" i="1"/>
  <c r="BT92" i="1"/>
  <c r="BF93" i="1"/>
  <c r="BT93" i="1"/>
  <c r="BF94" i="1"/>
  <c r="BT94" i="1"/>
  <c r="BF95" i="1"/>
  <c r="BT95" i="1"/>
  <c r="BF96" i="1"/>
  <c r="BT96" i="1"/>
  <c r="BF97" i="1"/>
  <c r="BT97" i="1"/>
  <c r="BF98" i="1"/>
  <c r="BT98" i="1"/>
  <c r="BF99" i="1"/>
  <c r="BT99" i="1"/>
  <c r="BF100" i="1"/>
  <c r="BT100" i="1"/>
  <c r="BF101" i="1"/>
  <c r="BT101" i="1"/>
  <c r="BF102" i="1"/>
  <c r="BT102" i="1"/>
  <c r="BF103" i="1"/>
  <c r="BT103" i="1"/>
  <c r="BF104" i="1"/>
  <c r="BT104" i="1"/>
  <c r="BF105" i="1"/>
  <c r="BT105" i="1"/>
  <c r="BF106" i="1"/>
  <c r="BT106" i="1"/>
  <c r="BF107" i="1"/>
  <c r="BT107" i="1"/>
  <c r="BF108" i="1"/>
  <c r="BT108" i="1"/>
  <c r="BF109" i="1"/>
  <c r="BT109" i="1"/>
  <c r="BF110" i="1"/>
  <c r="BT110" i="1"/>
  <c r="BF111" i="1"/>
  <c r="BT111" i="1"/>
  <c r="BF112" i="1"/>
  <c r="BT112" i="1"/>
  <c r="BF113" i="1"/>
  <c r="BT113" i="1"/>
  <c r="BF114" i="1"/>
  <c r="BT114" i="1"/>
  <c r="BF115" i="1"/>
  <c r="BT115" i="1"/>
  <c r="BF116" i="1"/>
  <c r="BT116" i="1"/>
  <c r="BF117" i="1"/>
  <c r="BT117" i="1"/>
  <c r="BF118" i="1"/>
  <c r="BT118" i="1"/>
  <c r="BF119" i="1"/>
  <c r="BT119" i="1"/>
  <c r="BF120" i="1"/>
  <c r="BT120" i="1"/>
  <c r="BF121" i="1"/>
  <c r="BT121" i="1"/>
  <c r="BF122" i="1"/>
  <c r="BT122" i="1"/>
  <c r="BF123" i="1"/>
  <c r="BT123" i="1"/>
  <c r="BF124" i="1"/>
  <c r="BT124" i="1"/>
  <c r="BF125" i="1"/>
  <c r="BT125" i="1"/>
  <c r="BF126" i="1"/>
  <c r="BT126" i="1"/>
  <c r="BF127" i="1"/>
  <c r="BT127" i="1"/>
  <c r="BF128" i="1"/>
  <c r="BT128" i="1"/>
  <c r="BF129" i="1"/>
  <c r="BT129" i="1"/>
  <c r="BF130" i="1"/>
  <c r="BT130" i="1"/>
  <c r="BF131" i="1"/>
  <c r="BT131" i="1"/>
  <c r="BF132" i="1"/>
  <c r="BT132" i="1"/>
  <c r="BF133" i="1"/>
  <c r="BT133" i="1"/>
  <c r="BF134" i="1"/>
  <c r="BT134" i="1"/>
  <c r="BF135" i="1"/>
  <c r="BT135" i="1"/>
  <c r="BF136" i="1"/>
  <c r="BT136" i="1"/>
  <c r="BF137" i="1"/>
  <c r="BT137" i="1"/>
  <c r="BF138" i="1"/>
  <c r="BT138" i="1"/>
  <c r="BF139" i="1"/>
  <c r="BT139" i="1"/>
  <c r="BF140" i="1"/>
  <c r="BT140" i="1"/>
  <c r="BF141" i="1"/>
  <c r="BT141" i="1"/>
  <c r="BF142" i="1"/>
  <c r="BT142" i="1"/>
  <c r="BF143" i="1"/>
  <c r="BT143" i="1"/>
  <c r="BF144" i="1"/>
  <c r="BT144" i="1"/>
  <c r="BF145" i="1"/>
  <c r="BT145" i="1"/>
  <c r="BF146" i="1"/>
  <c r="BT146" i="1"/>
  <c r="BF147" i="1"/>
  <c r="BT147" i="1"/>
  <c r="BF148" i="1"/>
  <c r="BT148" i="1"/>
  <c r="BF149" i="1"/>
  <c r="BT149" i="1"/>
  <c r="BF150" i="1"/>
  <c r="BT150" i="1"/>
  <c r="BF151" i="1"/>
  <c r="BT151" i="1"/>
  <c r="BF152" i="1"/>
  <c r="BT152" i="1"/>
  <c r="BF153" i="1"/>
  <c r="BT153" i="1"/>
  <c r="BF154" i="1"/>
  <c r="BT154" i="1"/>
  <c r="BF155" i="1"/>
  <c r="BT155" i="1"/>
  <c r="BF156" i="1"/>
  <c r="BT156" i="1"/>
  <c r="BF157" i="1"/>
  <c r="BT157" i="1"/>
  <c r="BF158" i="1"/>
  <c r="BT158" i="1"/>
  <c r="BF159" i="1"/>
  <c r="BT159" i="1"/>
  <c r="BF160" i="1"/>
  <c r="BT160" i="1"/>
  <c r="BF161" i="1"/>
  <c r="BT161" i="1"/>
  <c r="BF162" i="1"/>
  <c r="BT162" i="1"/>
  <c r="BF163" i="1"/>
  <c r="BT163" i="1"/>
  <c r="BF164" i="1"/>
  <c r="BT164" i="1"/>
  <c r="BF165" i="1"/>
  <c r="BT165" i="1"/>
  <c r="BF166" i="1"/>
  <c r="BT166" i="1"/>
  <c r="BF167" i="1"/>
  <c r="BT167" i="1"/>
  <c r="BT168" i="1"/>
  <c r="BF169" i="1"/>
  <c r="BT169" i="1"/>
  <c r="BF170" i="1"/>
  <c r="BT170" i="1"/>
  <c r="BF171" i="1"/>
  <c r="BT171" i="1"/>
  <c r="BF172" i="1"/>
  <c r="BT172" i="1"/>
  <c r="BF173" i="1"/>
  <c r="BT173" i="1"/>
  <c r="BF174" i="1"/>
  <c r="BT174" i="1"/>
  <c r="BF175" i="1"/>
  <c r="BT175" i="1"/>
  <c r="BF176" i="1"/>
  <c r="BT176" i="1"/>
  <c r="BF177" i="1"/>
  <c r="BT177" i="1"/>
  <c r="BF178" i="1"/>
  <c r="BT178" i="1"/>
  <c r="BF179" i="1"/>
  <c r="BT179" i="1"/>
  <c r="BF180" i="1"/>
  <c r="BT180" i="1"/>
  <c r="BF181" i="1"/>
  <c r="BT181" i="1"/>
  <c r="BF182" i="1"/>
  <c r="BT182" i="1"/>
  <c r="BF183" i="1"/>
  <c r="BT183" i="1"/>
  <c r="BF184" i="1"/>
  <c r="BT184" i="1"/>
  <c r="BF185" i="1"/>
  <c r="BT185" i="1"/>
  <c r="BF186" i="1"/>
  <c r="BT186" i="1"/>
  <c r="BF187" i="1"/>
  <c r="BT187" i="1"/>
  <c r="BF188" i="1"/>
  <c r="BT188" i="1"/>
  <c r="BF189" i="1"/>
  <c r="BT189" i="1"/>
  <c r="BF190" i="1"/>
  <c r="BT190" i="1"/>
  <c r="BF191" i="1"/>
  <c r="BT191" i="1"/>
  <c r="BF192" i="1"/>
  <c r="BT192" i="1"/>
  <c r="BF193" i="1"/>
  <c r="BT193" i="1"/>
  <c r="BF194" i="1"/>
  <c r="BT194" i="1"/>
  <c r="BF195" i="1"/>
  <c r="BT195" i="1"/>
  <c r="BF196" i="1"/>
  <c r="BT196" i="1"/>
  <c r="BF197" i="1"/>
  <c r="BT197" i="1"/>
  <c r="BF198" i="1"/>
  <c r="BT198" i="1"/>
  <c r="BF199" i="1"/>
  <c r="BT199" i="1"/>
  <c r="BF200" i="1"/>
  <c r="BT200" i="1"/>
  <c r="BF201" i="1"/>
  <c r="BT201" i="1"/>
  <c r="BF202" i="1"/>
  <c r="BT202" i="1"/>
  <c r="BF203" i="1"/>
  <c r="BT203" i="1"/>
  <c r="BF204" i="1"/>
  <c r="BT204" i="1"/>
  <c r="BF205" i="1"/>
  <c r="BT205" i="1"/>
  <c r="BF206" i="1"/>
  <c r="BT206" i="1"/>
  <c r="BF207" i="1"/>
  <c r="BT207" i="1"/>
  <c r="BF208" i="1"/>
  <c r="BT208" i="1"/>
  <c r="BF209" i="1"/>
  <c r="BT209" i="1"/>
  <c r="BF210" i="1"/>
  <c r="BT210" i="1"/>
  <c r="BF211" i="1"/>
  <c r="BT211" i="1"/>
  <c r="BF212" i="1"/>
  <c r="BT212" i="1"/>
  <c r="BF213" i="1"/>
  <c r="BT213" i="1"/>
  <c r="BF214" i="1"/>
  <c r="BT214" i="1"/>
  <c r="BF215" i="1"/>
  <c r="BT215" i="1"/>
  <c r="BF216" i="1"/>
  <c r="BT216" i="1"/>
  <c r="BF217" i="1"/>
  <c r="BT217" i="1"/>
  <c r="BF218" i="1"/>
  <c r="BT218" i="1"/>
  <c r="BF219" i="1"/>
  <c r="BT219" i="1"/>
  <c r="BF220" i="1"/>
  <c r="BT220" i="1"/>
  <c r="BF221" i="1"/>
  <c r="BT221" i="1"/>
  <c r="BF222" i="1"/>
  <c r="BT222" i="1"/>
  <c r="BF223" i="1"/>
  <c r="BT223" i="1"/>
  <c r="BF224" i="1"/>
  <c r="BT224" i="1"/>
  <c r="BF225" i="1"/>
  <c r="BT225" i="1"/>
  <c r="BF226" i="1"/>
  <c r="BT226" i="1"/>
  <c r="BF227" i="1"/>
  <c r="BT227" i="1"/>
  <c r="BF228" i="1"/>
  <c r="BT228" i="1"/>
  <c r="BF229" i="1"/>
  <c r="BT229" i="1"/>
  <c r="BF230" i="1"/>
  <c r="BT230" i="1"/>
  <c r="BF231" i="1"/>
  <c r="BT231" i="1"/>
  <c r="BF232" i="1"/>
  <c r="BT232" i="1"/>
  <c r="BF233" i="1"/>
  <c r="BT233" i="1"/>
  <c r="BF234" i="1"/>
  <c r="BT234" i="1"/>
  <c r="BF235" i="1"/>
  <c r="BT235" i="1"/>
  <c r="BF236" i="1"/>
  <c r="BT236" i="1"/>
  <c r="BF237" i="1"/>
  <c r="BT237" i="1"/>
  <c r="BF238" i="1"/>
  <c r="BT238" i="1"/>
  <c r="BF239" i="1"/>
  <c r="BT239" i="1"/>
  <c r="BF240" i="1"/>
  <c r="BT240" i="1"/>
  <c r="BF241" i="1"/>
  <c r="BT241" i="1"/>
  <c r="BF242" i="1"/>
  <c r="BT242" i="1"/>
  <c r="BF243" i="1"/>
  <c r="BT243" i="1"/>
  <c r="BF244" i="1"/>
  <c r="BT244" i="1"/>
  <c r="BF245" i="1"/>
  <c r="BT245" i="1"/>
  <c r="BF246" i="1"/>
  <c r="BT246" i="1"/>
  <c r="BF247" i="1"/>
  <c r="BT247" i="1"/>
  <c r="BF248" i="1"/>
  <c r="BT248" i="1"/>
  <c r="BF249" i="1"/>
  <c r="BT249" i="1"/>
  <c r="BF250" i="1"/>
  <c r="BT250" i="1"/>
  <c r="BF251" i="1"/>
  <c r="BT251" i="1"/>
  <c r="BF252" i="1"/>
  <c r="BT252" i="1"/>
  <c r="BF253" i="1"/>
  <c r="BT253" i="1"/>
  <c r="BF254" i="1"/>
  <c r="BT254" i="1"/>
  <c r="BF255" i="1"/>
  <c r="BT255" i="1"/>
  <c r="BF256" i="1"/>
  <c r="BT256" i="1"/>
  <c r="BF257" i="1"/>
  <c r="BT257" i="1"/>
  <c r="BF258" i="1"/>
  <c r="BT258" i="1"/>
  <c r="BF259" i="1"/>
  <c r="BT259" i="1"/>
  <c r="BF260" i="1"/>
  <c r="BT260" i="1"/>
  <c r="BF261" i="1"/>
  <c r="BT261" i="1"/>
  <c r="BF262" i="1"/>
  <c r="BT262" i="1"/>
  <c r="BF263" i="1"/>
  <c r="BT263" i="1"/>
  <c r="BF264" i="1"/>
  <c r="BT264" i="1"/>
  <c r="BF265" i="1"/>
  <c r="BT265" i="1"/>
  <c r="BF266" i="1"/>
  <c r="BT266" i="1"/>
  <c r="BF267" i="1"/>
  <c r="BT267" i="1"/>
  <c r="BF268" i="1"/>
  <c r="BT268" i="1"/>
  <c r="BF269" i="1"/>
  <c r="BT269" i="1"/>
  <c r="BF270" i="1"/>
  <c r="BT270" i="1"/>
  <c r="BF271" i="1"/>
  <c r="BT271" i="1"/>
  <c r="BF272" i="1"/>
  <c r="BT272" i="1"/>
  <c r="BF273" i="1"/>
  <c r="BT273" i="1"/>
  <c r="BF274" i="1"/>
  <c r="BT274" i="1"/>
  <c r="BF275" i="1"/>
  <c r="BT275" i="1"/>
  <c r="BF276" i="1"/>
  <c r="BT276" i="1"/>
  <c r="BF277" i="1"/>
  <c r="BT277" i="1"/>
  <c r="BF278" i="1"/>
  <c r="BT278" i="1"/>
  <c r="BF279" i="1"/>
  <c r="BT279" i="1"/>
  <c r="BF280" i="1"/>
  <c r="BT280" i="1"/>
  <c r="BF281" i="1"/>
  <c r="BT281" i="1"/>
  <c r="BF282" i="1"/>
  <c r="BT282" i="1"/>
  <c r="BF283" i="1"/>
  <c r="BT283" i="1"/>
  <c r="BF284" i="1"/>
  <c r="BT284" i="1"/>
  <c r="BF285" i="1"/>
  <c r="BT285" i="1"/>
  <c r="BF286" i="1"/>
  <c r="BT286" i="1"/>
  <c r="BF287" i="1"/>
  <c r="BT287" i="1"/>
  <c r="BF288" i="1"/>
  <c r="BT288" i="1"/>
  <c r="BF289" i="1"/>
  <c r="BT289" i="1"/>
  <c r="BF290" i="1"/>
  <c r="BT290" i="1"/>
  <c r="BF291" i="1"/>
  <c r="BT291" i="1"/>
  <c r="BF292" i="1"/>
  <c r="BT292" i="1"/>
  <c r="BF293" i="1"/>
  <c r="BT293" i="1"/>
  <c r="BF294" i="1"/>
  <c r="BT294" i="1"/>
  <c r="BF295" i="1"/>
  <c r="BT295" i="1"/>
  <c r="BF296" i="1"/>
  <c r="BT296" i="1"/>
  <c r="BF297" i="1"/>
  <c r="BT297" i="1"/>
  <c r="BF298" i="1"/>
  <c r="BT298" i="1"/>
  <c r="BF299" i="1"/>
  <c r="BT299" i="1"/>
  <c r="BF300" i="1"/>
  <c r="BT300" i="1"/>
  <c r="BF301" i="1"/>
  <c r="BT301" i="1"/>
  <c r="BF302" i="1"/>
  <c r="BT302" i="1"/>
  <c r="BF303" i="1"/>
  <c r="BT303" i="1"/>
  <c r="BF304" i="1"/>
  <c r="BT304" i="1"/>
  <c r="BF305" i="1"/>
  <c r="BT305" i="1"/>
  <c r="BF306" i="1"/>
  <c r="BT306" i="1"/>
  <c r="BF307" i="1"/>
  <c r="BT307" i="1"/>
  <c r="BF308" i="1"/>
  <c r="BT308" i="1"/>
  <c r="BF309" i="1"/>
  <c r="BT309" i="1"/>
  <c r="BF310" i="1"/>
  <c r="BT310" i="1"/>
  <c r="BF311" i="1"/>
  <c r="BT311" i="1"/>
  <c r="BF312" i="1"/>
  <c r="BT312" i="1"/>
  <c r="BF313" i="1"/>
  <c r="BT313" i="1"/>
  <c r="BF314" i="1"/>
  <c r="BT314" i="1"/>
  <c r="BF315" i="1"/>
  <c r="BT315" i="1"/>
  <c r="BF316" i="1"/>
  <c r="BT316" i="1"/>
  <c r="BF317" i="1"/>
  <c r="BT317" i="1"/>
  <c r="BF318" i="1"/>
  <c r="BT318" i="1"/>
  <c r="BF319" i="1"/>
  <c r="BT319" i="1"/>
  <c r="BF320" i="1"/>
  <c r="BT320" i="1"/>
  <c r="BF321" i="1"/>
  <c r="BT321" i="1"/>
  <c r="BF322" i="1"/>
  <c r="BT322" i="1"/>
  <c r="BF323" i="1"/>
  <c r="BT323" i="1"/>
  <c r="BF324" i="1"/>
  <c r="BT324" i="1"/>
  <c r="BF325" i="1"/>
  <c r="BT325" i="1"/>
  <c r="BF326" i="1"/>
  <c r="BT326" i="1"/>
  <c r="BF327" i="1"/>
  <c r="BT327" i="1"/>
  <c r="BF328" i="1"/>
  <c r="BT328" i="1"/>
  <c r="BF329" i="1"/>
  <c r="BT329" i="1"/>
  <c r="BF330" i="1"/>
  <c r="BT330" i="1"/>
  <c r="BF331" i="1"/>
  <c r="BT331" i="1"/>
  <c r="BF332" i="1"/>
  <c r="BT332" i="1"/>
  <c r="BF333" i="1"/>
  <c r="BT333" i="1"/>
  <c r="BF334" i="1"/>
  <c r="BT334" i="1"/>
  <c r="BF335" i="1"/>
  <c r="BT335" i="1"/>
  <c r="BF336" i="1"/>
  <c r="BT336" i="1"/>
  <c r="BF337" i="1"/>
  <c r="BT337" i="1"/>
  <c r="BF338" i="1"/>
  <c r="BT338" i="1"/>
  <c r="BF339" i="1"/>
  <c r="BT339" i="1"/>
  <c r="BF340" i="1"/>
  <c r="BT340" i="1"/>
  <c r="BF341" i="1"/>
  <c r="BT341" i="1"/>
  <c r="BF342" i="1"/>
  <c r="BT342" i="1"/>
  <c r="BF343" i="1"/>
  <c r="BT343" i="1"/>
  <c r="BF344" i="1"/>
  <c r="BT344" i="1"/>
  <c r="BF345" i="1"/>
  <c r="BT345" i="1"/>
  <c r="BF346" i="1"/>
  <c r="BT346" i="1"/>
  <c r="BF347" i="1"/>
  <c r="BT347" i="1"/>
  <c r="BF348" i="1"/>
  <c r="BT348" i="1"/>
  <c r="BF349" i="1"/>
  <c r="BT349" i="1"/>
  <c r="BF350" i="1"/>
  <c r="BT350" i="1"/>
  <c r="BF351" i="1"/>
  <c r="BT351" i="1"/>
  <c r="BF352" i="1"/>
  <c r="BT352" i="1"/>
  <c r="BF353" i="1"/>
  <c r="BT353" i="1"/>
  <c r="BF354" i="1"/>
  <c r="BT354" i="1"/>
  <c r="BF355" i="1"/>
  <c r="BT355" i="1"/>
  <c r="BF356" i="1"/>
  <c r="BT356" i="1"/>
  <c r="BF357" i="1"/>
  <c r="BT357" i="1"/>
  <c r="BF358" i="1"/>
  <c r="BT358" i="1"/>
  <c r="BF359" i="1"/>
  <c r="BT359" i="1"/>
  <c r="BF360" i="1"/>
  <c r="BT360" i="1"/>
  <c r="BF361" i="1"/>
  <c r="BT361" i="1"/>
  <c r="BF362" i="1"/>
  <c r="BT362" i="1"/>
  <c r="BF363" i="1"/>
  <c r="BT363" i="1"/>
  <c r="BF364" i="1"/>
  <c r="BT364" i="1"/>
  <c r="BF365" i="1"/>
  <c r="BT365" i="1"/>
  <c r="BF366" i="1"/>
  <c r="BT366" i="1"/>
  <c r="BF367" i="1"/>
  <c r="BT367" i="1"/>
  <c r="BF368" i="1"/>
  <c r="BT368" i="1"/>
  <c r="BF369" i="1"/>
  <c r="BT369" i="1"/>
  <c r="BF370" i="1"/>
  <c r="BT370" i="1"/>
  <c r="BF371" i="1"/>
  <c r="BT371" i="1"/>
  <c r="BF372" i="1"/>
  <c r="BT372" i="1"/>
  <c r="BF373" i="1"/>
  <c r="BT373" i="1"/>
  <c r="BF374" i="1"/>
  <c r="BT374" i="1"/>
  <c r="BF375" i="1"/>
  <c r="BT375" i="1"/>
  <c r="BF376" i="1"/>
  <c r="BT376" i="1"/>
  <c r="BF377" i="1"/>
  <c r="BT377" i="1"/>
  <c r="BF378" i="1"/>
  <c r="BT378" i="1"/>
  <c r="BF379" i="1"/>
  <c r="BT379" i="1"/>
  <c r="BF380" i="1"/>
  <c r="BT380" i="1"/>
  <c r="BF381" i="1"/>
  <c r="BT381" i="1"/>
  <c r="BF382" i="1"/>
  <c r="BT382" i="1"/>
  <c r="BF383" i="1"/>
  <c r="BT383" i="1"/>
  <c r="BF384" i="1"/>
  <c r="BT384" i="1"/>
  <c r="BF385" i="1"/>
  <c r="BT385" i="1"/>
  <c r="BF386" i="1"/>
  <c r="BT386" i="1"/>
  <c r="BF387" i="1"/>
  <c r="BT387" i="1"/>
  <c r="BF388" i="1"/>
  <c r="BT388" i="1"/>
  <c r="BF389" i="1"/>
  <c r="BT389" i="1"/>
  <c r="BF390" i="1"/>
  <c r="BT390" i="1"/>
  <c r="BF391" i="1"/>
  <c r="BT391" i="1"/>
  <c r="BF392" i="1"/>
  <c r="BT392" i="1"/>
  <c r="BF393" i="1"/>
  <c r="BT393" i="1"/>
  <c r="BF394" i="1"/>
  <c r="BT394" i="1"/>
  <c r="BF395" i="1"/>
  <c r="BT395" i="1"/>
  <c r="BF396" i="1"/>
  <c r="BT396" i="1"/>
  <c r="BF397" i="1"/>
  <c r="BT397" i="1"/>
  <c r="BF398" i="1"/>
  <c r="BT398" i="1"/>
  <c r="BF399" i="1"/>
  <c r="BT399" i="1"/>
  <c r="BF400" i="1"/>
  <c r="BT400" i="1"/>
  <c r="BF401" i="1"/>
  <c r="BT401" i="1"/>
  <c r="BF402" i="1"/>
  <c r="BT402" i="1"/>
  <c r="BF403" i="1"/>
  <c r="BT403" i="1"/>
  <c r="BF404" i="1"/>
  <c r="BT404" i="1"/>
  <c r="BF405" i="1"/>
  <c r="BT405" i="1"/>
  <c r="BF406" i="1"/>
  <c r="BT406" i="1"/>
  <c r="BF407" i="1"/>
  <c r="BT407" i="1"/>
  <c r="BF408" i="1"/>
  <c r="BT408" i="1"/>
  <c r="BF409" i="1"/>
  <c r="BT409" i="1"/>
  <c r="BF410" i="1"/>
  <c r="BT410" i="1"/>
  <c r="BF411" i="1"/>
  <c r="BT411" i="1"/>
  <c r="BF412" i="1"/>
  <c r="BT412" i="1"/>
  <c r="BF413" i="1"/>
  <c r="BT413" i="1"/>
  <c r="BF414" i="1"/>
  <c r="BT414" i="1"/>
  <c r="BF415" i="1"/>
  <c r="BT415" i="1"/>
  <c r="BF416" i="1"/>
  <c r="BT416" i="1"/>
  <c r="BF417" i="1"/>
  <c r="BT417" i="1"/>
  <c r="BF418" i="1"/>
  <c r="BT418" i="1"/>
  <c r="BF419" i="1"/>
  <c r="BT419" i="1"/>
  <c r="BF420" i="1"/>
  <c r="BT420" i="1"/>
  <c r="BF421" i="1"/>
  <c r="BT421" i="1"/>
  <c r="BF422" i="1"/>
  <c r="BT422" i="1"/>
  <c r="BF423" i="1"/>
  <c r="BT423" i="1"/>
  <c r="BF424" i="1"/>
  <c r="BT424" i="1"/>
  <c r="BF425" i="1"/>
  <c r="BT425" i="1"/>
  <c r="BF426" i="1"/>
  <c r="BT426" i="1"/>
  <c r="BF427" i="1"/>
  <c r="BT427" i="1"/>
  <c r="BF428" i="1"/>
  <c r="BT428" i="1"/>
  <c r="BF429" i="1"/>
  <c r="BT429" i="1"/>
  <c r="BF430" i="1"/>
  <c r="BT430" i="1"/>
  <c r="BF431" i="1"/>
  <c r="BT431" i="1"/>
  <c r="BF432" i="1"/>
  <c r="BT432" i="1"/>
  <c r="BF433" i="1"/>
  <c r="BT433" i="1"/>
  <c r="BF434" i="1"/>
  <c r="BT434" i="1"/>
  <c r="BF435" i="1"/>
  <c r="BT435" i="1"/>
  <c r="BF436" i="1"/>
  <c r="BT436" i="1"/>
  <c r="BF437" i="1"/>
  <c r="BT437" i="1"/>
  <c r="BF438" i="1"/>
  <c r="BT438" i="1"/>
  <c r="BF439" i="1"/>
  <c r="BT439" i="1"/>
  <c r="BF440" i="1"/>
  <c r="BT440" i="1"/>
  <c r="BF441" i="1"/>
  <c r="BT441" i="1"/>
  <c r="BF442" i="1"/>
  <c r="BT442" i="1"/>
  <c r="BF443" i="1"/>
  <c r="BT443" i="1"/>
  <c r="BF444" i="1"/>
  <c r="BT444" i="1"/>
  <c r="BF445" i="1"/>
  <c r="BT445" i="1"/>
  <c r="BF446" i="1"/>
  <c r="BT446" i="1"/>
  <c r="BF447" i="1"/>
  <c r="BT447" i="1"/>
  <c r="BF448" i="1"/>
  <c r="BT448" i="1"/>
  <c r="BF449" i="1"/>
  <c r="BT449" i="1"/>
  <c r="BF450" i="1"/>
  <c r="BT450" i="1"/>
  <c r="BF451" i="1"/>
  <c r="BT451" i="1"/>
  <c r="BF452" i="1"/>
  <c r="BT452" i="1"/>
  <c r="BF453" i="1"/>
  <c r="BT453" i="1"/>
  <c r="BF454" i="1"/>
  <c r="BT454" i="1"/>
  <c r="BF455" i="1"/>
  <c r="BT455" i="1"/>
  <c r="BF456" i="1"/>
  <c r="BT456" i="1"/>
  <c r="BF457" i="1"/>
  <c r="BT457" i="1"/>
  <c r="BF458" i="1"/>
  <c r="BT458" i="1"/>
  <c r="BF459" i="1"/>
  <c r="BT459" i="1"/>
  <c r="BF460" i="1"/>
  <c r="BT460" i="1"/>
  <c r="BF461" i="1"/>
  <c r="BT461" i="1"/>
  <c r="BF462" i="1"/>
  <c r="BT462" i="1"/>
  <c r="BF463" i="1"/>
  <c r="BT463" i="1"/>
  <c r="BF464" i="1"/>
  <c r="BT464" i="1"/>
  <c r="BF465" i="1"/>
  <c r="BT465" i="1"/>
  <c r="BF466" i="1"/>
  <c r="BT466" i="1"/>
  <c r="BF467" i="1"/>
  <c r="BT467" i="1"/>
  <c r="BF468" i="1"/>
  <c r="BT468" i="1"/>
  <c r="BF469" i="1"/>
  <c r="BT469" i="1"/>
  <c r="BF470" i="1"/>
  <c r="BT470" i="1"/>
  <c r="BF471" i="1"/>
  <c r="BT471" i="1"/>
  <c r="BF472" i="1"/>
  <c r="BT472" i="1"/>
  <c r="BF473" i="1"/>
  <c r="BT473" i="1"/>
  <c r="BF474" i="1"/>
  <c r="BT474" i="1"/>
  <c r="BF475" i="1"/>
  <c r="BT475" i="1"/>
  <c r="BF476" i="1"/>
  <c r="BT476" i="1"/>
  <c r="BF477" i="1"/>
  <c r="BT477" i="1"/>
  <c r="BF478" i="1"/>
  <c r="BT478" i="1"/>
  <c r="BF479" i="1"/>
  <c r="BT479" i="1"/>
  <c r="BF480" i="1"/>
  <c r="BT480" i="1"/>
  <c r="BF481" i="1"/>
  <c r="BT481" i="1"/>
  <c r="BF482" i="1"/>
  <c r="BT482" i="1"/>
  <c r="BF483" i="1"/>
  <c r="BT483" i="1"/>
  <c r="BF484" i="1"/>
  <c r="BT484" i="1"/>
  <c r="BF485" i="1"/>
  <c r="BT485" i="1"/>
  <c r="BF486" i="1"/>
  <c r="BT486" i="1"/>
  <c r="BF487" i="1"/>
  <c r="BT487" i="1"/>
  <c r="BF488" i="1"/>
  <c r="BT488" i="1"/>
  <c r="BF489" i="1"/>
  <c r="BT489" i="1"/>
  <c r="BF490" i="1"/>
  <c r="BT490" i="1"/>
  <c r="BF491" i="1"/>
  <c r="BT491" i="1"/>
  <c r="BF492" i="1"/>
  <c r="BT492" i="1"/>
  <c r="BF493" i="1"/>
  <c r="BT493" i="1"/>
  <c r="BF494" i="1"/>
  <c r="BT494" i="1"/>
  <c r="BF495" i="1"/>
  <c r="BT495" i="1"/>
  <c r="BF496" i="1"/>
  <c r="BT496" i="1"/>
  <c r="BF497" i="1"/>
  <c r="BT497" i="1"/>
  <c r="BF498" i="1"/>
  <c r="BT498" i="1"/>
  <c r="BF499" i="1"/>
  <c r="BT499" i="1"/>
  <c r="BF500" i="1"/>
  <c r="BT500" i="1"/>
  <c r="BF501" i="1"/>
  <c r="BT501" i="1"/>
  <c r="BF502" i="1"/>
  <c r="BT502" i="1"/>
  <c r="BF503" i="1"/>
  <c r="BT503" i="1"/>
  <c r="BF504" i="1"/>
  <c r="BT504" i="1"/>
  <c r="BF505" i="1"/>
  <c r="BT505" i="1"/>
  <c r="BF506" i="1"/>
  <c r="BT506" i="1"/>
  <c r="BF507" i="1"/>
  <c r="BT507" i="1"/>
  <c r="BF508" i="1"/>
  <c r="BT508" i="1"/>
  <c r="BF509" i="1"/>
  <c r="BT509" i="1"/>
  <c r="BF510" i="1"/>
  <c r="BT510" i="1"/>
  <c r="BF511" i="1"/>
  <c r="BT511" i="1"/>
  <c r="BF512" i="1"/>
  <c r="BT512" i="1"/>
  <c r="BF513" i="1"/>
  <c r="BT513" i="1"/>
  <c r="BF514" i="1"/>
  <c r="BT514" i="1"/>
  <c r="BF515" i="1"/>
  <c r="BT515" i="1"/>
  <c r="BF516" i="1"/>
  <c r="BT516" i="1"/>
  <c r="BF517" i="1"/>
  <c r="BT517" i="1"/>
  <c r="BF518" i="1"/>
  <c r="BT518" i="1"/>
  <c r="BF519" i="1"/>
  <c r="BT519" i="1"/>
  <c r="BF520" i="1"/>
  <c r="BT520" i="1"/>
  <c r="BF521" i="1"/>
  <c r="BT521" i="1"/>
  <c r="BF522" i="1"/>
  <c r="BT522" i="1"/>
  <c r="BF523" i="1"/>
  <c r="BT523" i="1"/>
  <c r="BF524" i="1"/>
  <c r="BT524" i="1"/>
  <c r="BF525" i="1"/>
  <c r="BT525" i="1"/>
  <c r="BF526" i="1"/>
  <c r="BT526" i="1"/>
  <c r="BF527" i="1"/>
  <c r="BT527" i="1"/>
  <c r="BF528" i="1"/>
  <c r="BT528" i="1"/>
  <c r="BF529" i="1"/>
  <c r="BT529" i="1"/>
  <c r="BF530" i="1"/>
  <c r="BT530" i="1"/>
  <c r="BF531" i="1"/>
  <c r="BT531" i="1"/>
  <c r="BF532" i="1"/>
  <c r="BT532" i="1"/>
  <c r="BF533" i="1"/>
  <c r="BT533" i="1"/>
  <c r="BF534" i="1"/>
  <c r="BT534" i="1"/>
  <c r="BF535" i="1"/>
  <c r="BT535" i="1"/>
  <c r="BF536" i="1"/>
  <c r="BT536" i="1"/>
  <c r="BF537" i="1"/>
  <c r="BT537" i="1"/>
  <c r="BF538" i="1"/>
  <c r="BT538" i="1"/>
  <c r="BF539" i="1"/>
  <c r="BT539" i="1"/>
  <c r="BF540" i="1"/>
  <c r="BT540" i="1"/>
  <c r="BF541" i="1"/>
  <c r="BT541" i="1"/>
  <c r="BF542" i="1"/>
  <c r="BT542" i="1"/>
  <c r="BF543" i="1"/>
  <c r="BT543" i="1"/>
  <c r="BF544" i="1"/>
  <c r="BT544" i="1"/>
  <c r="BF545" i="1"/>
  <c r="BT545" i="1"/>
  <c r="BF546" i="1"/>
  <c r="BT546" i="1"/>
  <c r="BF547" i="1"/>
  <c r="BT547" i="1"/>
  <c r="BF548" i="1"/>
  <c r="BT548" i="1"/>
  <c r="BF549" i="1"/>
  <c r="BT549" i="1"/>
  <c r="BF550" i="1"/>
  <c r="BT550" i="1"/>
  <c r="BF551" i="1"/>
  <c r="BT551" i="1"/>
  <c r="BF552" i="1"/>
  <c r="BT552" i="1"/>
  <c r="BF553" i="1"/>
  <c r="BT553" i="1"/>
  <c r="BF554" i="1"/>
  <c r="BT554" i="1"/>
  <c r="BF555" i="1"/>
  <c r="BT555" i="1"/>
  <c r="BF556" i="1"/>
  <c r="BT556" i="1"/>
  <c r="BF557" i="1"/>
  <c r="BT557" i="1"/>
  <c r="BF558" i="1"/>
  <c r="BT558" i="1"/>
  <c r="BF559" i="1"/>
  <c r="BT559" i="1"/>
  <c r="BT560" i="1"/>
  <c r="BF561" i="1"/>
  <c r="BT561" i="1"/>
  <c r="BF562" i="1"/>
  <c r="BT562" i="1"/>
  <c r="BF563" i="1"/>
  <c r="BT563" i="1"/>
  <c r="BF564" i="1"/>
  <c r="BT564" i="1"/>
  <c r="BF565" i="1"/>
  <c r="BT565" i="1"/>
  <c r="BF566" i="1"/>
  <c r="BT566" i="1"/>
  <c r="BF567" i="1"/>
  <c r="BT567" i="1"/>
  <c r="BF568" i="1"/>
  <c r="BT568" i="1"/>
  <c r="BF569" i="1"/>
  <c r="BT569" i="1"/>
  <c r="BF570" i="1"/>
  <c r="BT570" i="1"/>
  <c r="BF571" i="1"/>
  <c r="BT571" i="1"/>
  <c r="BF572" i="1"/>
  <c r="BT572" i="1"/>
  <c r="BF573" i="1"/>
  <c r="BT573" i="1"/>
  <c r="BF574" i="1"/>
  <c r="BT574" i="1"/>
  <c r="BF575" i="1"/>
  <c r="BT575" i="1"/>
  <c r="BF576" i="1"/>
  <c r="BT576" i="1"/>
  <c r="BF577" i="1"/>
  <c r="BT577" i="1"/>
  <c r="BF578" i="1"/>
  <c r="BT578" i="1"/>
  <c r="BF579" i="1"/>
  <c r="BT579" i="1"/>
  <c r="BF580" i="1"/>
  <c r="BT580" i="1"/>
  <c r="BF581" i="1"/>
  <c r="BT581" i="1"/>
  <c r="BF582" i="1"/>
  <c r="BT582" i="1"/>
  <c r="BF583" i="1"/>
  <c r="BT583" i="1"/>
  <c r="BF584" i="1"/>
  <c r="BT584" i="1"/>
  <c r="BF585" i="1"/>
  <c r="BT585" i="1"/>
  <c r="BF586" i="1"/>
  <c r="BT586" i="1"/>
  <c r="BF587" i="1"/>
  <c r="BT587" i="1"/>
  <c r="BF588" i="1"/>
  <c r="BT588" i="1"/>
  <c r="BF589" i="1"/>
  <c r="BT589" i="1"/>
  <c r="BF590" i="1"/>
  <c r="BT590" i="1"/>
  <c r="BF591" i="1"/>
  <c r="BT591" i="1"/>
  <c r="BF592" i="1"/>
  <c r="BT592" i="1"/>
  <c r="BF593" i="1"/>
  <c r="BT593" i="1"/>
  <c r="BF594" i="1"/>
  <c r="BT594" i="1"/>
  <c r="BF595" i="1"/>
  <c r="BT595" i="1"/>
  <c r="BF596" i="1"/>
  <c r="BT596" i="1"/>
  <c r="BF597" i="1"/>
  <c r="BT597" i="1"/>
  <c r="BF598" i="1"/>
  <c r="BT598" i="1"/>
  <c r="BF599" i="1"/>
  <c r="BT599" i="1"/>
  <c r="BF600" i="1"/>
  <c r="BT600" i="1"/>
  <c r="BF601" i="1"/>
  <c r="BT601" i="1"/>
  <c r="BF602" i="1"/>
  <c r="BT602" i="1"/>
  <c r="BF603" i="1"/>
  <c r="BT603" i="1"/>
  <c r="BF604" i="1"/>
  <c r="BT604" i="1"/>
  <c r="BF605" i="1"/>
  <c r="BT605" i="1"/>
  <c r="BF606" i="1"/>
  <c r="BT606" i="1"/>
  <c r="BF607" i="1"/>
  <c r="BT607" i="1"/>
  <c r="BF608" i="1"/>
  <c r="BT608" i="1"/>
  <c r="BF609" i="1"/>
  <c r="BT609" i="1"/>
  <c r="BF610" i="1"/>
  <c r="BT610" i="1"/>
  <c r="BF611" i="1"/>
  <c r="BT611" i="1"/>
  <c r="BF612" i="1"/>
  <c r="BT612" i="1"/>
  <c r="BF613" i="1"/>
  <c r="BT613" i="1"/>
  <c r="BF614" i="1"/>
  <c r="BT614" i="1"/>
  <c r="BF615" i="1"/>
  <c r="BT615" i="1"/>
  <c r="BF616" i="1"/>
  <c r="BT616" i="1"/>
  <c r="BF617" i="1"/>
  <c r="BT617" i="1"/>
  <c r="BF618" i="1"/>
  <c r="BT618" i="1"/>
  <c r="BF619" i="1"/>
  <c r="BT619" i="1"/>
  <c r="BF620" i="1"/>
  <c r="BT620" i="1"/>
  <c r="BF621" i="1"/>
  <c r="BT621" i="1"/>
  <c r="BF622" i="1"/>
  <c r="BT622" i="1"/>
  <c r="BF623" i="1"/>
  <c r="BT623" i="1"/>
  <c r="BF624" i="1"/>
  <c r="BT624" i="1"/>
  <c r="BF625" i="1"/>
  <c r="BT625" i="1"/>
  <c r="BF626" i="1"/>
  <c r="BT626" i="1"/>
  <c r="BF627" i="1"/>
  <c r="BT627" i="1"/>
  <c r="BF628" i="1"/>
  <c r="BT628" i="1"/>
  <c r="BF629" i="1"/>
  <c r="BT629" i="1"/>
  <c r="BF630" i="1"/>
  <c r="BT630" i="1"/>
  <c r="BF631" i="1"/>
  <c r="BT631" i="1"/>
  <c r="BF632" i="1"/>
  <c r="BT632" i="1"/>
  <c r="BF633" i="1"/>
  <c r="BT633" i="1"/>
  <c r="BF634" i="1"/>
  <c r="BT634" i="1"/>
  <c r="BF635" i="1"/>
  <c r="BT635" i="1"/>
  <c r="BF636" i="1"/>
  <c r="BT636" i="1"/>
  <c r="BF637" i="1"/>
  <c r="BT637" i="1"/>
  <c r="BF638" i="1"/>
  <c r="BT638" i="1"/>
  <c r="BF639" i="1"/>
  <c r="BT639" i="1"/>
  <c r="BF640" i="1"/>
  <c r="BT640" i="1"/>
  <c r="BF641" i="1"/>
  <c r="BT641" i="1"/>
  <c r="BF642" i="1"/>
  <c r="BT642" i="1"/>
  <c r="BF643" i="1"/>
  <c r="BT643" i="1"/>
  <c r="BF644" i="1"/>
  <c r="BT644" i="1"/>
  <c r="BF645" i="1"/>
  <c r="BT645" i="1"/>
  <c r="BF646" i="1"/>
  <c r="BT646" i="1"/>
  <c r="BF647" i="1"/>
  <c r="BT647" i="1"/>
  <c r="BF648" i="1"/>
  <c r="BT648" i="1"/>
  <c r="BF649" i="1"/>
  <c r="BT649" i="1"/>
  <c r="BF650" i="1"/>
  <c r="BT650" i="1"/>
  <c r="BF651" i="1"/>
  <c r="BT651" i="1"/>
  <c r="BF652" i="1"/>
  <c r="BT652" i="1"/>
  <c r="BF653" i="1"/>
  <c r="BT653" i="1"/>
  <c r="BF654" i="1"/>
  <c r="BT654" i="1"/>
  <c r="BF655" i="1"/>
  <c r="BT655" i="1"/>
  <c r="BF656" i="1"/>
  <c r="BT656" i="1"/>
  <c r="BF657" i="1"/>
  <c r="BT657" i="1"/>
  <c r="BF658" i="1"/>
  <c r="BT658" i="1"/>
  <c r="BF659" i="1"/>
  <c r="BT659" i="1"/>
  <c r="BF660" i="1"/>
  <c r="BT660" i="1"/>
  <c r="BF661" i="1"/>
  <c r="BT661" i="1"/>
  <c r="BF662" i="1"/>
  <c r="BT662" i="1"/>
  <c r="BF663" i="1"/>
  <c r="BT663" i="1"/>
  <c r="BF664" i="1"/>
  <c r="BT664" i="1"/>
  <c r="BF665" i="1"/>
  <c r="BT665" i="1"/>
  <c r="BF666" i="1"/>
  <c r="BT666" i="1"/>
  <c r="BF667" i="1"/>
  <c r="BT667" i="1"/>
  <c r="BF668" i="1"/>
  <c r="BT668" i="1"/>
  <c r="BF669" i="1"/>
  <c r="BT669" i="1"/>
  <c r="BF670" i="1"/>
  <c r="BT670" i="1"/>
  <c r="BF671" i="1"/>
  <c r="BT671" i="1"/>
  <c r="BF672" i="1"/>
  <c r="BT672" i="1"/>
  <c r="BF673" i="1"/>
  <c r="BT673" i="1"/>
  <c r="BF674" i="1"/>
  <c r="BT674" i="1"/>
  <c r="BF675" i="1"/>
  <c r="BT675" i="1"/>
  <c r="BT676" i="1"/>
  <c r="BF677" i="1"/>
  <c r="BT677" i="1"/>
  <c r="BF678" i="1"/>
  <c r="BT678" i="1"/>
  <c r="BF679" i="1"/>
  <c r="BT679" i="1"/>
  <c r="BF680" i="1"/>
  <c r="BT680" i="1"/>
  <c r="BF681" i="1"/>
  <c r="BT681" i="1"/>
  <c r="BF682" i="1"/>
  <c r="BT682" i="1"/>
  <c r="BF683" i="1"/>
  <c r="BT683" i="1"/>
  <c r="BF684" i="1"/>
  <c r="BT684" i="1"/>
  <c r="BF685" i="1"/>
  <c r="BT685" i="1"/>
  <c r="BF686" i="1"/>
  <c r="BT686" i="1"/>
  <c r="BF687" i="1"/>
  <c r="BT687" i="1"/>
  <c r="BF688" i="1"/>
  <c r="BT688" i="1"/>
  <c r="BF689" i="1"/>
  <c r="BT689" i="1"/>
  <c r="BF690" i="1"/>
  <c r="BT690" i="1"/>
  <c r="BF691" i="1"/>
  <c r="BT691" i="1"/>
  <c r="BF692" i="1"/>
  <c r="BT692" i="1"/>
  <c r="BF693" i="1"/>
  <c r="BT693" i="1"/>
  <c r="BF694" i="1"/>
  <c r="BT694" i="1"/>
  <c r="BF695" i="1"/>
  <c r="BT695" i="1"/>
  <c r="BF696" i="1"/>
  <c r="BT696" i="1"/>
  <c r="BF697" i="1"/>
  <c r="BT697" i="1"/>
  <c r="BF698" i="1"/>
  <c r="BT698" i="1"/>
  <c r="BF699" i="1"/>
  <c r="BT699" i="1"/>
  <c r="BF700" i="1"/>
  <c r="BT700" i="1"/>
  <c r="BF701" i="1"/>
  <c r="BT701" i="1"/>
  <c r="BF702" i="1"/>
  <c r="BT702" i="1"/>
  <c r="BF703" i="1"/>
  <c r="BT703" i="1"/>
  <c r="BF704" i="1"/>
  <c r="BT704" i="1"/>
  <c r="BF705" i="1"/>
  <c r="BT705" i="1"/>
  <c r="BF706" i="1"/>
  <c r="BT706" i="1"/>
  <c r="BF707" i="1"/>
  <c r="BT707" i="1"/>
  <c r="BF708" i="1"/>
  <c r="BT708" i="1"/>
  <c r="BF709" i="1"/>
  <c r="BT709" i="1"/>
  <c r="BF710" i="1"/>
  <c r="BT710" i="1"/>
  <c r="BF711" i="1"/>
  <c r="BT711" i="1"/>
  <c r="BF712" i="1"/>
  <c r="BT712" i="1"/>
  <c r="BF713" i="1"/>
  <c r="BT713" i="1"/>
  <c r="BF714" i="1"/>
  <c r="BT714" i="1"/>
  <c r="BF715" i="1"/>
  <c r="BT715" i="1"/>
  <c r="BF716" i="1"/>
  <c r="BT716" i="1"/>
  <c r="BF717" i="1"/>
  <c r="BT717" i="1"/>
  <c r="BF718" i="1"/>
  <c r="BT718" i="1"/>
  <c r="BF719" i="1"/>
  <c r="BT719" i="1"/>
  <c r="BF720" i="1"/>
  <c r="BT720" i="1"/>
  <c r="BF721" i="1"/>
  <c r="BT721" i="1"/>
  <c r="BF722" i="1"/>
  <c r="BT722" i="1"/>
  <c r="BF723" i="1"/>
  <c r="BT723" i="1"/>
  <c r="BF724" i="1"/>
  <c r="BT724" i="1"/>
  <c r="BF725" i="1"/>
  <c r="BT725" i="1"/>
  <c r="BF726" i="1"/>
  <c r="BT726" i="1"/>
  <c r="BF727" i="1"/>
  <c r="BT727" i="1"/>
  <c r="BF728" i="1"/>
  <c r="BT728" i="1"/>
  <c r="BF729" i="1"/>
  <c r="BT729" i="1"/>
  <c r="BF730" i="1"/>
  <c r="BT730" i="1"/>
  <c r="BF731" i="1"/>
  <c r="BT731" i="1"/>
  <c r="BF732" i="1"/>
  <c r="BT732" i="1"/>
  <c r="BF733" i="1"/>
  <c r="BT733" i="1"/>
  <c r="BF734" i="1"/>
  <c r="BT734" i="1"/>
  <c r="BF735" i="1"/>
  <c r="BT735" i="1"/>
  <c r="BF736" i="1"/>
  <c r="BT736" i="1"/>
  <c r="BF737" i="1"/>
  <c r="BT737" i="1"/>
  <c r="BF738" i="1"/>
  <c r="BT738" i="1"/>
  <c r="BF739" i="1"/>
  <c r="BT739" i="1"/>
  <c r="BF740" i="1"/>
  <c r="BT740" i="1"/>
  <c r="BF741" i="1"/>
  <c r="BT741" i="1"/>
  <c r="BF742" i="1"/>
  <c r="BT742" i="1"/>
  <c r="BF743" i="1"/>
  <c r="BT743" i="1"/>
  <c r="BF744" i="1"/>
  <c r="BT744" i="1"/>
  <c r="BF745" i="1"/>
  <c r="BT745" i="1"/>
  <c r="BF746" i="1"/>
  <c r="BT746" i="1"/>
  <c r="BF747" i="1"/>
  <c r="BT747" i="1"/>
  <c r="BF748" i="1"/>
  <c r="BT748" i="1"/>
  <c r="BF749" i="1"/>
  <c r="BT749" i="1"/>
  <c r="BF750" i="1"/>
  <c r="BT750" i="1"/>
  <c r="BF751" i="1"/>
  <c r="BT751" i="1"/>
  <c r="BF752" i="1"/>
  <c r="BT752" i="1"/>
  <c r="BF753" i="1"/>
  <c r="BT753" i="1"/>
  <c r="BT754" i="1"/>
  <c r="BF755" i="1"/>
  <c r="BT755" i="1"/>
  <c r="BF756" i="1"/>
  <c r="BT756" i="1"/>
  <c r="BF757" i="1"/>
  <c r="BT757" i="1"/>
  <c r="BF758" i="1"/>
  <c r="BT758" i="1"/>
  <c r="BF759" i="1"/>
  <c r="BT759" i="1"/>
  <c r="BF760" i="1"/>
  <c r="BT760" i="1"/>
  <c r="BF761" i="1"/>
  <c r="BT761" i="1"/>
  <c r="BF762" i="1"/>
  <c r="BT762" i="1"/>
  <c r="BF763" i="1"/>
  <c r="BT763" i="1"/>
  <c r="BF764" i="1"/>
  <c r="BT764" i="1"/>
  <c r="BF765" i="1"/>
  <c r="BT765" i="1"/>
  <c r="BF766" i="1"/>
  <c r="BT766" i="1"/>
  <c r="BF767" i="1"/>
  <c r="BT767" i="1"/>
  <c r="BF768" i="1"/>
  <c r="BT768" i="1"/>
  <c r="BF769" i="1"/>
  <c r="BT769" i="1"/>
  <c r="BF770" i="1"/>
  <c r="BT770" i="1"/>
  <c r="BF771" i="1"/>
  <c r="BT771" i="1"/>
  <c r="BF772" i="1"/>
  <c r="BT772" i="1"/>
  <c r="BF773" i="1"/>
  <c r="BT773" i="1"/>
  <c r="BF774" i="1"/>
  <c r="BT774" i="1"/>
  <c r="BF775" i="1"/>
  <c r="BT775" i="1"/>
  <c r="BF776" i="1"/>
  <c r="BT776" i="1"/>
  <c r="BF777" i="1"/>
  <c r="BT777" i="1"/>
  <c r="BF778" i="1"/>
  <c r="BT778" i="1"/>
  <c r="BF779" i="1"/>
  <c r="BT779" i="1"/>
  <c r="BF780" i="1"/>
  <c r="BT780" i="1"/>
  <c r="BF781" i="1"/>
  <c r="BT781" i="1"/>
  <c r="BF782" i="1"/>
  <c r="BT782" i="1"/>
  <c r="BF783" i="1"/>
  <c r="BT783" i="1"/>
  <c r="BF784" i="1"/>
  <c r="BT784" i="1"/>
  <c r="BF785" i="1"/>
  <c r="BT785" i="1"/>
  <c r="BF786" i="1"/>
  <c r="BT786" i="1"/>
  <c r="BF787" i="1"/>
  <c r="BT787" i="1"/>
  <c r="BF788" i="1"/>
  <c r="BT788" i="1"/>
  <c r="BF789" i="1"/>
  <c r="BT789" i="1"/>
  <c r="BF790" i="1"/>
  <c r="BT790" i="1"/>
  <c r="BF791" i="1"/>
  <c r="BT791" i="1"/>
  <c r="BF792" i="1"/>
  <c r="BT792" i="1"/>
  <c r="BF793" i="1"/>
  <c r="BT793" i="1"/>
  <c r="BF794" i="1"/>
  <c r="BT794" i="1"/>
  <c r="BF795" i="1"/>
  <c r="BT795" i="1"/>
  <c r="BF796" i="1"/>
  <c r="BT796" i="1"/>
  <c r="BF797" i="1"/>
  <c r="BT797" i="1"/>
  <c r="BF798" i="1"/>
  <c r="BT798" i="1"/>
  <c r="BF799" i="1"/>
  <c r="BT799" i="1"/>
  <c r="BF800" i="1"/>
  <c r="BT800" i="1"/>
  <c r="BF801" i="1"/>
  <c r="BT801" i="1"/>
  <c r="BF802" i="1"/>
  <c r="BT802" i="1"/>
  <c r="BF803" i="1"/>
  <c r="BT803" i="1"/>
  <c r="BF804" i="1"/>
  <c r="BT804" i="1"/>
  <c r="BF805" i="1"/>
  <c r="BT805" i="1"/>
  <c r="BF806" i="1"/>
  <c r="BT806" i="1"/>
  <c r="BF807" i="1"/>
  <c r="BT807" i="1"/>
  <c r="BF808" i="1"/>
  <c r="BT808" i="1"/>
  <c r="BF809" i="1"/>
  <c r="BT809" i="1"/>
  <c r="BF810" i="1"/>
  <c r="BT810" i="1"/>
  <c r="BF811" i="1"/>
  <c r="BT811" i="1"/>
  <c r="BF812" i="1"/>
  <c r="BT812" i="1"/>
  <c r="BF813" i="1"/>
  <c r="BT813" i="1"/>
  <c r="BF814" i="1"/>
  <c r="BT814" i="1"/>
  <c r="BF815" i="1"/>
  <c r="BT815" i="1"/>
  <c r="BF816" i="1"/>
  <c r="BT816" i="1"/>
  <c r="BF817" i="1"/>
  <c r="BT817" i="1"/>
  <c r="BF818" i="1"/>
  <c r="BT818" i="1"/>
  <c r="BF819" i="1"/>
  <c r="BT819" i="1"/>
  <c r="BF820" i="1"/>
  <c r="BT820" i="1"/>
  <c r="BF821" i="1"/>
  <c r="BT821" i="1"/>
  <c r="BF822" i="1"/>
  <c r="BT822" i="1"/>
  <c r="BF823" i="1"/>
  <c r="BT823" i="1"/>
  <c r="BF824" i="1"/>
  <c r="BT824" i="1"/>
  <c r="BF825" i="1"/>
  <c r="BT825" i="1"/>
  <c r="BF826" i="1"/>
  <c r="BT826" i="1"/>
  <c r="BF827" i="1"/>
  <c r="BT827" i="1"/>
  <c r="BF828" i="1"/>
  <c r="BT828" i="1"/>
  <c r="BF829" i="1"/>
  <c r="BT829" i="1"/>
  <c r="BF830" i="1"/>
  <c r="BT830" i="1"/>
  <c r="BF831" i="1"/>
  <c r="BT831" i="1"/>
  <c r="BF832" i="1"/>
  <c r="BT832" i="1"/>
  <c r="BF833" i="1"/>
  <c r="BT833" i="1"/>
  <c r="BF834" i="1"/>
  <c r="BT834" i="1"/>
  <c r="BF835" i="1"/>
  <c r="BT835" i="1"/>
  <c r="BF836" i="1"/>
  <c r="BT836" i="1"/>
  <c r="BF837" i="1"/>
  <c r="BT837" i="1"/>
  <c r="BF838" i="1"/>
  <c r="BT838" i="1"/>
  <c r="BF839" i="1"/>
  <c r="BT839" i="1"/>
  <c r="BF840" i="1"/>
  <c r="BT840" i="1"/>
  <c r="BF841" i="1"/>
  <c r="BT841" i="1"/>
  <c r="BF842" i="1"/>
  <c r="BT842" i="1"/>
  <c r="BF843" i="1"/>
  <c r="BT843" i="1"/>
  <c r="BF844" i="1"/>
  <c r="BT844" i="1"/>
  <c r="BF845" i="1"/>
  <c r="BT845" i="1"/>
  <c r="BF846" i="1"/>
  <c r="BT846" i="1"/>
  <c r="BF847" i="1"/>
  <c r="BT847" i="1"/>
  <c r="BF848" i="1"/>
  <c r="BT848" i="1"/>
  <c r="BF849" i="1"/>
  <c r="BT849" i="1"/>
  <c r="BF850" i="1"/>
  <c r="BT850" i="1"/>
  <c r="BF851" i="1"/>
  <c r="BT851" i="1"/>
  <c r="BF852" i="1"/>
  <c r="BT852" i="1"/>
  <c r="BF853" i="1"/>
  <c r="BT853" i="1"/>
  <c r="BF854" i="1"/>
  <c r="BT854" i="1"/>
  <c r="BF855" i="1"/>
  <c r="BT855" i="1"/>
  <c r="BF856" i="1"/>
  <c r="BT856" i="1"/>
  <c r="BF857" i="1"/>
  <c r="BT857" i="1"/>
  <c r="BF858" i="1"/>
  <c r="BT858" i="1"/>
  <c r="BF859" i="1"/>
  <c r="BT859" i="1"/>
  <c r="BF860" i="1"/>
  <c r="BT860" i="1"/>
  <c r="BF861" i="1"/>
  <c r="BT861" i="1"/>
  <c r="BF862" i="1"/>
  <c r="BT862" i="1"/>
  <c r="BF863" i="1"/>
  <c r="BT863" i="1"/>
  <c r="BF864" i="1"/>
  <c r="BT864" i="1"/>
  <c r="BF865" i="1"/>
  <c r="BT865" i="1"/>
  <c r="BF866" i="1"/>
  <c r="BT866" i="1"/>
  <c r="BF867" i="1"/>
  <c r="BT867" i="1"/>
  <c r="BF868" i="1"/>
  <c r="BT868" i="1"/>
  <c r="BF869" i="1"/>
  <c r="BT869" i="1"/>
  <c r="BF870" i="1"/>
  <c r="BT870" i="1"/>
  <c r="BF871" i="1"/>
  <c r="BT871" i="1"/>
  <c r="BF872" i="1"/>
  <c r="BT872" i="1"/>
  <c r="BF873" i="1"/>
  <c r="BT873" i="1"/>
  <c r="BF874" i="1"/>
  <c r="BT874" i="1"/>
  <c r="BF875" i="1"/>
  <c r="BT875" i="1"/>
  <c r="BF876" i="1"/>
  <c r="BT876" i="1"/>
  <c r="BF877" i="1"/>
  <c r="BT877" i="1"/>
  <c r="BF878" i="1"/>
  <c r="BT878" i="1"/>
  <c r="BF879" i="1"/>
  <c r="BT879" i="1"/>
  <c r="BF880" i="1"/>
  <c r="BT880" i="1"/>
  <c r="BF881" i="1"/>
  <c r="BT881" i="1"/>
  <c r="BF882" i="1"/>
  <c r="BT882" i="1"/>
  <c r="BF883" i="1"/>
  <c r="BT883" i="1"/>
  <c r="BF884" i="1"/>
  <c r="BT884" i="1"/>
  <c r="BF885" i="1"/>
  <c r="BT885" i="1"/>
  <c r="BF886" i="1"/>
  <c r="BT886" i="1"/>
  <c r="BF887" i="1"/>
  <c r="BT887" i="1"/>
  <c r="BF888" i="1"/>
  <c r="BT888" i="1"/>
  <c r="BF889" i="1"/>
  <c r="BT889" i="1"/>
  <c r="BF890" i="1"/>
  <c r="BT890" i="1"/>
  <c r="BF891" i="1"/>
  <c r="BT891" i="1"/>
  <c r="BF892" i="1"/>
  <c r="BT892" i="1"/>
  <c r="BF893" i="1"/>
  <c r="BT893" i="1"/>
  <c r="BF894" i="1"/>
  <c r="BT894" i="1"/>
  <c r="BF895" i="1"/>
  <c r="BT895" i="1"/>
  <c r="BF896" i="1"/>
  <c r="BT896" i="1"/>
  <c r="BF897" i="1"/>
  <c r="BT897" i="1"/>
  <c r="BT898" i="1"/>
  <c r="BF899" i="1"/>
  <c r="BT899" i="1"/>
  <c r="BF900" i="1"/>
  <c r="BT900" i="1"/>
  <c r="BF901" i="1"/>
  <c r="BT901" i="1"/>
  <c r="BF902" i="1"/>
  <c r="BT902" i="1"/>
  <c r="BF903" i="1"/>
  <c r="BT903" i="1"/>
  <c r="BT904" i="1"/>
  <c r="BF905" i="1"/>
  <c r="BT905" i="1"/>
  <c r="BF906" i="1"/>
  <c r="BT906" i="1"/>
  <c r="BF907" i="1"/>
  <c r="BT907" i="1"/>
  <c r="BF908" i="1"/>
  <c r="BT908" i="1"/>
  <c r="BF909" i="1"/>
  <c r="BT909" i="1"/>
  <c r="BF910" i="1"/>
  <c r="BT910" i="1"/>
  <c r="BF911" i="1"/>
  <c r="BT911" i="1"/>
  <c r="BT912" i="1"/>
  <c r="BF913" i="1"/>
  <c r="BT913" i="1"/>
  <c r="BF914" i="1"/>
  <c r="BT914" i="1"/>
  <c r="BF915" i="1"/>
  <c r="BT915" i="1"/>
  <c r="BF916" i="1"/>
  <c r="BT916" i="1"/>
  <c r="BT917" i="1"/>
  <c r="BF918" i="1"/>
  <c r="BT918" i="1"/>
  <c r="BF919" i="1"/>
  <c r="BT919" i="1"/>
  <c r="BF920" i="1"/>
  <c r="BT920" i="1"/>
  <c r="BF921" i="1"/>
  <c r="BT921" i="1"/>
  <c r="BF922" i="1"/>
  <c r="BT922" i="1"/>
  <c r="BT923" i="1"/>
  <c r="BF924" i="1"/>
  <c r="BT924" i="1"/>
  <c r="BF925" i="1"/>
  <c r="BT925" i="1"/>
  <c r="BF926" i="1"/>
  <c r="BT926" i="1"/>
  <c r="BF927" i="1"/>
  <c r="BT927" i="1"/>
  <c r="BF928" i="1"/>
  <c r="BT928" i="1"/>
  <c r="BF929" i="1"/>
  <c r="BT929" i="1"/>
  <c r="BF930" i="1"/>
  <c r="BT930" i="1"/>
  <c r="BF931" i="1"/>
  <c r="BT931" i="1"/>
  <c r="BF932" i="1"/>
  <c r="BT932" i="1"/>
  <c r="BF933" i="1"/>
  <c r="BT933" i="1"/>
  <c r="BF934" i="1"/>
  <c r="BT934" i="1"/>
  <c r="BT935" i="1"/>
  <c r="BF936" i="1"/>
  <c r="BT936" i="1"/>
  <c r="BF937" i="1"/>
  <c r="BT937" i="1"/>
  <c r="BF938" i="1"/>
  <c r="BT938" i="1"/>
  <c r="BF939" i="1"/>
  <c r="BT939" i="1"/>
  <c r="BF940" i="1"/>
  <c r="BT940" i="1"/>
  <c r="BF941" i="1"/>
  <c r="BT941" i="1"/>
  <c r="BF942" i="1"/>
  <c r="BT942" i="1"/>
  <c r="BF943" i="1"/>
  <c r="BT943" i="1"/>
  <c r="BF944" i="1"/>
  <c r="BT944" i="1"/>
  <c r="BF945" i="1"/>
  <c r="BT945" i="1"/>
  <c r="BF946" i="1"/>
  <c r="BT946" i="1"/>
  <c r="BF947" i="1"/>
  <c r="BT947" i="1"/>
  <c r="BF948" i="1"/>
  <c r="BT948" i="1"/>
  <c r="BF949" i="1"/>
  <c r="BT949" i="1"/>
  <c r="BF950" i="1"/>
  <c r="BT950" i="1"/>
  <c r="BF951" i="1"/>
  <c r="BT951" i="1"/>
  <c r="BF952" i="1"/>
  <c r="BT952" i="1"/>
  <c r="BF953" i="1"/>
  <c r="BT953" i="1"/>
  <c r="BF954" i="1"/>
  <c r="BT954" i="1"/>
  <c r="BF955" i="1"/>
  <c r="BT955" i="1"/>
  <c r="BF956" i="1"/>
  <c r="BT956" i="1"/>
  <c r="BF957" i="1"/>
  <c r="BT957" i="1"/>
  <c r="BF958" i="1"/>
  <c r="BT958" i="1"/>
  <c r="BF959" i="1"/>
  <c r="BT959" i="1"/>
  <c r="BF960" i="1"/>
  <c r="BT960" i="1"/>
  <c r="BF961" i="1"/>
  <c r="BT961" i="1"/>
  <c r="BF962" i="1"/>
  <c r="BT962" i="1"/>
  <c r="BF963" i="1"/>
  <c r="BT963" i="1"/>
  <c r="BF964" i="1"/>
  <c r="BT964" i="1"/>
  <c r="BF965" i="1"/>
  <c r="BT965" i="1"/>
  <c r="BF966" i="1"/>
  <c r="BT966" i="1"/>
  <c r="BF967" i="1"/>
  <c r="BT967" i="1"/>
  <c r="BF968" i="1"/>
  <c r="BT968" i="1"/>
  <c r="BF969" i="1"/>
  <c r="BT969" i="1"/>
  <c r="BF970" i="1"/>
  <c r="BT970" i="1"/>
  <c r="BF971" i="1"/>
  <c r="BT971" i="1"/>
  <c r="BF972" i="1"/>
  <c r="BT972" i="1"/>
  <c r="BF973" i="1"/>
  <c r="BT973" i="1"/>
  <c r="BF974" i="1"/>
  <c r="BT974" i="1"/>
  <c r="BF975" i="1"/>
  <c r="BT975" i="1"/>
  <c r="BF976" i="1"/>
  <c r="BT976" i="1"/>
  <c r="BT977" i="1"/>
  <c r="BF978" i="1"/>
  <c r="BT978" i="1"/>
  <c r="BF979" i="1"/>
  <c r="BT979" i="1"/>
  <c r="BF980" i="1"/>
  <c r="BT980" i="1"/>
  <c r="BF981" i="1"/>
  <c r="BT981" i="1"/>
  <c r="BF982" i="1"/>
  <c r="BT982" i="1"/>
  <c r="BF983" i="1"/>
  <c r="BT983" i="1"/>
  <c r="BF984" i="1"/>
  <c r="BT984" i="1"/>
  <c r="BF985" i="1"/>
  <c r="BT985" i="1"/>
  <c r="BT986" i="1"/>
  <c r="BF987" i="1"/>
  <c r="BT987" i="1"/>
  <c r="BF988" i="1"/>
  <c r="BT988" i="1"/>
  <c r="BF989" i="1"/>
  <c r="BT989" i="1"/>
  <c r="BF990" i="1"/>
  <c r="BT990" i="1"/>
  <c r="BF991" i="1"/>
  <c r="BT991" i="1"/>
  <c r="BF992" i="1"/>
  <c r="BT992" i="1"/>
  <c r="BF993" i="1"/>
  <c r="BT993" i="1"/>
  <c r="BF994" i="1"/>
  <c r="BT994" i="1"/>
  <c r="BF995" i="1"/>
  <c r="BT995" i="1"/>
  <c r="BF996" i="1"/>
  <c r="BT996" i="1"/>
  <c r="BF997" i="1"/>
  <c r="BT997" i="1"/>
  <c r="BF998" i="1"/>
  <c r="BT998" i="1"/>
  <c r="BF999" i="1"/>
  <c r="BT999" i="1"/>
  <c r="BF1000" i="1"/>
  <c r="BT1000" i="1"/>
  <c r="BF1001" i="1"/>
  <c r="BT1001" i="1"/>
</calcChain>
</file>

<file path=xl/sharedStrings.xml><?xml version="1.0" encoding="utf-8"?>
<sst xmlns="http://schemas.openxmlformats.org/spreadsheetml/2006/main" count="67668" uniqueCount="8833">
  <si>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</si>
  <si>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</si>
  <si>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</si>
  <si>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</si>
  <si>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</si>
  <si>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</si>
  <si>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</si>
  <si>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</si>
  <si>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</si>
  <si>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</si>
  <si>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</si>
  <si>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</si>
  <si>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</si>
  <si>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</si>
  <si>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</si>
  <si>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</si>
  <si>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</si>
  <si>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</si>
  <si>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</si>
  <si>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</si>
  <si>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</si>
  <si>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</si>
  <si>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</si>
  <si>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</si>
  <si>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</si>
  <si>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</si>
  <si>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</si>
  <si>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</si>
  <si>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</si>
  <si>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</si>
  <si>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</si>
  <si>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</si>
  <si>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</si>
  <si>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</si>
  <si>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</si>
  <si>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</si>
  <si>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</si>
  <si>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</si>
  <si>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</si>
  <si>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</si>
  <si>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</si>
  <si>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</si>
  <si>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</si>
  <si>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</si>
  <si>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</si>
  <si>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</si>
  <si>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</si>
  <si>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</si>
  <si>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</si>
  <si>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</si>
  <si>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</si>
  <si>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</si>
  <si>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</si>
  <si>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</si>
  <si>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</si>
  <si>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</si>
  <si>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</si>
  <si>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</si>
  <si>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</si>
  <si>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</si>
  <si>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</si>
  <si>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</si>
  <si>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</si>
  <si>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</si>
  <si>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</si>
  <si>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</si>
  <si>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</si>
  <si>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</si>
  <si>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</si>
  <si>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</si>
  <si>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</si>
  <si>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</si>
  <si>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</si>
  <si>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Zhang, Q; Ding, QH; Ma, N; Wu, W</t>
  </si>
  <si>
    <t/>
  </si>
  <si>
    <t>Zhang, Qi; Ding, Qihui; Ma, Ning; Wu, Wei</t>
  </si>
  <si>
    <t>OH-BNNSs reinforced polyvinyl alcohol/ carboxymethyl cellulose-based deep eutectic gel electrolyte for rechargeable zinc-air batteries</t>
  </si>
  <si>
    <t>COLLOIDS AND SURFACES A-PHYSICOCHEMICAL AND ENGINEERING ASPECTS</t>
  </si>
  <si>
    <t>As an important component of flexible Zinc-air batteries (ZAB), the gel electrolyte has a direct impact on battery performances and applications. Polyvinyl alcohol (PVA) is a commonly used electrolyte matrix material in ZAB, which has film-forming and environment-friendly, but poor mechanical properties and ionic conductivity limit its application in flexible ZAB. As a new type of environment-friendly solvent, deep eutectic solvent (DES) not only has the extremely low volatility, excellent electrochemical stability and excellent thermal stability, but also has the advantages of low cost and stable performances. Hydroxy-boron nitride nanosheets (OH-BNNSs) are obtained by grafting hydroxyl groups onto boron nitride nanosheets. In this paper, PVA was modified by carboxymethyl cellulose (CMC) firstly. After adding DES and OH-BNNSs, the deep eutectic gel electrolyte was obtained by cryogenic freezing. The optimized system containing 50 wt% DES and 1 wt% OH-BNNSs demonstrated remarkable enhancements. Ionic conductivity increased to 137.61 mS.cm-1, representing a 1.86-fold improvement over conventional PVA-based electrolytes. Electrolyte uptake rate reached 183.5% with 88.7% retention rate after 12 h, achieving 2.03-fold and 1.92-fold of the performance of PVA, respectively. Mechanical properties showed substantial gains, with elongation at break escalating to 586% (3.66 times better than PVA) and tensile strength registering 0.55 MPa. When implemented in ZAB, power density peaked at 35.3 mW.cm-2, surpassing pure PVA by 4.53-fold. Cycling stability exhibited prolonged durability, sustaining 110 cycles over 36.7 h at 1 mA.cm-2. Single discharge duration attained 10.7 h. Our paper provides design scheme and theoretical references for application and progress of flexible devices.</t>
  </si>
  <si>
    <t>0927-7757</t>
  </si>
  <si>
    <t>1873-4359</t>
  </si>
  <si>
    <t>NOV 20</t>
  </si>
  <si>
    <t>10.1016/j.colsurfa.2025.137514</t>
  </si>
  <si>
    <t>WOS:001518216000002</t>
  </si>
  <si>
    <t>Lv, Y; Li, JF; Zhang, ZB; Liu, Y; Yuan, JN; Lin, JN; Wang, XL</t>
  </si>
  <si>
    <t>Lv, Yang; Li, Jianfu; Zhang, Zhaobin; Liu, Yong; Yuan, Jianan; Lin, Jiani; Wang, Xiaoli</t>
  </si>
  <si>
    <t>Mixed ionic-electronic conduit of Ca2+ confined by two-dimensional multicomponent boron-carbon layers</t>
  </si>
  <si>
    <t>JOURNAL OF PHYSICS AND CHEMISTRY OF SOLIDS</t>
  </si>
  <si>
    <t>Mixed ionic-electronic conductor (MIEC) materials have widespread applications in fuel cells, all-solid-state battery electrode interface modification materials, and memory devices. Here, we reveal the two-dimensional superionic conduction between graphene-like B-C layers in the Ca-B-C (Ca2BC11, CaBC5, CaB2C4, and CaB3C3) compounds. Through molecular dynamics simulations driven by high-precision machine learning potentials, which can be tuned within the range of 900-2100 K with defect concentrations as high as 4.8 %. We discovered that the vacancy mechanism between the hexagonal prism drives its superionic diffusion. The ratio of B and C within the framework can modify the covalent (ICOHP) and ionic (Bader) interactions between the compound and Ca2+, along with the interlayer spacing, thereby significantly influencing the superionic transition temperature. Furthermore, the superionic behavior across multiple phases obviates the need for synthesizing pure-phase materials. With excellent thermal and mechanical stability, these compounds of varying compositions are prospective candidates for high-temperature-resistant electrodes and interface enhancement materials and possess potential applications in many extreme conditions.</t>
  </si>
  <si>
    <t>Li, Jianfu/CAH-0685-2022</t>
  </si>
  <si>
    <t>0022-3697</t>
  </si>
  <si>
    <t>1879-2553</t>
  </si>
  <si>
    <t>NOV</t>
  </si>
  <si>
    <t>10.1016/j.jpcs.2025.112842</t>
  </si>
  <si>
    <t>WOS:001496942000001</t>
  </si>
  <si>
    <t>Maity, CK; Acharya, S; De, S; Sahoo, S; Kim, MJ; Nayak, GC</t>
  </si>
  <si>
    <t>Maity, Chandan Kumar; Acharya, Sourav; De, Shrabani; Sahoo, Sumanta; Kim, Myung Jong; Nayak, Ganesh Chandra</t>
  </si>
  <si>
    <t>Boron nitride, a versatile nanostructure: Advances in synthesis, modifications, and energy storage applications</t>
  </si>
  <si>
    <t>JOURNAL OF POWER SOURCES</t>
  </si>
  <si>
    <t>The current energy research is exceedingly dependent on 2D nanomaterials. Among graphene-analogous 2D materials, boron nitride (BN) has been expansively studied for energy research. This review article exposes several imperative advances of BN for energy storage technologies. Owing to its superior compatibility, BN has been extensively integrated with other advanced energy materials. In this review, the fundamental aspects of BN and its derivatives are summarized for energy storage applications. The relation between the structure and surface chemistry of such materials is thoroughly emphasized. This article first introduces the characteristics and structural features of BN nanomaterials. A brief overview of the synthetic strategies for BN nanostructures including BN nanosheets, BN nanotubes etc. and their composites with different nanomaterials is included. Functionalization and hybridization are the two effective ways to tune the surface characteristics of BN, which are also summarized in this review. The most recent research progressions of BN in energy storage systems, such as supercapacitors, secondary batteries, hydrogen storage, and as a component of gel electrolytes and membranes, are broadly reviewed. Lastly, the prospects and crucial challenges related to the energy-related applications of BN are well emphasized regarding future innovative research in this booming field.</t>
  </si>
  <si>
    <t>Sahoo, Sumanta/H-9443-2019; Maity, Chandan/KIE-3828-2024; Nayak, Ganesh/MBG-1609-2025</t>
  </si>
  <si>
    <t>0378-7753</t>
  </si>
  <si>
    <t>1873-2755</t>
  </si>
  <si>
    <t>OCT 15</t>
  </si>
  <si>
    <t>10.1016/j.jpowsour.2025.237759</t>
  </si>
  <si>
    <t>WOS:001525378800001</t>
  </si>
  <si>
    <t>Dang, YZ; Wu, YR; Xu, Z; Wang, JX; Zheng, RG; Song, ZS; Wang, ZY; Lin, XP; Liu, YG; Wang, D</t>
  </si>
  <si>
    <t>Dang, Yuzhen; Wu, Yurong; Xu, Zhe; Wang, Jianxing; Zheng, Runguo; Song, Zhishuang; Wang, Zhiyuan; Lin, Xiaoping; Liu, Yanguo; Wang, Dan</t>
  </si>
  <si>
    <t>Entropy-mediated layered oxide cathodes: Synergistic channel expansion and strain control for sodium-ion batteries at cryogenic conditions</t>
  </si>
  <si>
    <t>JOURNAL OF ENERGY CHEMISTRY</t>
  </si>
  <si>
    <t>O3-type layered oxide cathodes for sodium-ion batteries are promising owing to high theoretical capacity and broad temperature adaptability, yet hindered by structural degradation and sluggish Na* diffusion kinetics. Herein, we present a sodium-deficient high-entropy layered oxide cathode (Na0.85Ni0.3Mn0.3Fe0.1Co0.15Ti0.1Cu0.05B0.02O2, denoted as Na0.85-HEO), combining sodium content optimization and high-entropy composition design. Incorporating six transition metals and light element boron creates a unique high-entropy configuration, effectively mitigating local lattice distortion and internal strain through chemical disorder effects, thereby enabling highly reversible phase transitions (O3-P3-O3) and smaller volume change (0.6 &amp; Aring;3 ) during the initial cycle. The sodium-deficient high-entropy design effectively increases the sodium interlayer spacing to 0.322 nm, facilitating the Na* diffusion kinetics. Moreover, this high-entropy strategy enables the cathode to have a completely solid solution charge curve and significantly reduces the proportion of (O2)n- , thereby suppressing gas release during the cycling process. The resultant cathode demonstrates exceptional cyclability (80% capacity retention after 400 cycles at 100 mA g-1 in a full cell), and remarkable low-temperature performance (108.6 mAh g-1 at -40 degrees C). This work guides the design of high-entropy electrode materials with tailored ionic transport channels for extreme-temperature energy storage applications. (c) 2025 Science Press and Dalian Institute of Chemical Physics, Chinese Academy of Sciences. Published by Elsevier B.V. and Science Press. All rights are reserved, including those for text and data mining, AI training, and similar technologies.</t>
  </si>
  <si>
    <t>lin, shopping/IAP-5041-2023</t>
  </si>
  <si>
    <t>2095-4956</t>
  </si>
  <si>
    <t>OCT</t>
  </si>
  <si>
    <t>10.1016/j.jechem.2025.06.006</t>
  </si>
  <si>
    <t>WOS:001523191000001</t>
  </si>
  <si>
    <t>Li, JQ; Bu, Y; Zhang, ZH; Xie, TS; Zhou, LJ; Li, LF; Zhao, D; Pei, WL</t>
  </si>
  <si>
    <t>Li, Jiaqi; Bu, Yao; Zhang, Zhenghang; Xie, Tongsen; Zhou, Longjie; Li, Lifei; Zhao, Dong; Pei, Wenli</t>
  </si>
  <si>
    <t>Preparation of B-doped LATP solid electrolyte with enhanced ionic conductivity via Spark Plasma sintering</t>
  </si>
  <si>
    <t>MATERIALS SCIENCE AND ENGINEERING B-ADVANCED FUNCTIONAL SOLID-STATE MATERIALS</t>
  </si>
  <si>
    <t>Li1+xAlxTi2_x(PO4)3 (LATP) is a highly promising solid-state electrolyte for next-generation batteries. However, its practical application is hindered by insufficient ionic conductivity. To address this limitation, this study proposes a dual strategy combining boron (B) doping with Spark Plasma Sintering (SPS) technology. B-doped Li1.4Al0.4_xBxTi1.6(PO4)3 (x = 0, 0.1, 0.2, 0.3) nanopowders were synthesized via a sol-gel method, achieving phase purity at a reduced synthesis temperature of 700 degrees C and sub-300 nm particle sizes. The introduction of B not only refined particle dimensions but also enhanced ionic transport. Subsequent densification of the nano-powders into ceramic sheets by the SPS technique further amplified ionic conductivity, with the optimal composition (x = 0.2) reaching 0.769 mS/cm under 50 MPa/900 degrees C conditions. These results highlight the synergistic role of moderate B doping and SPS in overcoming LATP's conductivity limitations, advancing its viability for high-performance solid-state batteries.</t>
  </si>
  <si>
    <t>Li, Jiaqi/ABD-2009-2020</t>
  </si>
  <si>
    <t>0921-5107</t>
  </si>
  <si>
    <t>1873-4944</t>
  </si>
  <si>
    <t>10.1016/j.mseb.2025.118442</t>
  </si>
  <si>
    <t>WOS:001501716600002</t>
  </si>
  <si>
    <t>Pujitha, IM; Karmakar, S; Samanta, B; Kobi, S; More, S; Mukhopadhyay, A</t>
  </si>
  <si>
    <t>Pujitha, Illa Mani; Karmakar, Sreyanka; Samanta, Bibek; Kobi, Sushobhan; More, Shivam; Mukhopadhyay, Amartya</t>
  </si>
  <si>
    <t>Influence of boron substitution at Si-site and associated interplay between structure, water-stability, ion-transport and interfacial resistance of NASICON-structured Na3Zr2Si2PO12-based solid electrolyte</t>
  </si>
  <si>
    <t>SCRIPTA MATERIALIA</t>
  </si>
  <si>
    <t>Boron (B3+) substitution for Si4+ in the tetrahedral site of NASICON-structured Na3Zr2Si2PO12-based polycrystalline solid electrolyte (NZSP), as confirmed via diffraction and solid-state B-11 NMR, has been found to improve the sinter-density to similar to 98.4 %rho(th) (from similar to 93.2 %rho(th)) and enlarge the grain size by similar to 73 %. The combination of enhanced grain/bulk Na-ion conductivity due to increment in the Na-content and lowered grain-boundary resistance due to enlarged grain size, as well as accrued sinter-density, results in an overall enhancement of Na-ion conductivity by similar to 143 %. Shrinkage of unit cell and reduction in grain boundary area also render B3+-substituted NZSP 'water-stable'. Furthermore, B3+-substitution improves mechanical properties and lowers Na/NZSP interfacial resistance (by similar to 58 %; to similar to 194 Omega cm(2)), which are beneficial towards suppression of Na-dendrite growth/penetration. Overall, this work not only reveals an interesting interplay between the above aspects for inorganic ion conductors, but also showcases the importance of adopting an integrated strategy towards the development of superior solid electrolytes for next-generation solid-state batteries.</t>
  </si>
  <si>
    <t>Samanta, Bibek/LSJ-5014-2024; MUKHOPADHYAY, AMARTYA/AAG-8144-2021</t>
  </si>
  <si>
    <t>1359-6462</t>
  </si>
  <si>
    <t>1872-8456</t>
  </si>
  <si>
    <t>OCT 1</t>
  </si>
  <si>
    <t>10.1016/j.scriptamat.2025.116800</t>
  </si>
  <si>
    <t>WOS:001512593400002</t>
  </si>
  <si>
    <t>Yuan, YJ; Zhang, WY; Wang, L; Zhao, ZW; Yao, YC; Li, Y; Dong, ZQ; Yuan, LL</t>
  </si>
  <si>
    <t>Yuan, Yajie; Zhang, Weiya; Wang, Li; Zhao, Zongwen; Yao, Yaochun; Li, Yin; Dong, Zhunqin; Yuan, Lingling</t>
  </si>
  <si>
    <t>Dual-functional TiN/BN@separator for enhanced electrochemical performance and safety of lithium-ion batteries</t>
  </si>
  <si>
    <t>JOURNAL OF ENERGY STORAGE</t>
  </si>
  <si>
    <t>As the energy density of lithium-ion batteries continues to increase, the performance requirements for separators have become more stringent. Traditional polyolefin separators offer advantages such as low cost and excellent chemical stability. But they suffer from poor electrolyte wettability, thermal stability, and high interfacial resistance, which hinder the development of high-performance lithium-ion batteries. To address these issues, this study introduces a blending coating method using titanium nitride and boron nitride particles to enhance the overall performance of polypropylene separators. The TiN/BN@PP-15 separator demonstrates superior wettability, thermal stability, and electrochemical performance. Under a high discharge rate of 5C, it achieves an initial discharge capacity of 130.7 mAh g-1. Additionally, batteries assembled with the TiN/BN@PP-15 separator exhibit the lowest interfacial resistance of 79.7 Omega, a high ionic conductivity of 0.466 mS cm- 1, and a lithium-ion diffusion coefficient of 11.7 x 10-14 cm2 s- 1. These results indicate that the co-blending coating of TiN and BN particles not only improves the physicochemical properties of PP separators but also ensures high discharge capacity and cycling stability under high-rate conditions, providing reliable technical support for high energy density and high rate energy storage systems.</t>
  </si>
  <si>
    <t>2352-152X</t>
  </si>
  <si>
    <t>2352-1538</t>
  </si>
  <si>
    <t>SEP 30</t>
  </si>
  <si>
    <t>B</t>
  </si>
  <si>
    <t>10.1016/j.est.2025.117608</t>
  </si>
  <si>
    <t>WOS:001529006300004</t>
  </si>
  <si>
    <t>Lu, JJ; Dong, QJ; Liao, K; Yao, MJ; Guo, H; Tian, QQ; Hu, H; Huang, H; Li, WY; Sun, ZY; Chen, Q; Han, XP; Hu, WB</t>
  </si>
  <si>
    <t>Lu, Jiongjing; Dong, Qiujiang; Liao, Kang; Yao, Minjie; Guo, Hao; Tian, Qianqiu; Hu, Hui; Huang, He; Li, Wanyao; Sun, Zhaoyong; Chen, Qiang; Han, Xiaopeng; Hu, Wenbin</t>
  </si>
  <si>
    <t>Dual-interface engineering via boron pre-anchoring and electronegative synergy for coupled ion transport and self-stabilizing interphases in lithium metal batteries</t>
  </si>
  <si>
    <t>ENERGY STORAGE MATERIALS</t>
  </si>
  <si>
    <t>Lithium metal anodes hold immense promise for next-generation high-energy-density batteries due to their outstanding theoretical capacity and low electrochemical potential. Despite these advantages, their practical implementation remains restricted by the unstable solid electrolyte interphase (SEI) and the uncontrollable lithium dendrite growth, which compromise cycling stability and safety. In this work, we propose a dual-interface engineering approach involving boron pre-anchoring in lithium anodes and coordination with electronegative components. This design establishes coupled mechanisms for ion transport optimization and self-stabilizing interphase formation through a hierarchical interface architecture. Theoretical simulations reveal that pre-embedded boron atoms lower the adsorption energy for lithium-ion diffusion while directing homogeneous metal deposition. Consequently, symmetric cells deliver stable Li plating/stripping behavior for over 2500 hat 0.5 mA cm-2. Full cells paired with LiCoO2 retain 92 % capacity after 200 cycles, while Li-B||NCM811 pouch cells (6.5Ah) exhibit a high energy density of 526 Wh kg-1 and maintain 95 % capacity retention after 60 cycles. The interfacial design principles provide a blueprint for synchronizing ion transport kinetics and chemical stability in high-performance lithium metal batteries.</t>
  </si>
  <si>
    <t>2405-8297</t>
  </si>
  <si>
    <t>2405-8289</t>
  </si>
  <si>
    <t>SEP</t>
  </si>
  <si>
    <t>10.1016/j.ensm.2025.104466</t>
  </si>
  <si>
    <t>WOS:001544970700004</t>
  </si>
  <si>
    <t>Liu, XC; Wen, JX; Zhao, XW; Shang, B; Lei, JL; Li, LJ; Pan, FS</t>
  </si>
  <si>
    <t>Liu, Xiaochen; Wen, Jiaxin; Zhao, Xingwang; Shang, Bo; Lei, Jinglei; Li, Lingjie; Pan, Fusheng</t>
  </si>
  <si>
    <t>Innovative fluorinated boron-based electrolyte harmonizes interface chemistry-electrochemistry of Mg anode for accessible rechargeable Mg battery</t>
  </si>
  <si>
    <t>CHEMICAL ENGINEERING JOURNAL</t>
  </si>
  <si>
    <t>The development of promising boron-based electrolyte for rechargeable magnesium batteries (RMBs) is constrained by high costs and cumbersome synthesis. Herein, an accessible and innovative magnesium phenyl fluoroborate complex electrolyte (MPFBC) has been designed, which employs cheap boron trifluoride as both the boron and fluorine source, utilizing a facile Lewis acid-base reaction for synthesis. The MPFBC electrolyte is capable of stable cycling of Mg||Mg cells at 0.5 mA cm(-2) with low overpotential (&lt;100 mV) and maintains a decent discharge specific capacity of 62.6 mAh g(-1) after 1000 cycles of the Mg||Mo6S8 battery at 0.5C. Further, the complementary advantages of chemistry and electrochemistry have been highlighted for the first time to harmonizes interface chemistry of Mg anode. A complementation combining the in-situ pre-corrosion driven by chemical process and the Mg2+-conducting layer formed through electrochemical process enables controllable interface chemistry and interface evolution. The design and synthesis of MPFBC pave a feasible way for commercialization of boron-based electrolytes, and simultaneously the interface regulation strategy of chemistry-electrochemistry complementary advantages enriches the interface theories of RMBs.</t>
  </si>
  <si>
    <t>1385-8947</t>
  </si>
  <si>
    <t>1873-3212</t>
  </si>
  <si>
    <t>AUG 15</t>
  </si>
  <si>
    <t>10.1016/j.cej.2025.164545</t>
  </si>
  <si>
    <t>WOS:001517527500001</t>
  </si>
  <si>
    <t>Sun, QH; Chen, ZL; Dong, KY; Lv, T; Li, X; Zhai, DM; Tang, WY; Chen, T</t>
  </si>
  <si>
    <t>Sun, Quanhu; Chen, Zilin; Dong, Keyi; Lv, Tian; Li, Xiao; Zhai, Dongmei; Tang, Weiyang; Chen, Tao</t>
  </si>
  <si>
    <t>A bifunctional catalyst of CoO/NBC composite for high-performance rechargeable flexible zinc-air battery</t>
  </si>
  <si>
    <t>JOURNAL OF COLLOID AND INTERFACE SCIENCE</t>
  </si>
  <si>
    <t>Rechargeable flexible zinc-air batteries (ZABs) represent a promising energy-supply device for wearable electronics due to their low cost, safety and high energy density, but their electrochemical performance often suffers from the sluggish reaction kinetics of air electrode and poor moisture-retention ability of polymer electrolytes. Here, we report a type of high-performance rechargeable flexible ZABs endowed by an efficient bifunctional catalyst for air electrode and a high moisture-retention hydrogel electrolyte. The designed nitrogen-boron co-doped carbon nanotube arrays loaded with cobalt oxide nanoparticles (CoO/NBC) with abundant catalytic active sites and oriented structure provide its excellent electrochemical catalytic activities for both oxygen reduction reaction and oxygen evolution reaction. Based on the bifunctional catalyst of CoO/NBC, the developed rechargeable ZABs exhibit a high open-circuit voltage of 1.44 V and a high energy density of 920.0 Wh kg-1, which are superior than commercial Pt/C + RuO2 and most reported non-precious metal catalysts. Furthermore, a trehalose modified polyacrylamide hydrogel electrolytes (trehalose/PAAm) with high moisture-retention has been synthesized to construct flexible ZABs, which not only exhibit outstanding electrochemical performance (1.39 V and 824.8 Wh kg-1), but also show excellent stability even after 400 charge/discharge cycles or being bent to any angle.</t>
  </si>
  <si>
    <t>0021-9797</t>
  </si>
  <si>
    <t>1095-7103</t>
  </si>
  <si>
    <t>10.1016/j.jcis.2025.137537</t>
  </si>
  <si>
    <t>WOS:001467369200001</t>
  </si>
  <si>
    <t>Bongu, CS; Shafaut, T; Alsharaeh, EH</t>
  </si>
  <si>
    <t>Bongu, Chandra Sekhar; Shafaut, Taghreed; Alsharaeh, Edreese H.</t>
  </si>
  <si>
    <t>2D (Boron Nitride/Graphene/Molybdenum Disulfide) Composite-Modified Separator for High-Performance Li-S Batteries</t>
  </si>
  <si>
    <t>ENERGY &amp; FUELS</t>
  </si>
  <si>
    <t>Lithium-sulfur (Li-S) batteries' high specific capacity and energy density make them among the most attractive electrochemical energy storage devices. Nevertheless, their practical applicability is greatly impeded by slow redox kinetics and the shuttle effect of polysulfides. It is expected that this study's separator modification technique will solve these problems. Here, a composite with two-dimensional (2D) materials (BN/MoS2/G) is used to reduce shuttle effects and increase the cyclability of the Li-S battery. The unique interlayer of the BN/MoS2/G (5:5) (B-G:M-5:5) composite on the separator shows remarkable electrolyte wetting capabilities with a large specific surface area, making it suitable for the complete adsorption of lithium polysulfides (LiPSs). Furthermore, the active sites of boron nitride and molybdenum sulfide can bind to LiPSs and catalyze their conversion, thus blocking their penetration. The cell assembled with the modified B-G:M-5:5 separator exhibits a high-rate capability and outstanding cycle stability with a capacity of 562 mAh g-1 at 5C over 500 cycles. B-G:M-5:5 separator also successfully suppresses the dissolution and shuttling of soluble LiPSs in Li-S batteries compared to the other two composites (B-G:M-1:9 and B-G:M-9:1)-modified separators. This research offers fresh perspectives on how Li-S batteries regulate electrochemical processes.</t>
  </si>
  <si>
    <t>0887-0624</t>
  </si>
  <si>
    <t>1520-5029</t>
  </si>
  <si>
    <t>2025 AUG 8</t>
  </si>
  <si>
    <t>10.1021/acs.energyfuels.5c02545</t>
  </si>
  <si>
    <t>AUG 2025</t>
  </si>
  <si>
    <t>WOS:001546601800001</t>
  </si>
  <si>
    <t>Pagot, G; Garaga, MN; Vezzù, K; Itin, B; Greenbaum, SG; Di Noto, V</t>
  </si>
  <si>
    <t>Pagot, Gioele; Garaga, Mounesha N.; Vezzu, Keti; Itin, Boris; Greenbaum, Steven G.; Di Noto, Vito</t>
  </si>
  <si>
    <t>Unfolding the Network Structure of [Pyr14Cl/(BCl3)0.25]/(δ-MgCl2)x Ionic Liquid Using the BCl4- Probe</t>
  </si>
  <si>
    <t>SMALL STRUCTURES</t>
  </si>
  <si>
    <t>Magnesium batteries are emerging as a cutting-edge energy storage solution poised to revolutionize the battery industry. In this context, electrolytes play a pivotal role in the development of reliable and efficient devices. A family of new ionic liquid-based electrolytes is proposed for potential application in magnesium batteries. These electrolytes are synthesized through the reaction of 1-butyl-1-methylpyrrolidinium chloride (Pyr14Cl), boron trichloride, and varying amounts of delta-MgCl2. The thermal, structural, and coordination properties of the proposed electrolytes are studied using density functional theory calculations, high resolution thermogravimetry, modulated differential scanning calorimetry, and Fourier transform infrared investigations. For the first time, the structure and nature of interactions characterizing the anionic and cationic domains of ionic liquid electrolytes, as a function of delta-MgCl2 doping, are examined using BCl4- as a spectroscopic ion probe. These results are combined with features of electric response, as well as structural and local relaxation events investigated through broadband electrical spectroscopy and nuclear magnetic resonance studies, respectively, to elucidate the unique characteristics and conductivity mechanisms of the proposed materials. Finally, the reasonably high ionic conductivity of these electrolytes at room temperature makes these materials very promising for application in magnesium battery prototypes.</t>
  </si>
  <si>
    <t>Garaga, Mounesha/IUM-6149-2023; Di Noto, Vito/V-7843-2017; Pagot, Gioele/W-9000-2019</t>
  </si>
  <si>
    <t>2688-4062</t>
  </si>
  <si>
    <t>2025 AUG 6</t>
  </si>
  <si>
    <t>10.1002/sstr.202500157</t>
  </si>
  <si>
    <t>WOS:001544772700001</t>
  </si>
  <si>
    <t>Daniel, S; Kim, HC; Podilapu, AR</t>
  </si>
  <si>
    <t>Daniel, Shantharaja; Kim, Hyun Chul; Podilapu, Atchutha Rao</t>
  </si>
  <si>
    <t>Unveiling the Favorable Synergy of ZIF-9 and Borocarbonitride on rGO as a Bifunctional Electrocatalyst for Hydrogen and Oxygen Evolution Reactions in Alkaline Media</t>
  </si>
  <si>
    <t>LANGMUIR</t>
  </si>
  <si>
    <t>Exploitation of the reaction of hydrogen with oxygen as an energy source requires energy storage and conversion devices, such as metal-air batteries and fuel cells, which, in turn, require the development of low-cost materials with high electrocatalytic performance for hydrogen/oxygen evolution reactions (HER/OER).o develop highly efficient, bifunctional HER/OER electrocatalysts, the imidazole-substituted benzimidazole precursor 3 was used to synthesize a cobalt(II)-MOF (ZIF-9). Synthesized ZIF-9 was used as a sacrificial precursor, where the pyrolysis temperature and Co doping of the benzimidazole framework were tuned. Composites of ZIF-9 with boron carbon nitride (BCN) and graphene oxide (rGO) on carbon cloth (CC), denoted as ZIF-9 + BCN + rGO/CC, were prepared by varying the amounts of BCN and rGO in a ratio of 1:1, respectively, immobilized on the electrode surfaces. The nanocomposite catalysts were characterized using Fourier transform infrared spectroscopy, scanning electron microscopy, X-ray photoelectron spectroscopy, X-ray diffraction, thermogravimetric analysis, Brunauer-Emmett-Teller analysis, and Raman spectroscopy. The efficacy of the composite electrocatalysts as the working electrode for electrochemical water electrolysis via hydrogen and oxygen evolution reactions was evaluated by using spectroscopic and analytical techniques. The composite catalyst ZIF-9 + BCN + rGO/CC exhibited impressive performance, indicated by the overpotential, onset potential, and Tafel values in 1 M KOH electrolyte at a scan rate of 5 mV and overpotential of 10 mA cm-2. ZIF-9 + BCN + rGO/CC afforded eta 10 values of less than -222 mV (HER) and 374 mV (OER). The Tafel values were 39 mV/dec (HER) and 73 mV/dec (OER). The ZIF-9 + BCN + rGO/CC catalyst showed remarkable stability for approximately 50 h and was durable in basic media for both the hydrogen and oxygen evolution reactions. ZIF-9 + BCN + rGO/CC as a cathode and anode catalyst exhibited excellent performance in terms of overall electrocatalysis, superior to that of state-of-the-art catalysts.</t>
  </si>
  <si>
    <t>Daniel, Shantharaja/ABL-0397-2022</t>
  </si>
  <si>
    <t>0743-7463</t>
  </si>
  <si>
    <t>1520-5827</t>
  </si>
  <si>
    <t>2025 JUL 31</t>
  </si>
  <si>
    <t>10.1021/acs.langmuir.5c02189</t>
  </si>
  <si>
    <t>JUL 2025</t>
  </si>
  <si>
    <t>WOS:001541310400001</t>
  </si>
  <si>
    <t>Mapasha, RE; Fwalo, C; Igumbor, E; Hasan, SF; Hussain, T</t>
  </si>
  <si>
    <t>Mapasha, R. E.; Fwalo, C.; Igumbor, E.; Hasan, S. F.; Hussain, T.</t>
  </si>
  <si>
    <t>First-principles study on the role of Ti, V, and Sc catalysts in enhancing the catalytic effects of boron oxide monolayer for efficient Lithium-selenium batteries</t>
  </si>
  <si>
    <t>FLATCHEM</t>
  </si>
  <si>
    <t>Ongoing research on lithium-selenium batteries (LiSeB) aims to overcome setbacks caused by shuttle effects by exploring various cathode additive materials, with a particular focus on 2D materials. These materials are gaining popularity because of their unique properties, such as large surface areas, ballistic electronic transport, mechanical strength, and anisotropy, making them promising candidates for cathode additives in LiSeB. In this study, density functional theory (DFT) was used to investigate the interaction of lithium polyselenides (specifically Li2Sex where x = 1, 2, 4, 6, and 8, as well as Se8) on recently synthesized boron monoxide monolayer (BO). We investigated the influence of Li2Sex and Se8 on BO, focusing on the adsorption energy, the charge density distribution, Gibbs free energy changes, and the metallic characteristics for efficient LiSeB. The results showed that the adsorption energies of these Li2Sex and Se8 on pristine BO are relatively weak, ranging from-0.25 to-1.43 eV. In contrast, doping BO with scandium (Sc) significantly increased the adsorption energies, ranging from-2.65 to-3.74 eV, indicating a notable enhancement compared to other single-atom catalysts (SACs). The strong adsorption energy of Sc-doped BO suggested an improved ability to prevent the dissociation of Li2Sex and Se8 in the electrolyte, which is critical to address the notorious shuttle effects. Charge density distribution analyses further supported the presence of electronic interactions between the substrate and the adsorbed Li2Sex and Se8 via Sc catalysts, as evidenced by charge transfer from the adsorbate to the substrate. Furthermore, the investigation of Gibbs free energies revealed low charge, discharge, and overpotential values (0.1 V for pristine BO and 1.53 V for Sc-doped BO). The Sc-doped BO structure exhibited significantly enhanced metallic characteristics after adsorption of Li2Se and Li2Se4. Furthermore, the low diffusion (1.56 eV) and dissociation (1.72 eV) energy barriers for stable Li2Se on Sc-doped BO suggested the material's potential to improve electrochemical processes and enable higher charging rates in LiSeB. Ultimately, while pristine BO alone may not effectively address the challenges associated with LiSeB, doping it with Sc substantially enhances its properties as a cathode additive.</t>
  </si>
  <si>
    <t>2452-2627</t>
  </si>
  <si>
    <t>10.1016/j.flatc.2025.100918</t>
  </si>
  <si>
    <t>WOS:001544644200001</t>
  </si>
  <si>
    <t>Sarma, H; Puelles, JS; Joby, SK; Somers, A; Forsyth, M; Rowlands, S; Yu, BZ; Bayley, PM; Chen, FF; O'Dell, LA</t>
  </si>
  <si>
    <t>Sarma, Hridip; Puelles, Jhonatan S.; Joby, Shebin K.; Somers, Anthony; Forsyth, Maria; Rowlands, Steve; Yu, Baozhi; Bayley, Paul M.; Chen, Fangfang; O'Dell, Luke A.</t>
  </si>
  <si>
    <t>Adsorption of Fluorinated Ether Electrolyte Solvent Molecules on Boron Nitride Nanosheets Studied by Solid-State NMR and Computational Methods</t>
  </si>
  <si>
    <t>JOURNAL OF PHYSICAL CHEMISTRY LETTERS</t>
  </si>
  <si>
    <t>Boron nitride has recently been shown to play advantageous roles in lithium battery performance through its use as an electrolyte additive. However, its interactions with the electrolyte species remain poorly understood. In this work, a combination of solid-state nuclear magnetic resonance (NMR) spectroscopy and computational simulations has been used to probe the adsorption of a fluorinated electrolyte solvent molecule onto the surface of boron nitride nanosheets. 19F magic angle spinning NMR spectra obtained from a sample of BN nanosheets wetted with a 1,1,2,2-tetrafluoroethyl 2,2,3,3-tetrafluoropropyl ether (TTE)-based electrolyte show asymmetric peak shapes that stem from ring current effects arising from the aromatic nature of the BN sheets, which, along with computational analysis, provide information on the orientation of this solvent molecule when adsorbed on the BN surface.</t>
  </si>
  <si>
    <t>Yu, Baozhi/IST-9330-2023; Forsyth, Maria/ABH-8102-2020; Bayley, Paul/E-8569-2011; Chen, Fangfang/V-6406-2019; O'Dell, Luke/I-2569-2013</t>
  </si>
  <si>
    <t>1948-7185</t>
  </si>
  <si>
    <t>AUG 7</t>
  </si>
  <si>
    <t>10.1021/acs.jpclett.5c01962</t>
  </si>
  <si>
    <t>WOS:001540718000001</t>
  </si>
  <si>
    <t>Yang, ZX; Ye, YN; Meng, N; Lian, F</t>
  </si>
  <si>
    <t>Yang, Zhaoxia; Ye, Yuning; Meng, Nan; Lian, Fang</t>
  </si>
  <si>
    <t>Adaptive 3D Cross-Linked Single-Ion Conducting Polymer Electrolytes Enable Powerful Interface for Solid State Batteries</t>
  </si>
  <si>
    <t>ANGEWANDTE CHEMIE-INTERNATIONAL EDITION</t>
  </si>
  <si>
    <t>Single-ion conducting polymer electrolytes (SICPEs) are designed by covalently bonding anions to the polymers, which is attractive for mitigating anion aggregation-derived polarization. However, one major challenge for developing SICPEs with higher ambient ionic conductivity comes at the expense of structural robustness. Here, boron ion-centered lithium salt (LiT4PAB) with symmetric cross structure and terminal functional C &amp; boxH;C was proposed as a units, and then 3D coordination electrolyte (LiPHB) was constructed via chemical cross-linking of LiT4PAB with poly(vinylidene fluoride-co-hexafluoropropylene) (PVDF-HFP). The boron ion-centered units catenated by single bonds show the abundant conformation transitions, enabling the deformable architecture of LiPHB with the aid of electrostatic interactions of diphenylsulfonimide. Therefore, LiPHB undergoes adaptive deformation when subjected to impact, achieving good ductility with elastic moduli of 1.4 GPa and a maximum elongation of 447.4%. Moreover, LiPHB demonstrates 3D single lithium-ion transport channels to guide the homogeneous lithium deposition. As a results, lithium symmetric cells exhibit stable plating/stripping cycle for over 1500 h at 0.1 mA cm-2 at 30 degrees C. Li/LiPHB SICPEs/NCM811 solid-state batteries deliver a capacity retention of 90.3% in 150 cycles at 30 degrees C and 0.2 C. Our study shed light on the design strategies of the dynamic single-ion conducting polymer electrolytes for solid-state batteries.</t>
  </si>
  <si>
    <t>孟, 楠/AAZ-6496-2020; Lian, Fang/X-5381-2018</t>
  </si>
  <si>
    <t>1521-3773</t>
  </si>
  <si>
    <t>2025 JUL 29</t>
  </si>
  <si>
    <t>10.1002/anie.202505232</t>
  </si>
  <si>
    <t>WOS:001538226100001</t>
  </si>
  <si>
    <t>Wen, JY; Liu, C; Jing, MJ; Li, D; Hu, HH; Liu, HX; Wu, TJ; Yi, LH; Pei, Y; Zhong, X; Deng, WT; Zou, GQ; Hou, HS; Wang, XY; Ji, XB</t>
  </si>
  <si>
    <t>Wen, Jiayi; Liu, Cheng; Jing, Mingjun; Li, Dan; Hu, Honghui; Liu, Huaxin; Wu, Tianjing; Yi, Lanhua; Pei, Yong; Zhong, Xue; Deng, Wentao; Zou, Guoqiang; Hou, Hongshuai; Wang, Xianyou; Ji, Xiaobo</t>
  </si>
  <si>
    <t>Versatile defect-laden boronizing hard carbon for superior sodium-ion battery efficacy</t>
  </si>
  <si>
    <t>The cyclability of sodium-ion batteries (SIBs) remains significantly constrained by the limited electrical conductivity and sluggish intercalation kinetics of Na+ in conventional hard carbon (HC) electrodes. Herein, under isobaric conditions, defect-rich boron (B)-doped HC was synthesized via a straightforward pyrolysis method employing sodium tetraphenylborate (C24H20BNa) as the sole precursor. Furthermore, leveraging the advantages of the C24H20BNa, the pre-sodiation method was facilely implemented, mitigating the low initial Coulombic efficiency caused by boronization. Multiscale characterizations demonstrate that abundant active defective sites for Na+ storage are introduced by its B doping, substantially enhancing the conductivity and structural stability of HC. Density functional theory calculations confirm that all four B-C configurations induce favorable Na+ adsorption energy, particularly the BC3 motif, which further hasten local electron transfer and facilitate efficient charge transfer kinetics during cycling. Consequently, within the three-stage adsorption-insertion mechanism of Na, these functional B species boost the reduction voltage and thus enlarge capacities in the stage II (from reduction voltage to 0.55 V vs. Na/Na+). The B-doped HC exhibits an approximately seven-fold capacity (150 mAh g-1) than of the undoped carbon (22 mAh g-1) at stage II. This study highlights the promise of B-doped carbon for efficient SIBs and offers strategic guidance for optimizing cyclability.</t>
  </si>
  <si>
    <t>Liu, Huaxin/NPJ-2342-2025; YI, LANHUA/KYP-9326-2024; Zou, Guoqiang/W-9533-2019</t>
  </si>
  <si>
    <t>SEP 15</t>
  </si>
  <si>
    <t>10.1016/j.cej.2025.166436</t>
  </si>
  <si>
    <t>WOS:001541932200002</t>
  </si>
  <si>
    <t>Wang, YD; Liang, JC; Song, XM; Shen, TY; Ma, XK; Tie, ZX; Jin, Z</t>
  </si>
  <si>
    <t>Wang, Yaoda; Liang, Junchuan; Song, Xinmei; Shen, Tianyu; Ma, Xingkai; Tie, Zuoxiu; Jin, Zhong</t>
  </si>
  <si>
    <t>N-heterocyclic carbene as a potent LiNO3-solubilizer, Li+-solvation regulator and solid-electrolyte interphase enhancer for highly durable Lithium metal batteries</t>
  </si>
  <si>
    <t>Lithium metal batteries are considered promising high-energy-density power sources, but their development is hindered by severe Li dendrite growth and unstable solid electrolyte interphase (SEI) formation. Herein, we report the design of a synergistic-dual-additive electrolyte with unique solvation chemistry by simultaneously introducing N-heterocyclic carbene adduct with boron trifluoride (NHCABT) and lithium nitrate (LiNO3) into carbonate-based electrolytes. The addition of NHCABT with electron-deficient atoms can greatly enhance the solubility of LiNO3 in carbonate-based electrolytes, while the dissolution of LiNO3 is highly conducive to activating boron trifluoride receptor (-BF3) in the adduct. The synergistic effect of NHCABT and LiNO3 markedly optimizes the Li+ solvation sheath, induces the formation of stable SEI rich in numerous inorganic species, and effectively enhancing Li+ conductivity. Consequently, the Li||LiFePO4 batteries based on the synergistic-dualadditive electrolyte exhibit an ultralong cycling lifespan of 3000 cycles at 2.0 C and impressive lowtemperature electrochemical performances at -20 degrees C. When paired with aggressive LiNi0.8Co0.1Mn0.1O2 (NCM811) cathodes, the synergistic-dual-additive electrolyte enables Li||NCM811 batteries to work stably for over 1000 cycles at 1.0 C. This work presents an efficient synergistic-dual-additive strategy to boost the compatibility of carbonate-based electrolytes with lithium metal anodes, providing a promising solution for constructing highly durable lithium metal batteries.</t>
  </si>
  <si>
    <t>Shen, Tianyu/LTL-9494-2024</t>
  </si>
  <si>
    <t>10.1016/j.cej.2025.166397</t>
  </si>
  <si>
    <t>WOS:001543457600010</t>
  </si>
  <si>
    <t>Kim, S; Lee, YJ; Kim, H; Kim, Y; Jeong, S; Choi, I; Kim, HS; Yu, SH; Lee, D</t>
  </si>
  <si>
    <t>Kim, Seulgi; Lee, Yun-Jeong; Kim, Hyunki; Kim, Yechan; Jeong, Seungo; Choi, Ingyu; Kim, Han Seul; Yu, Seung-Ho; Lee, Dongju</t>
  </si>
  <si>
    <t>Nacre-inspired hybrid interface enabling controlled lithium deposition via ion modulation for lithium-sulfur batteries</t>
  </si>
  <si>
    <t>ADVANCED COMPOSITES AND HYBRID MATERIALS</t>
  </si>
  <si>
    <t>The performance of the lithium-metal anode is a key factor influencing the cycling stability of lithium-sulfur (Li-S) batteries. Here, we present a nacre-inspired hybrid protective layer (PBN-Li), composed of polyethylene oxide (PEO) and boron nitride nanosheets (BNNSs), applied to Li-metal anodes. The alternating soft-rigid layered architecture, mimicking natural nacre, enables a synergistic balance between mechanical robustness and interfacial adaptability. This structure not only enhances interfacial stability and capacity retention, but also contributes to lithium ion modulation, promoting uniform Li deposition and preventing dendrite formation. The well-dispersed hybrid components effectively suppress Li-metal depletion and electrolyte degradation. In addition, the high Li+ conductivity of both PEO and BNNS ensures sufficient ionic transport across the interface. As a result, the symmetric PBN-Li cell delivers remarkable cycling stability for over 400 h at 1 mA/cm2 and excellent rate performance up to 5 mA/cm2. Real-time observations further reveal the role of the hybrid protective layer in stabilizing lithium metal and enhancing long-term battery operation. A full cell paired with a sulfur cathode also demonstrates high-rate capability and outstanding cycle life, highlighting the effectiveness of the ion-regulating, nacre-inspired interface for advanced Li-S battery systems.</t>
  </si>
  <si>
    <t>Kim, Han Seul/JCP-2443-2023</t>
  </si>
  <si>
    <t>2522-0128</t>
  </si>
  <si>
    <t>2522-0136</t>
  </si>
  <si>
    <t>JUL 25</t>
  </si>
  <si>
    <t>10.1007/s42114-025-01380-4</t>
  </si>
  <si>
    <t>WOS:001536299500001</t>
  </si>
  <si>
    <t>Zhao, JJ; Wang, X; Kumar, A; Ge, XJ; Sun, YZ; Fan, MH; Pan, JQ</t>
  </si>
  <si>
    <t>Zhao, Jianjun; Wang, Xiao; Kumar, Anuj; Ge, Xiujie; Sun, Yanzhi; Fan, Maohong; Pan, Junqing</t>
  </si>
  <si>
    <t>Upcycling Waste Pyrolytic Carbon Black into Sustainable Ultrahigh Performance Anode for Sodium-Ion Batteries via Multi-Chemistry and Engineering Synergism</t>
  </si>
  <si>
    <t>ADVANCED FUNCTIONAL MATERIALS</t>
  </si>
  <si>
    <t>The study of solid waste-derived carbon as resource-sustainable anode materials for high-performance sodium-ion batteries (SIBs) is significant for their future commercialization. However, the problematic microstructure tuning and unclear Na storage mechanism, coupled with the large Na+ radius and slow diffusion kinetics, resulted in dissatisfactory specific capacity, rate, and durability. Herein, the chemistry and engineering synergistic modulation is employed to achieve expansive interlayer and boosted charge transmissibility of waste tires derived pyrolytic carbon black (CBp) with unprecedented cyclability and high-rate capacity. The expansive interlayer, pronounced pseudo-graphitic phases, newly formed B-C coordination, and localized partial electric field (LEF) enable the acceleration of the Na+ storage kinetics, increase the conductivity, and form an ultrathin inorganic-rich solid-electrolyte interface. The unique slope-type curve reflects an adsorption-intercalation structural evolution pattern of the surface/near-surface dominated by capacitive contributions. The BE-CBp-1000 exhibits a high reversible capacity of 413 mAh g-1 @ 50 mA g-1 with an incredible 96.9% retention after 5000 cycles at 10 A g-1, far superior to the recently reported results. Furthermore, the high energy density and outstanding cyclability of the full battery, as well as the techno-economic analyses, demonstrate the feasibility of engineering solid waste-derived carbon into ultrahigh-performance anodes via synergistic strategies.</t>
  </si>
  <si>
    <t>Pan, Junqing/X-3146-2019; Sun, Yanzhi/AHB-9282-2022; Zhao, Jianjun/GNW-3419-2022</t>
  </si>
  <si>
    <t>1616-301X</t>
  </si>
  <si>
    <t>1616-3028</t>
  </si>
  <si>
    <t>2025 JUL 23</t>
  </si>
  <si>
    <t>10.1002/adfm.202514035</t>
  </si>
  <si>
    <t>WOS:001533873800001</t>
  </si>
  <si>
    <t>Nguyen, TPT; Gao, WL; Humphries, TD; Zhong, YJ; Buckley, CE; Paskevicius, M</t>
  </si>
  <si>
    <t>Nguyen, Thi Phuong Thao; Gao, Wanli; Humphries, Terry D.; Zhong, Yijun; Buckley, Craig E.; Paskevicius, Mark</t>
  </si>
  <si>
    <t>Modifying Li2B12H12 to become a highly electrochemically stable solid electrolyte</t>
  </si>
  <si>
    <t>JOURNAL OF MATERIALS CHEMISTRY A</t>
  </si>
  <si>
    <t>Metal hydridoborates are promising electrolyte materials for next generation batteries. However, most hydridoborates show low ionic conductivity at room temperature and relatively poor electrochemical stability towards high-voltage cathodes. In this work, modifications to the Li2B12H12 solid electrolyte are undertaken by ball-milling, partial thermal decomposition and hydration. Impacts of morphological and structural changes on their ionic conductivity and electrochemical stability are analysed and discussed. A solid-state electrolyte synthesised by partial thermal decomposition of Li2B12H12 at 380 degrees C is reported to exhibit remarkable oxidative stability, greater than 6 V (vs. Li+/Li), and an increase by nearly 2 orders of magnitude in Li+ conductivity at 30 degrees C compared to the pristine material. Herein, partial thermal decomposition is proposed as a new approach to improve the electrochemical properties of metal hydridoborate-based solid electrolytes.</t>
  </si>
  <si>
    <t>Buckley, Craig/B-6753-2013; Gao, Wanli/D-4333-2016; Paskevicius, Mark/K-1638-2013; Zhong, Yijun/H-1647-2013; Humphries, Terry/A-2042-2014</t>
  </si>
  <si>
    <t>2050-7488</t>
  </si>
  <si>
    <t>2050-7496</t>
  </si>
  <si>
    <t>2025 JUL 21</t>
  </si>
  <si>
    <t>10.1039/d5ta02774h</t>
  </si>
  <si>
    <t>WOS:001541468300001</t>
  </si>
  <si>
    <t>Qu, DJ; Liu, T; Sun, YL; Yan, YW; Li, CC; Cui, ZL; Gao, CW; Kong, SC; Zhang, ZQ; Liu, ZM; Zhang, S; Wang, ST; Lv, ZL; Xu, GJ; Li, GC; Cui, GL</t>
  </si>
  <si>
    <t>Qu, Dejie; Liu, Tao; Sun, Youlong; Yan, Yuewei; Li, Chuanchuan; Cui, Zili; Gao, Chuanwei; Kong, Shuaice; Zhang, Zengqi; Liu, Zhiming; Zhang, Shu; Wang, Shitao; Lv, Zhaolin; Xu, Gaojie; Li, Guicun; Cui, Guanglei</t>
  </si>
  <si>
    <t>Macromolecular Boron-Based Salt Enables Dense Interphases for Long-Cycling Lithium-Sulfur Batteries</t>
  </si>
  <si>
    <t>ADVANCED MATERIALS</t>
  </si>
  <si>
    <t>Lithium-sulfur (Li-S) batteries represent a compelling next-generation energy storage system with practical energy densities exceeding 700 Wh kg-1, offering a promising pathway beyond current lithium-ion technology. However, their commercial viability remains constrained by deleterious interfacial reactions between lithium metal anodes and polysulfide-containing electrolytes. Herein, it is presented a molecular engineering approach through a novel boron-based salt, lithium perfluoropinacolatoborate (LiFPB), strategically designed to reinforce the solid electrolyte interphase (SEI) for long-cycling Li-S batteries. LiFPB anions, featuring higher specific charge (mass-to-charge ratio) and larger steric bulk compared to conventional salts, demonstrate enhanced resistance to Helmholtz double-layer repulsion and increased susceptibility to lithium metal reduction, promoting the formation of a robust SEI enriched with LiF and LiBxOy species. The LiFPB-containing electrolyte exhibits superior lithium metal compatibility, achieving a high coulombic efficiency of 99.59%. Consequently, Li-S cells demonstrate markedly improved capacity retention from 50.9% to 75.7% over 200 cycles. This strategy has been successfully scaled to Ah-level Li-S pouch cells, achieving practical energy densities of 408 Wh kg-1 with stable cycling over 75 cycles. This work presents an effective approach to developing long-cycling Li-S batteries through the rational design of electrolyte salt.</t>
  </si>
  <si>
    <t>Li, Chuanchuan/N-1146-2017; Wang, Shitao/MSV-5599-2025; Cui, Guanglei/AAS-7889-2021; Xu, Gaojie/GOK-2252-2022</t>
  </si>
  <si>
    <t>0935-9648</t>
  </si>
  <si>
    <t>1521-4095</t>
  </si>
  <si>
    <t>10.1002/adma.202505762</t>
  </si>
  <si>
    <t>WOS:001531490600001</t>
  </si>
  <si>
    <t>Liu, KX; Xie, Y; Ding, T; Guo, C; Guo, P; Liu, J; Liu, X; Shi, LY; Pan, ZH; Cai, XS; Wang, JM; Wang, ZY; Shi, GS; Yuan, S</t>
  </si>
  <si>
    <t>Liu, Kexin; Xie, Yun; Ding, Tao; Guo, Cong; Guo, Pan; Liu, Jie; Liu, Xing; Shi, Liyi; Pan, Zhihao; Cai, Xuesong; Wang, Jianming; Wang, Zhuyi; Shi, Guosheng; Yuan, Shuai</t>
  </si>
  <si>
    <t>High-Strength Ultrathin Solid-State Electrolyte with Ion-Rectifying Honeycomb-Like Skeleton for Lithium Metal Batteries Free from External Pressure</t>
  </si>
  <si>
    <t>This work breaks the long-standing thickness-performance trade-off in solid-state electrolytes by designing an ultrathin (10 mu m) membrane featuring an ion-rectifying honeycomb-like skeleton. The composite skeleton integrates boron nitride nanofibers (BNNFs) and lithiated nafion (Linafion) mosaics, simultaneously enabling rapid Li+ transport and reinforcing mechanical robustness. The BNNFs provide abundant Lewis acid sites to anchor TFSI- anions, while Linafion domains facilitate rapid cation exchange via sulfonic acid groups, synergistically promoting Li+ dissociation from both lithium salts and poly(ester-ether). This unique ion-rectification mechanism achieves ultrafast Li+ conduction with a low activation energy (0.099 eV), yielding a remarkable room-temperature ionic conductivity of 5.5 x 10-4 S cm-1 and a high Li+ transference number of 0.85. The all solid-state electrolyte membrane simultaneously exhibits exceptional tensile strength (30 MPa) and compatibility with high-loading NCM811 cathodes (12 mg cm-2) and ultrathin lithium anodes (40 mu m). The pouch-type full cells deliver high energy densities (316.6 Wh kg-1, 838.1 Wh L-1) and cycling stability (92.2% retention after 100 cycles) at 25 degrees C. Notably, the full cell can work in a wide temperature range, while maintaining 120.6 mAh g-1 at -10 degrees C without external pressure. This strategy enables practical high-energy solid-state batteries using ultrathin electrolytes with robust mechanics, rapid conduction, and interfacial stability.</t>
  </si>
  <si>
    <t>Shi, Liyi/AAV-1235-2021; Yuan, S./L-4079-2019</t>
  </si>
  <si>
    <t>2025 JUL 14</t>
  </si>
  <si>
    <t>10.1002/adfm.202511558</t>
  </si>
  <si>
    <t>WOS:001527458600001</t>
  </si>
  <si>
    <t>Han, SY; Guo, HY; Meng, AT; Zhu, L; Tang, WP; Chen, JC</t>
  </si>
  <si>
    <t>Han, Songyi; Guo, Hongyao; Meng, Aiting; Zhu, Lei; Tang, Weiping; Chen, Junchao</t>
  </si>
  <si>
    <t>Stabilizing Solid-State Li Metal Batteries via a Poly(ethylene oxide)-LiTFSI@Boron Nitride Interfacial Layer</t>
  </si>
  <si>
    <t>BATTERIES &amp; SUPERCAPS</t>
  </si>
  <si>
    <t>Na super-ionic conductor (NASICON)-structured solid electrolyte Li1.3Al0.3Ti1.7(PO4)(3) (LATP) excels in mechanical strength, ionic conductivity, and commercialization prospect, yet its incompatibility against Li metal anode typically leads to interfacial failure, significantly reducing the overall electrochemical performance of fabricated solid-state Li metal batteries (SSLMBs). Here, this issue is tackled by interposing an in situ cured poly(ethylene oxide) (PEO)-LiTFSI@BN interfacial layer between LATP and Li metal. This layer exhibits an ionic conductivity of 7.76 x 10(-5) S cm(-1) at room temperature, robust thermostability, as well as satisfactory stability against Li metal (critical current density: 1.5 mA cm(-2)). A Li|LATP|Li symmetric cell employing the interfacial layer demonstrates long cyclic stability over 1200 cycles with a low overpotential of +/- 100 mV. Furthermore, this interfacial layer enables a LiNi0.5Co0.2Mn0.3O2 (NCM523)|LATP|Li metal SSLMB to sustain 120 cycles of operation at a cutoff voltage of 4.2 V. This work provides a practical strategy for integrating the LATP solid electrolyte into SSLMBs.</t>
  </si>
  <si>
    <t>2566-6223</t>
  </si>
  <si>
    <t>2025 JUL 11</t>
  </si>
  <si>
    <t>10.1002/batt.202500386</t>
  </si>
  <si>
    <t>WOS:001526779100001</t>
  </si>
  <si>
    <t>Vashishth, S; Vidyarthi, U; Garg, A; Servottam, S; Eswaramoorthy, M</t>
  </si>
  <si>
    <t>Vashishth, Surishi; Vidyarthi, Ujjwal; Garg, Abhishek; Servottam, Swaraj; Eswaramoorthy, M.</t>
  </si>
  <si>
    <t>Correlating the mechanism, kinetics, and SEI formation of a boron-doped graphene anode for high-performance alkali ion batteries</t>
  </si>
  <si>
    <t>Graphite has been used extensively for Li-ion batteries (LIBs) due to its low cost, abundant resources, and long-term stability. However, graphite exhibits limited capacity in LIBs, significantly poor capacity in Na-ion batteries (SIBs), and inferior cycling stability in K-ion batteries (PIBs), which hinders the development of sustainable next-generation battery technologies. Heteroatom doping and tuning interlayer spacing are known to be effective solutions for carbon-based materials. Such modified anodes can exhibit high capacity and cyclability with numerous active sites. Here, we report boron-doped thermally exfoliated graphene (BTEG), which exhibits a high reversible capacity of 1014 mA h g-1 (LIBs), 295 mA h g-1 (SIBs), and 369 mA h g-1 (PIBs) at a current density of 25 mA g-1. We used operando/in situ measurements such as Raman spectroscopy and electrochemical impedance spectroscopy to investigate the fundamentals involved during the real-time phenomenon of BTEG/alkali-ion batteries. Consequently, it helps assess the reaction mechanism and kinetics to establish a structure-performance relationship for all three batteries with the BTEG anode. Finally, based on solid electrolyte interphase (SEI) understanding and electrolyte tuning, highly reversible batteries were attained for up to 1000 cycles at a high current density of 1 A g-1.</t>
  </si>
  <si>
    <t>AUG 5</t>
  </si>
  <si>
    <t>10.1039/d5ta01263e</t>
  </si>
  <si>
    <t>WOS:001525742500001</t>
  </si>
  <si>
    <t>Dange, PD; Alwesabi, WA; Sohan, A; Hara, M; Yoshimura, M; Kollu, P</t>
  </si>
  <si>
    <t>Dange, Prajakta D.; Alwesabi, Wedad A.; Sohan, Arya; Hara, Masanori; Yoshimura, Masamichi; Kollu, Pratap</t>
  </si>
  <si>
    <t>High performance h-BN-rGO-Se anode for fast-charging and high current density sodium-ion batteries</t>
  </si>
  <si>
    <t>This study meticulously investigates the electrochemical performance of a Selenium-doped hexagonal boron nitride/reduced graphene oxide (h-BN-rGO-Se) composite synthesised through a cost-effective single-step hydrothermal process. Detailed microstructural and elemental analyses confirm the integrity and uniformity of the nanocomposite. The h-BN-rGO-Se electrode demonstrates exceptional electrochemical properties, delivering a remarkable specific capacity exceeding 550mAh g-1 over more than 1000 cycles with sodium as the counter electrode. Notably, the fabricated coin cell sustains a capacity greater than 500mAh g-1 at a current density of 2.5 A g-1, even under high charge-discharge rates of up to 6 A g-1. The composite, synthesised for the first time, exhibits improved ion movement, better electrolyte absorption, and longer battery life, outperforming traditional sodium-ion battery (SIB) anodes. The h-BN-rGO-Se anode paired with an NVP cathode in a full-cell showed excellent stability, delivering 65 mAh g-1 with 99 % Coulombic efficiency over 200 cycles at 100 mA g-1, highlighting its promise for scalable sodium-ion batteries. These findings highlight the composite's potential as a high-performance anode for fast, efficient sodium-ion energy storage, driving advancements in next-generation technologies.</t>
  </si>
  <si>
    <t>Kollu, Pratap/M-3066-2015</t>
  </si>
  <si>
    <t>OCT 30</t>
  </si>
  <si>
    <t>10.1016/j.jpowsour.2025.237839</t>
  </si>
  <si>
    <t>WOS:001537478200001</t>
  </si>
  <si>
    <t>Li, XK; Xiong, LJ; Gan, BY; Gong, HT; Ma, Y; Bai, LX; Zhu, J; Zhou, CX; Yin, J; Chen, XP; Yang, LS</t>
  </si>
  <si>
    <t>Li, Xin-Kang; Xiong, Li-Jun; Gan, Bai-Yao; Gong, Hao-Tian; Ma, Yin; Bai, Li-Xiong; Zhu, Jian; Zhou, Chun-Xian; Yin, Jiang; Chen, Xiang-Ping; Yang, Li-Shan</t>
  </si>
  <si>
    <t>Synergistic LiBO2/CeF3 hybrid coating engineering for chemically stabilized cathode-electrolyte interphase in nickel-rich cathodes</t>
  </si>
  <si>
    <t>RARE METALS</t>
  </si>
  <si>
    <t>Nickel-rich LiNixCoyMn1-x-yO2 (NCM) cathodes, pivotal for high-energy-density lithium-ion batteries, face severe challenges from surface residual lithium compounds and hydrofluoric acid (HF)-induced degradation. These issues accelerate capacity fading, exacerbate interfacial polarization, and compromise safety. To address these issues, we proposed a scalable CeF3/H3BO3 hybrid coating strategy for LiNi0.82Co0.12Mn0.06O2 cathodes. The CeF3 nanoparticles served as a robust physical barrier, effectively scavenging HF, while the LiBO2 layer derived from H3BO3 eliminated residual Li2CO3 through chemical conversion and established rapid Li+ transport pathways. Dynamic B-O bond reorganization enabled self-repair of coating defects, synergistically suppressing interfacial polarization and maintaining structural integrity. Electrochemical evaluations demonstrated that the hybrid-coated cathode achieves 94% capacity retention after 200 cycles at 1C (2.8-4.3 V), significantly outperforming the pristine NCM (56.3%). Additionally, the modified cathode exhibits enhanced air stability, with suppressed H2O/CO2 infiltration, and delivers 80% capacity retention after 1000 cycles in practical pouch cells. This work provides a cost-effective and industrially viable solution to simultaneously mitigate HF corrosion, residual lithium accumulation, and cathode-electrolyte interphase instability, paving the way for durable high-energy-density batteries.</t>
  </si>
  <si>
    <t>1001-0521</t>
  </si>
  <si>
    <t>1867-7185</t>
  </si>
  <si>
    <t>2025 JUL 10</t>
  </si>
  <si>
    <t>10.1007/s12598-025-03403-x</t>
  </si>
  <si>
    <t>WOS:001528271500001</t>
  </si>
  <si>
    <t>Pandey, D; Parihar, K; Punetha, D</t>
  </si>
  <si>
    <t>Pandey, Divyansh; Parihar, Kritika; Punetha, Deepak</t>
  </si>
  <si>
    <t>Enhancing Safety in Li-S Batteries: Mitigating Thermal Instabilities via Electrolyte and Separator Pair Optimization</t>
  </si>
  <si>
    <t>ENERGY TECHNOLOGY</t>
  </si>
  <si>
    <t>Lithium-sulfur (Li-S) batteries are promising candidates for next-generation energy storage, offering high theoretical energy density (2567 Wh kg-1) and specific capacity (1675 mAh g-1), with environmentally friendly sulfur cathodes. However, their practical deployment faces challenges such as polysulfide shuttling, short cycle life, and high self-discharge-issues exacerbated by thermal instability. Excess heat can degrade performance and trigger thermal runaway, compromising safety. This study investigates the impact of electrolyte and separator selection on thermal behavior, using dimethyl ether, dimethoxy ethane, dimethoxy sulfide, and acetonitrile as electrolytes, paired with boron nitride, titanium dioxide, and polyethylene glycol as separators. Thermal metrics such as peak temperatures (319.025 K-328.437 K), internal resistance, and rate of heat change are evaluated, along with electrochemical performance (energy stored: 22.027 kJ; voltage range: 2.38 V to 1.7 V; electrolyte potential: 93.85 mV to 11.01 mV). The results highlight that strategic electrolyte-separator pairing can effectively mitigate heat generation, advancing the safety and reliability of Li-S batteries in demanding energy applications.</t>
  </si>
  <si>
    <t>Punetha, Deepak/T-1528-2018</t>
  </si>
  <si>
    <t>2194-4288</t>
  </si>
  <si>
    <t>2194-4296</t>
  </si>
  <si>
    <t>2025 JUL 6</t>
  </si>
  <si>
    <t>10.1002/ente.202500550</t>
  </si>
  <si>
    <t>WOS:001523578400001</t>
  </si>
  <si>
    <t>Mao, Y; Gong, HC; Wang, XY; Cao, Y; Wang, SW; Ma, K; Fuku, XG; Zhou, CY; Sun, J</t>
  </si>
  <si>
    <t>Mao, Yue; Gong, Haochen; Wang, Xiaoyi; Cao, Yu; Wang, Shaowei; Ma, Kang; Fuku, Xolile Godfrey; Zhou, Chaoyi; Sun, Jie</t>
  </si>
  <si>
    <t>Stabilization of Phase Transition Process and Lattice Oxygen of O3-Layered Oxide Cathode for Sodium-Ion Battery via Dual-Doping Strategy</t>
  </si>
  <si>
    <t>ADVANCED ENERGY MATERIALS</t>
  </si>
  <si>
    <t>Satisfying stable cycling under high voltage and efficient ion extraction/insertion kinetics are important factors in constructing high-energy density sodium-ion batteries. O3-layered oxide cathodes draw significant attention due to their high specific capacity and mature synthesis processes. However, these materials are plagued by stress accumulation from phase transitions, sluggish sodium ion diffusion kinetics, and irreversible lattice oxygen oxidation at high voltage. Herein, a Na(Ni1/3Fe1/3Mn1/3)0.98Al0.02B0.02O2 material is reported that addresses the inherent limitations of O3-layered oxides under high voltage through a rationally designed dual-element doping mechanism. Al3(+) that occupies the transition metal layer, can strengthen TM &amp; horbar;O bonds as well as inhibit interlayer sliding and phase transition. Meanwhile, B3(+) doping at the interstitial sites between the transition metal layer and oxygen layer stabilizes lattice oxygen via robust B &amp; horbar;O covalent interactions, thereby reducing lattice oxygen release and avoiding excessive decomposition of electrolyte catalyzed by reactive oxygen. Furthermore, this dual-element doping cathode achieves expanded Na &amp; horbar;O interlayer spacing and an elevated c/a ratio, synergistically enhancing Na-ion diffusion kinetics. The Na(Ni1/3Fe1/3Mn1/3)0.98Al0.02B0.02O2 cathode exhibits a stable and reversible sodium storage structure, so that it significantly improves high-rate capability, and cycling performance. This bulk-interface synergistic bond-energy engineering provides a novel perspective for high-voltage cathodes in sodium ion batteries.</t>
  </si>
  <si>
    <t>1614-6832</t>
  </si>
  <si>
    <t>1614-6840</t>
  </si>
  <si>
    <t>2025 JUL 3</t>
  </si>
  <si>
    <t>10.1002/aenm.202502592</t>
  </si>
  <si>
    <t>WOS:001521808600001</t>
  </si>
  <si>
    <t>Chen, J; Chen, HN; Tian, BB</t>
  </si>
  <si>
    <t>Chen, Jie; Chen, Hannan; Tian, Bingbing</t>
  </si>
  <si>
    <t>Enhancing moisture and electrochemical stability of the Li5.7 PS4.7 Cl1.3 electrolyte by boron nitride coating for all-solid-state lithium metal batteries</t>
  </si>
  <si>
    <t>CHINESE CHEMICAL LETTERS</t>
  </si>
  <si>
    <t>Weak water stability and lithium reactivity are two major stability issues of sulfide solid-state electrolytes (SSEs) for all-solid-state lithium metal batteries. Here, we report on nano-sized boron nitride (BN)-coated Li-5.7 PS4.7 Cl-1.3 (BN@LPSC1.3) sulfide SSE, which exhibits reduced H-2 S emission and improved ionic conductivity retention after relative humidity 1.2 %-1.5 % ambient condition exposure. Furthermore, BN can partially react with lithium metal to create stable Li-3 N, resulting in BN@LPSC1.3 showing reduced reactivity against lithium metal and a higher critical current density of 2.2 mA/cm(2) . The Li/BN@LPSC/Li symmetrical battery also shows considerably greater stability for &gt; 2000 h at a current density of 0.1 mA/cm(2) . Despite the high cathode mass loading of 13.38 mg/cm(2) , the LiNi0.8Co0.1Mn0.1O2/BN@LPSC1.3/Li all-solidstate lithium metal battery achieves 84.34 % capacity retention even after 500 cycles at 0.1 C and room temperature (25 degrees C). (c) 2025 Published by Elsevier B.V. on behalf of Chinese Chemical Society and Institute of Materia Medica, Chinese Academy of Medical Sciences.</t>
  </si>
  <si>
    <t>Tian, Bingbing/AAC-1357-2021</t>
  </si>
  <si>
    <t>TIAN, Bingbing/0000-0003-1508-6217</t>
  </si>
  <si>
    <t>1001-8417</t>
  </si>
  <si>
    <t>1878-5964</t>
  </si>
  <si>
    <t>JUL</t>
  </si>
  <si>
    <t>10.1016/j.cclet.2024.109775</t>
  </si>
  <si>
    <t>WOS:001498927700006</t>
  </si>
  <si>
    <t>Hossain, MA; Wu, DZ; Zhu, QJ; Liu, Q; Yang, JT; Xu, JY; Liu, C; Kang, S; Yang, ZZ; Son, SB; Yoo, DJ; Zhang, ZC</t>
  </si>
  <si>
    <t>Hossain, Md Anwar; Wu, Dezhen; Zhu, Qijia; Liu, Qian; Yang, Jingtian; Xu, Jiayi; Liu, Cong; Kang, Seungyeop; Yang, Zhenzhen; Son, Seoung-Bum; Yoo, Dong-Joo; Zhang, Zhengcheng</t>
  </si>
  <si>
    <t>High Li+ Transference Number Electrolyte Enabled by Fluoride Acceptor for Low-Temperature Li-Ion Batteries</t>
  </si>
  <si>
    <t>ACS ENERGY LETTERS</t>
  </si>
  <si>
    <t>To enable wide-temperature operation of lithium-ion batteries (LIBs), new electrolyte formulations have been developed to enhance the performance, particularly at low temperatures. A key challenge lies in achieving both high ionic conductivity and a high lithium-ion transference number due to their inherent trade-off. In this study, we designed an electrolyte system comprising tris(pentafluorophenyl)borane (TPFPB), a fluoride acceptor, and LiF salt in ethylene carbonate (EC)-free solvents. TPFPB, with its electron-deficient boron center, facilitates fluoride transfer reactions that promote the dissociation of otherwise insoluble LiF. When methyl acetate (MA) was used as the solvent, the electrolyte exhibited a high transference number (t Li+ = 0.85) and ionic conductivity (sigma = 5.0 x 10-3 S cm-1). The optimized electrolyte demonstrated excellent performance at -20 degrees C, with no evidence of lithium plating. This work presents a new strategy for electrolyte design by leveraging cation desolvation to achieve high-performance LIBs for low-temperature and high-power applications.</t>
  </si>
  <si>
    <t>Hossain, Md Anwar/GVS-7221-2022; Wu, Dezhen/GON-5640-2022</t>
  </si>
  <si>
    <t>2380-8195</t>
  </si>
  <si>
    <t>JUL 1</t>
  </si>
  <si>
    <t>10.1021/acsenergylett.5c01343</t>
  </si>
  <si>
    <t>WOS:001521219400001</t>
  </si>
  <si>
    <t>Okura, T; Kawada, K; Hashimoto, H; Yamashita, K</t>
  </si>
  <si>
    <t>Okura, Toshinori; Kawada, Koji; Hashimoto, Hideki; Yamashita, Kimihiro</t>
  </si>
  <si>
    <t>Novel fast Na+ conducting rare earth-free Na5YSi4O12-type borosilicate glass-ceramics</t>
  </si>
  <si>
    <t>CERAMICS INTERNATIONAL</t>
  </si>
  <si>
    <t>Rare earth-free Na5RSi4O12-type sodium-ion conductive glass-ceramics (R: rare earth elements) were successfully synthesized through the crystallization of glasses using the composition Na5+xFe(BxSi4-x)O12 (x = 0-0.5). Differential thermal analysis was used to examine the glass-crystallization kinetics, providing insight into boron's effects on phase separation and its subsequent microstructural influence on the conduction properties of the glass-ceramics. The activation energy for crystal growth in Na5.2FeB0.2Si3.8O12 (x = 0.2) was determined to be 440 kJ mol-1. These glass-ceramics exhibited an ionic conductivity of 3.05 x 10-3 S cm-1 at 300 degrees C, with an activation energy of 48.5 kJ mol-1.</t>
  </si>
  <si>
    <t>0272-8842</t>
  </si>
  <si>
    <t>1873-3956</t>
  </si>
  <si>
    <t>10.1016/j.ceramint.2025.03.292</t>
  </si>
  <si>
    <t>WOS:001532628400001</t>
  </si>
  <si>
    <t>Shen, XH; Zhang, LQ; Zhu, J; Duan, XD</t>
  </si>
  <si>
    <t>Shen, Xiaohua; Zhang, Liqiang; Zhu, Jian; Duan, Xidong</t>
  </si>
  <si>
    <t>Super electrolyte-philic all-inorganic ceramic separators for highly robust lithium batteries</t>
  </si>
  <si>
    <t>The widespread deployment of lithium ion (Li+) batteries with increasing energy density entails a worsening safety and sustainability concern. In particular, the typical polymer separators used in current batteries often show poor thermal stability, limited mechanical strength and lower Li+ transference number, and are prone to catastrophic failure when subjected to local thermal or mechanical stress (e.g., pierced by lithium dendrites). Herein, we report an all-inorganic boron nitride nanotube membrane featuring exceptional chemical stability, thermal stability, fire resistance and mechanical flexibility. The resulting membranes show superior wettability to electrolyte to endow excellent Li+ transport properties with the lowest ionic resistance and the highest Li+ transference number (0.86) when compared with all commercial separators. These combined merits make BNNTM an excellent separator that can effectively minimize concentration polarization and suppress nonuniform dendrite growth, enabling highly robust Li/Li symmetric cells with cycling performance with a stable overpotential about 40 mV at 20 mA cm(-2) beyond 5000 h, delivering an accumulative lifetime capacity &gt;50,000 mAh cm(-2) (vs. &lt;40,000 mAh cm(-2) for typical lithium-ion batteries). With excellent mechanical flexibility and thermal stability, the BNNTM can also function as highly stable separator to enable LiFePO4/Li cell with unusually high temperature stability. The development of highly robust super electrolyte-philic ceramic separators can promise batteries with exceptionally durability for sustainable energy storage.</t>
  </si>
  <si>
    <t>10.1016/j.ensm.2025.104389</t>
  </si>
  <si>
    <t>WOS:001511732200002</t>
  </si>
  <si>
    <t>Xie, ZYT; Xia, ZY; Cai, J; Guo, RY; Chen, YL; Liang, WT; Tang, ZY; Cai, QQ; Ma, ZK; He, JR; Zeng, RH; Markovsky, B; Aurbach, D; Xing, LD; Li, WS</t>
  </si>
  <si>
    <t>Xie, Zhangyating; Xia, Zhiyong; Cai, Jie; Guo, Ruoyu; Chen, Yili; Liang, Wentao; Tang, Ziyuan; Cai, Qinqin; Ma, Zekai; He, Jiarong; Zeng, Ronghua; Markovsky, Boris; Aurbach, Doron; Xing, Lidan; Li, Weishan</t>
  </si>
  <si>
    <t>Designing High-Temperature Stable Electrolytes: Insights from the Degradation Mechanisms of Boron-Containing Additives</t>
  </si>
  <si>
    <t>JOURNAL OF THE AMERICAN CHEMICAL SOCIETY</t>
  </si>
  <si>
    <t>With the increasing energy density and expanding applications of lithium-ion batteries, the demand for enhanced high-temperature performance has grown significantly. Although previous studies have attempted to improve the high-temperature stability through electrolyte modifications, the underlying failure mechanisms and the rational design principles for suitable electrolyte systems remain insufficiently understood. This study focuses on electrolytes containing boron-based additives, particularly lithium tetraborate, which exhibits excellent rate capability and impressive low-temperature performance but suffers from instability at elevated temperatures. Our investigation reveals that high-temperature battery failure is not solely attributed to aluminum current collector corrosion and the thermal instability of the bulk electrolyte but also to interphasial instability. These include detrimental side reactions catalyzed by Ni-rich cathodes and compromised electron-blocking capabilities of interphasial films. Based on these findings, we propose a new design guideline for high-temperature-stable electrolyte solutions, which is validated by the successful application of tris(2,2,2-trifluoroethyl) borate and 1,3,5-trimethyl-1,3,5-tris(3,3,3-trifluoropropyl) cyclotrisiloxane as functional additives. These additives effectively address the identified degradation pathways, resulting in significantly enhanced high-temperature performance. This comprehensive framework provides valuable insights into the rational design of advanced electrolyte systems for lithium-ion batteries that can be operated across a broad temperature range.</t>
  </si>
  <si>
    <t>Guo, Ruoyu/AAT-6100-2021; He, Jiarong/AGZ-5972-2022; Aurbach, Doron/HTS-1256-2023; Xia, Zhiyong/GQZ-5995-2022; Liang, Wentao/J-8771-2015</t>
  </si>
  <si>
    <t>0002-7863</t>
  </si>
  <si>
    <t>1520-5126</t>
  </si>
  <si>
    <t>JUN 30</t>
  </si>
  <si>
    <t>10.1021/jacs.5c06741</t>
  </si>
  <si>
    <t>JUN 2025</t>
  </si>
  <si>
    <t>WOS:001520198400001</t>
  </si>
  <si>
    <t>Park, GH; Mangishetti, SR; Lim, WG; Ji, J; Jeong, YH; Cho, JB; Bae, H; Jo, C; Kim, WB</t>
  </si>
  <si>
    <t>Park, Gwan Hyeon; Mangishetti, Sandya Rani; Lim, Won-Gwang; Ji, Junhyuk; Jeong, Yun Ho; Cho, Jeongbin; Bae, Hansol; Jo, Changshin; Kim, Won Bae</t>
  </si>
  <si>
    <t>Triphasic Interface Engineering with Metallic Sn/N, B Co-Doped Carbon Matrix for Boosting Reaction Kinetics and Cycling Stability in Lithium-Sulfur Batteries</t>
  </si>
  <si>
    <t>SMALL</t>
  </si>
  <si>
    <t>Lithium-sulfur batteries undergo solid-liquid-solid phase transitions based on a dissolution-deposition reaction mechanism. To effectively suppress the shuttling of soluble polysulfides, catalysts should be incorporated into the cathode to enhance both the adsorption and conversion processes. The formation of a triphasic interface among the catalyst, conductive material, and electrolyte plays a key role in facilitating these reactions. In this study, a composite catalyst (Sn@NBGNs-CNTs), consisting of metallic tin microparticles anchored on nitrogen and boron co-doped graphene nanosheets and partially exfoliated carbon nanotubes, is synthesized as a sulfur host via a simple method. This structure effectively anchors polysulfides at the interface and provided abundant active sites to accelerate redox reaction kinetihcs. As a result, it facilitated charge transfer and polysulfide transport at the interface, leading to an increase in the nucleation-growth rate constants of Li2S as determined using the critical deposition voltage from the potentiostatic intermittent titration technique. Consequently, the electrode exhibits excellent cycling stability, retaining 93% of its initial capacity after 350 cycles at 1 C with an extremely low-capacity decay rate of 0.003% per cycle.</t>
  </si>
  <si>
    <t>Jo, Changshin/JAC-5779-2023; mangisetti, sandhya/H-2236-2018</t>
  </si>
  <si>
    <t>1613-6810</t>
  </si>
  <si>
    <t>1613-6829</t>
  </si>
  <si>
    <t>2025 JUN 27</t>
  </si>
  <si>
    <t>10.1002/smll.202503534</t>
  </si>
  <si>
    <t>WOS:001517936800001</t>
  </si>
  <si>
    <t>Asakura, R; Lodziana, Z; Grissa, R; Rentsch, D; Battaglia, C; Remhof, A</t>
  </si>
  <si>
    <t>Asakura, Ryo; Lodziana, Zbigniew; Grissa, Rabeb; Rentsch, Daniel; Battaglia, Corsin; Remhof, Arndt</t>
  </si>
  <si>
    <t>Unveiling Solid-State Electrochemical Oxidation of LiBH4 and Li2B12H12 for High-Voltage All-Solid-State Batteries</t>
  </si>
  <si>
    <t>ACS APPLIED ENERGY MATERIALS</t>
  </si>
  <si>
    <t>Hydridoborates are an emerging class of solid electrolytes that offer high ionic conductivity, low density, solution processability, compatibility with metallic anodes, and high oxidative stability. Notably, certain Li+ or Na+ solid electrolytes, consisting of two different cage-like closo-hydridoborate anion species, are compatible with 4 V-class cathodes by forming a sufficiently ion-conductive, passivating interphase. However, the nature of their electrochemical decomposition products and their dependence on electrochemical potentials remain unclear. In this combined theoretical and experimental study, we demonstrate the solid-state electrochemical oxidation of LiBH4 to Li2B12H12 above 2.0 V vs Li+/Li and provide evidence for the successive oxidation of closo-[B12H12]2- anions to larger H-interconnected closo-clusters. This supports the observed trend that larger clusters formed via oxidation are stabilized at higher electrochemical potentials. Notably, the oxidation process from LiBH4 to Li2B12H12 proceeds through the formation of a highly conductive [BH4]--[B12H12]2- mixed phase, indicating the potential for in situ formation of mixed-anion hydridoborates directly within all-solid-state cells. These insights into solid-state electrochemical decomposition at the solid-solid interfaces are transferable to other hydridoborate systems, regardless of cation species or anion structures, contributing to developing cathode design strategies for high-voltage all-solid-state batteries.</t>
  </si>
  <si>
    <t>Lodziana, Zbigniew/V-5029-2017; Rentsch, Daniel/D-9717-2018</t>
  </si>
  <si>
    <t>Asakura, Ryo/0000-0002-9264-9493</t>
  </si>
  <si>
    <t>2574-0962</t>
  </si>
  <si>
    <t>JUN 26</t>
  </si>
  <si>
    <t>10.1021/acsaem.5c01264</t>
  </si>
  <si>
    <t>WOS:001528497300001</t>
  </si>
  <si>
    <t>Heo, JS; Yim, T</t>
  </si>
  <si>
    <t>Heo, Ji Seong; Yim, Taeeun</t>
  </si>
  <si>
    <t>Exploring the surface-stabilized Ni-rich NCM cathode material by embedding yttrium and borate-integrated interfaces for lithium-ion batteries</t>
  </si>
  <si>
    <t>JOURNAL OF ALLOYS AND COMPOUNDS</t>
  </si>
  <si>
    <t>Despite nickel-rich layered cathode materials have received outstanding attraction, their application is still limited owing to poor cycling retention, primarily caused by undesirable interfacial reactions. To mitigate these parasitic reactions, yttrium borate is employed as a coating precursor for interface modification, aiming to simultaneously incorporate yttrium- and boron-functionalized cathode-electrolyte interphases on the nickel-rich cathode materials. It is anticipated that the strong binding energy between the yttrium element and oxygen in the lattice is speculated to mitigate the microcracking of the particle of cathode materials via enhancement of the mechanical properties in addition to minimizing the decrease in specific capacity as the new coating layer is embedded on the cathode materials. Moreover, the boron element is expected to eliminate residual lithium carbonate on the nickel-rich cathode materials via thermal decomposition, forming ionic conductive boron-based cathode-electrolyte interphases. According to the electrochemical performances, the yttrium boratefunctionalized cathode demonstrates an improved lifespan (95.5 %) compared to the bare cathode (83.8 %), which is attributed to the yttrium borate-based cathode-electrolyte interphases effectively preventing microcracking of the nickel-rich cathode materials and subsequent electrolyte decomposition during cycling.</t>
  </si>
  <si>
    <t>0925-8388</t>
  </si>
  <si>
    <t>1873-4669</t>
  </si>
  <si>
    <t>JUN 25</t>
  </si>
  <si>
    <t>10.1016/j.jallcom.2025.181419</t>
  </si>
  <si>
    <t>WOS:001510929600003</t>
  </si>
  <si>
    <t>Xu, YH; Powar, N; Zervos, K; Campbell, I; Choudhary, S; Al-Khaled, L; Banerjee, P</t>
  </si>
  <si>
    <t>Xu, Yunhao; Powar, Niket; Zervos, Kelly; Campbell, Isabella; Choudhary, Simran; Al-Khaled, Layan; Banerjee, Progna</t>
  </si>
  <si>
    <t>Colloidal Hot-Injection Synthesis of CuBSe2 Nanocrystals: Tetragonal Chalcogenide Templates for Superionic Lithiation Pathways</t>
  </si>
  <si>
    <t>Copper boron selenides represent a previously unexplored class of materials with tetragonal structural symmetries and bonding chemistries potentially relevant to lithium-ion conduction. In this work, the first colloidal synthesis of nanocrystalline copper boron selenides is reported, enabling access to nanocrystals with reaction times shown as the synthetic knob to control composition and morphology. Copper boron selenide nanocrystals are synthetically designed as precursors for lithiation reactions aimed at probing structural evolution and ionic mobility pathways toward superionic conductors applicable as solid electrolytes in lithium-ion batteries. Postsynthetic lithiation studies under ambient conditions reveal a series of phase transformations and morphological changes, which are characterized using a combination of X-ray diffraction and high-resolution transmission electron microscopy analysis. Thermometric and differential scanning calorimetry analyses on both copper boron selenide nanocrystals and their lithiated counterparts further uncover the associated signatures of superionic phase changes with lithium incorporation, suggesting dynamic structural rearrangements, and potential onset of fast ion transport. This study highlights colloidal synthesis as a powerful route to explore new composition spaces in complex chalcogenides and establishes copper boron selenides as a platform for investigating structure-transport relationships in emerging solid-state electrolyte chemistries.</t>
  </si>
  <si>
    <t>; Banerjee, Progna/N-5630-2019; Powar, Niket/W-1361-2017</t>
  </si>
  <si>
    <t>Banerjee, Progna/0000-0003-3257-7317; Powar, Niket/0000-0003-4024-5048</t>
  </si>
  <si>
    <t>2025 JUN 25</t>
  </si>
  <si>
    <t>10.1002/sstr.202500238</t>
  </si>
  <si>
    <t>WOS:001516471000001</t>
  </si>
  <si>
    <t>Yang, JY; Song, BY; Huang, TH; Li, YZ; Wu, YP; He, JR</t>
  </si>
  <si>
    <t>Yang, Jingyi; Song, Bingyan; Huang, Tianhan; Li, Yunzhen; Wu, Yuping; He, Jiarui</t>
  </si>
  <si>
    <t>Boron-Fluoride Anion-Derived Layers Facilitate Long-Cycle and High-Capacity Sodium-Ion Batteries</t>
  </si>
  <si>
    <t>Ether-based electrolytes perform exceptionally well in sodium-ion batteries, but their compatibility with electrodes with a long life span remains poor. This study innovatively proposes a synergized ether electrolyte with a high-content NaBF4 salt strategy, enabling a uniform, fluoride- and boride-rich electrolyte interphase film on electrode surfaces. This interphase facilitates Na+ transport and inhibits electrolyte decomposition. Our results show that the boron-fluoride anion-derived interfacial film significantly helps the hard carbon anode to achieve a life span of over 10 months (1480 cycles) with an average Coulombic efficiency of up to 99.93%. This work provides valuable insights for designing advanced sodium-ion electrolytes and anion-derived interfacial films.</t>
  </si>
  <si>
    <t>Wu, Yuping/H-1593-2011; He, Jiarui/AAF-7206-2020</t>
  </si>
  <si>
    <t>Wu, Yuping/0000-0002-0833-1205;</t>
  </si>
  <si>
    <t>10.1021/acsaem.5c01006</t>
  </si>
  <si>
    <t>WOS:001517176100001</t>
  </si>
  <si>
    <t>Peng, SH; Kuan, WF; Lue, SJ</t>
  </si>
  <si>
    <t>Peng, Si-Han; Kuan, Wei-Fan; Lue, Shingjiang Jessie</t>
  </si>
  <si>
    <t>Electro-boost in-situ formation of poly(tetrahydrofuran) to enhance interfacial compatibility and charge transfer for solid polymer electrolyte</t>
  </si>
  <si>
    <t>EUROPEAN POLYMER JOURNAL</t>
  </si>
  <si>
    <t>In-situ polymerization offers a promising approach for next-generation solid polymer electrolytes with excellent interfacial properties. We present a novel method for the in-situ preparation of poly(tetrahydrofuran) (PTHF) electrolyte using streamlined polymerization and accelerated gelation. Structural, compositional, and interfacial properties of the PTHF electrolyte as a function of time were analyzed using NMR, MS, and EIS spectra. This method provides rapid gelation and high purity, addressing common issues such as weak solidification and impurity formation encountered with boron trifluoride diethyl etherate initiators. The amorphous-dominant insitu derived PTHF exhibited a bulk conductivity of 10-4 S cm(-1) and a wide electrochemical window of up to 5.2 V at RT, owing to rich BF3 coordination bonds that promote Li-polymer conduction and enhance polymer stability. The in-situ PTHF significantly improves interfacial contact, and the solid electrolyte interface film on the harvested Li was more robust than that of the ex-situ PTHF counterpart. Importantly, in-situ PTHF electrolytes treated with AC voltage were evaluated for their ability to improve interfacial compatibility (e.g., structural stability, uniform Li+ deposition, and dendrite suppression) and to facilitate continuous Li+ pathways through the alignment of PTHF chains, notably raising tLi(+) from 0.21 to 0.61 compared to before. Validation with a quasisolid-state Li-O-2 battery using in-situ PTHF demonstrated a 75.7 % round-trip efficiency with 100 % capacity retention over 50 h, and delivered a specific discharge capacity of 3300 mAh g(-1), confirming its practical potential. Overall, this work presents a strategically designed PTHF-based electrolyte fabricated via in-situ assembly, offering new insights into advanced electrolyte design.</t>
  </si>
  <si>
    <t>Lue, Jessie/B-4802-2011; Kuan, Wei-Fan/GWN-0204-2022</t>
  </si>
  <si>
    <t>0014-3057</t>
  </si>
  <si>
    <t>1873-1945</t>
  </si>
  <si>
    <t>JUN 23</t>
  </si>
  <si>
    <t>10.1016/j.eurpolymj.2025.114016</t>
  </si>
  <si>
    <t>WOS:001498821900001</t>
  </si>
  <si>
    <t>Xia, QC; Ma, XX; Qiu, PT; Yuan, GZ; Chen, XN</t>
  </si>
  <si>
    <t>Xia, Qingchun; Ma, Xuxiao; Qiu, Pengtao; Yuan, Guozan; Chen, Xuenian</t>
  </si>
  <si>
    <t>Anionic Metal-Organic Framework as an Ultrafast Single-Ion Conductor for Exceptional Performance Rechargeable Zinc Batteries</t>
  </si>
  <si>
    <t>Anionic metal-organic frameworks (MOFs) are promising single-ion conductive electrolytes in quasi-solid-state batteries. Herein, we propose an anionic MOF as a promising single Zn2+ conductor for high-performance quasi-solid-state zinc-ion battery (ZIB). The anionic MOF is synthesized by reacting carboxylic acid functionalized tetraphenylborate with a Zr6-oxo cluster, which displays outstanding ionic conductivity (0.83 mS cm-1 at -40 degrees C, 2.75 mS cm-1 at 25 degrees C, and 7.9 mS cm-1 at 120 degrees C), an impressive Zn2+ transference number (t Zn2+ = 0.90), low activation energy (0.19 eV), good interfacial compatibility, and excellent rate performance. The fabricated quasi-solid-state ZIB using NH4V4O10 cathode delivers a remarkable capacity of 497 mAh g-1 at 0.3 A g-1 under ambient conditions and can maintain capacities of 420, 350, and 270 mAh g-1 at elevated current densities of 1, 5, and 10 A g-1 with both capacities and Coulombic efficiency retention at 100% after 2500 cycles. Even at a low temperature of -40 degrees C or with a high current density of 100 A g-1, excellent reversible capacities and rate performance can still be achieved. This work set up a new direction for designing and developing anionic porous materials as advanced solid electrolytes for zinc and/or other secondary batteries.</t>
  </si>
  <si>
    <t>; Yuan, Guozan/U-2979-2018; Qiu, Pengtao/ABB-5118-2021</t>
  </si>
  <si>
    <t>Chen, Xuenian/0000-0001-9029-1777;</t>
  </si>
  <si>
    <t>10.1021/jacs.5c08566</t>
  </si>
  <si>
    <t>WOS:001518559300001</t>
  </si>
  <si>
    <t>Adhikari, PR; Pach, GF; Quinn, J; Wang, CM; Singh, A; Prakash, N; Verma, A; Colclasure, A; Kliegle, GA; Veith, GM; Neale, NR; Carroll, GM</t>
  </si>
  <si>
    <t>Adhikari, Pashupati R.; Pach, Gregory F.; Quinn, Joseph; Wang, Chongmin; Singh, Avtar; Prakash, Nina; Verma, Ankit; Colclasure, Andrew; Kliegle, Gabrielle A.; Veith, Gabriel M.; Neale, Nathan R.; Carroll, G. Michael</t>
  </si>
  <si>
    <t>The Origin of Improved Performance in Boron-Alloyed Silicon Nanoparticle-Based Anodes for Lithium-Ion Batteries</t>
  </si>
  <si>
    <t>Stabilizing the solid electrolyte interphase (SEI) remains a key challenge for silicon-based lithium-ion battery anodes. Alloying silicon with secondary elements like boron has emerged as a promising strategy to improve the cycle life of silicon anodes, yet the underlying mechanism remains unclear. To address this knowledge gap, how boron concentration influences battery performance is systematically investigated. These results show a near-monotonic increase in cycle lifetime with higher boron content, with boron-rich electrodes significantly outperforming pure silicon. Additionally, silicon-boron alloy anodes exhibit nearly three times longer calendar life than pure silicon. Through detailed mechanistic analysis, alternative contributing factors are systematically ruled out, and it is proposed that improved passivation arises from a strong permanent dipole at the nanoparticle surface. This dipole, formed by undercoordinated and highly Lewis acidic boron, creates a static, ion-dense layer that stabilizes the electrochemical interface, reducing parasitic electrolyte decomposition and enhancing long-term stability. These findings suggest that, within the SEI framework, the electric double layer is an important consideration in surface passivation. This insight provides an underexplored parameter space for optimizing silicon anodes in next-generation lithium-ion batteries.</t>
  </si>
  <si>
    <t>; Wang, Chongmin/ABE-8457-2020; Carroll, Mike/KII-2845-2024</t>
  </si>
  <si>
    <t>wang, chongmin/0000-0003-3327-0958; Verma, Ankit/0000-0002-7610-8574; Veith, Gabriel/0000-0002-5186-4461;</t>
  </si>
  <si>
    <t>2025 JUN 16</t>
  </si>
  <si>
    <t>10.1002/aenm.202501074</t>
  </si>
  <si>
    <t>WOS:001508674700001</t>
  </si>
  <si>
    <t>Liu, CK; Yang, T; Yu, Q; Wu, SL; Li, HW; Jiang, ZP; Li, YT</t>
  </si>
  <si>
    <t>Liu, Chengkun; Yang, Tao; Yu, Qi; Wu, Shilin; Li, Hai-Wen; Jiang, Zhipeng; Li, Yongtao</t>
  </si>
  <si>
    <t>High-Voltage Fluoride-Free Electrolytes for Ni-Rich Cathodes Offering Superior Water Resistance</t>
  </si>
  <si>
    <t>ACS SUSTAINABLE CHEMISTRY &amp; ENGINEERING</t>
  </si>
  <si>
    <t>To enhance the range of electric vehicles (EVs), high-nickel (Ni) layered oxide cathode materials are increasingly favored in power battery design. However, Ni-rich cathodes face significant challenges regarding cycling stability, particularly in humid conditions, where their lifespan deteriorates rapidly. Herein, we present a sustainable high-voltage fluoride-free electrolyte (HVFFE) that is compatible with LiNi0.8Co0.1Mn0.1O2 (NCM811) cathodes operating at a cutoff voltage of 4.4 V and exhibiting superior water resistance. The fluoride-free nature of this electrolyte prevents the formation of hydrofluoric acid (HF) upon exposure to moisture, which commonly degrades Ni-rich cathodes. The HVFFE facilitates the formation of a robust cathode-electrolyte interphase (CEI) enriched with sulfur, boron, oxygen, and nitrogen (S/B/O/N), effectively stabilizing the cathode structure and minimizing active material degradation. Electrochemical testing reveals that even with the addition of 1000 ppm of water, this electrolyte enables Li-NCM811 cells to maintain a capacity of over 100 mAh g-1 at a 10 C discharge rate and supports stable cycling for more than 500 cycles at 2 C, with 94.7% capacity retention. More importantly, a high-loading Li-NCM811 full cell using HVFFE with 1000 ppm of H2O maintained stability over 200 cycles, achieving an average Coulombic efficiency of 99.61%.</t>
  </si>
  <si>
    <t>Jiang, Zhipeng/JNS-9590-2023; Wu, Shilin/LXA-8512-2024</t>
  </si>
  <si>
    <t>2168-0485</t>
  </si>
  <si>
    <t>JUN 12</t>
  </si>
  <si>
    <t>10.1021/acssuschemeng.5c00933</t>
  </si>
  <si>
    <t>WOS:001508706300001</t>
  </si>
  <si>
    <t>Brijesh, K; Jareer, M; Sagar, GL; Mukesh, P; Amudha, A; Mandal, D; Nagaraja, HS; Shahgaldi, S</t>
  </si>
  <si>
    <t>Brijesh, K.; Jareer, M.; Sagar, G. Lakshmi; Mukesh, P.; Amudha, A.; Mandal, Debabrata; Nagaraja, H. S.; Shahgaldi, Samaneh</t>
  </si>
  <si>
    <t>Advanced Electrolyte Additives for Lithium-Ion Batteries: Classification, Function, and Future Directions</t>
  </si>
  <si>
    <t>JOURNAL OF PHYSICAL CHEMISTRY C</t>
  </si>
  <si>
    <t>Lithium-ion batteries (LIBs) are widely employed as energy storage devices, particularly in portable electronics and electric vehicles, owing to their high energy density and efficiency. Among the key components of LIBs, the electrolyte plays a crucial role in determining capacity, cycling stability, rate performance, the electrode/electrolyte interface, and overall battery efficiency. However, traditional electrolytes face significant challenges, including severe structural degradation and interfacial side reactions under high-voltage and high-temperature conditions. Protective layers, such as the cathode-electrolyte interphase (CEI) and solid-electrolyte interphase (SEI), are essential for addressing these issues. These layers inhibit electron transfer while allowing lithium-ion (Li+) transport, preserving the structural and electrochemical integrity of the battery. A cost-effective strategy to further enhance the electrode-electrolyte interface and boost LIB performance is the incorporation of carefully designed electrolyte additives. While some articles discuss the use of electrolyte additives in LIBs, there is a lack of detailed studies classifying these additives based on their chemical composition-based grouping. Such a classification enables a more focused examination of the roles and mechanisms by which these additives improve LIB performance. This review paper bridges this gap by examining various electrolyte additives and their contributions to enhancing the safety and performance of next-generation LIBs. It provides valuable insights into the current progress and challenges associated with additives in liquid electrolytes. The article is organized into seven sections, addressing boron-based electrolyte additives (Section 2), sulfur-based electrolyte additives (Section 3), phosphorus-based electrolyte additives (Section 4), fluorine-based electrolyte additives (Section 5), and nitrogen-based electrolyte additives (Section 6). Each section discusses specific examples, the formation of SEI and CEI layers, and the electrochemical properties of these additives. Furthermore, the article concludes with a summary and outlook, advocating for continued advancements in electrolyte engineering for LIBs.</t>
  </si>
  <si>
    <t>MANDAL, Dr. DEBABRATA/ABD-1080-2020</t>
  </si>
  <si>
    <t>Mandal, Dr. Debabrata/0000-0003-1980-6306</t>
  </si>
  <si>
    <t>1932-7447</t>
  </si>
  <si>
    <t>1932-7455</t>
  </si>
  <si>
    <t>JUN 11</t>
  </si>
  <si>
    <t>10.1021/acs.jpcc.5c01331</t>
  </si>
  <si>
    <t>WOS:001510175800001</t>
  </si>
  <si>
    <t>Ni, JW; Huang, ZH; Song, TB; Ma, QL; He, TL; Zhang, XR; Xiong, HM</t>
  </si>
  <si>
    <t>Ni Jiawen; Huang Zunhui; Song Tianbing; Ma Qianli; He Tianle; Zhang Xirong; Xiong Huanming</t>
  </si>
  <si>
    <t>Ordered Lithium Deposition on Lithium Metal Anode Controlled by Boron-doped Carbon Dots from Solid-state Synthesis</t>
  </si>
  <si>
    <t>CHEMICAL JOURNAL OF CHINESE UNIVERSITIES-CHINESE</t>
  </si>
  <si>
    <t>Boron-doped carbon dots (B-CDs) synthesized via solid-phase method were employed as electrolyte additives for lithium metal batteries. The carbon dots were prepared through the catalytic pyrolysis of carbon sources in air, highlighting high yield, efficiency, safety, and convenience. Synthesized from 1,3,5-trihydroxy-benzen and boric acid, the B-CDs exhibited excellent dispersibility in carbonate-based electrolytes. The doped boron atoms, serving as electron-deficient centers, could engage fluorinated anion groups through Lewis acid-base interactions, thus inducing uniform lithium-ion deposition on the lithium anode. At an additive concentration of 0.3 mg/mL, a lithium symmetric cell demonstrated stable cycling for 2500 h under a current density of 0.5 mA/cm(2) and a plating capacity of 0.5 mA.h/cm(2), indicating that the carbon dot additive significantly enhanced the reversibility of lithium deposition/dissolution. When these carbon dots were incorporated into electrolytes of a LiFePO4 full cell, an initial capacity of 144.4 mA.h/g was achieved, with a capacity retention of 95.1% after 100 cycles.</t>
  </si>
  <si>
    <t>Ma, Qianli/GSO-3147-2022</t>
  </si>
  <si>
    <t>0251-0790</t>
  </si>
  <si>
    <t>JUN 10</t>
  </si>
  <si>
    <t>10.7503/cjcu20240185</t>
  </si>
  <si>
    <t>WOS:001523618300003</t>
  </si>
  <si>
    <t>Chen, CF; Chen, JL; Tan, SS; Gao, ZP; Huang, XT; He, Z; Huang, J; Deng, RR; Xiong, FY; Huang, GS; Wang, JF; Li, LJ; Pan, FS</t>
  </si>
  <si>
    <t>Chen, Chunfeng; Chen, Jinlong; Tan, Shuangshuang; Gao, Zhipeng; Huang, Xueting; He, Ze; Huang, Jia; Deng, Rongrui; Xiong, Fangyu; Huang, Guangsheng; Wang, Jingfeng; Li, Lingjie; Pan, Fusheng</t>
  </si>
  <si>
    <t>Semi-Chelation Solvation Enables High Interface Compatibilities with both Anode and Cathode in a Bulky Mg[B(HFIP)4]2 Electrolyte</t>
  </si>
  <si>
    <t>Magnesium fluorinated alkoxyl organoborates (Mg[B-(ORF)(4)](2)) electrolytes have received large attention due to the adjusted branched chain, high oxidation stability, and high ion conductivity in rechargeable magnesium batteries (RMBs). However, the most promising Mg[B-(OCH(CF3)(2))(4)](2)/1,2-dimethoxyethane (Mg[B(HFIP)(4)](2)/DME) electrolyte still faces the significant challenges of unstable, non-uniform electrode/electrolyte interphases (SEI/CEI), resulting from the decomposition of strong-chelation [Mg(DME)(3)](2+) ion. Herein, a semi-chelation solvation structure is designed in Mg[B(HFIP)(4)](2) electrolytes by achieving a balance between weak Mg2+-solvent interactions, ring-like molecular configurations, and sufficient salt dissociation. The semi-chelation Mg[B(HFIP)(4)](2) electrolyte exhibits lower desolvation energy and processes higher proportions of contact ion pair. The decompositions of semi-chelation Mg[B(HFIP)(4)](2) electrolytes induce the formation of uniform organic-inorganic composite SEI/CEI layers with rich MgBxOy and MgF2 components. The stable and high-conductivity SEI/CEI layers enable high interface compatibilities with Mg anode and high-voltage cathodes. Therefore, Mg anode exhibits a high average coulombic efficiency (99.4%, 500 cycles) and long-term cycling stability (2000 h). Notably, the high capacity retention (83% after 500 cycles) of Mg||Prussian blue full cell with a discharge platform of 2.1 V can be achieved. This strategy provides a new sight for designing high-voltage and high-compatibility boron-based electrolytes for RMBs.</t>
  </si>
  <si>
    <t>Xiong, Fangyu/E-5991-2016</t>
  </si>
  <si>
    <t>2025 JUN 6</t>
  </si>
  <si>
    <t>10.1002/adfm.202505843</t>
  </si>
  <si>
    <t>WOS:001503963900001</t>
  </si>
  <si>
    <t>Hehn, JD; Rodenburg, HP; Lazemi, M; Verschoor, JC; Perich, MP; Sundermann, M; Gretarsson, H; van der Hoeven, JES; de Groot, FMF; de Jongh, PE; Ngene, P</t>
  </si>
  <si>
    <t>Hehn, Jonas D.; Rodenburg, Hendrik P.; Lazemi, Masoud; Verschoor, Juliette C.; Perxes Perich, Marta; Sundermann, Martin; Gretarsson, Hlynur; van der Hoeven, Jessi E. S.; de Groot, Frank M. F.; de Jongh, Petra E.; Ngene, Peter</t>
  </si>
  <si>
    <t>Enhanced Ionic Conductivity and Electrochemical Properties of Li2B12H12/ZrO2 Nanocomposites for All-Solid-State Lithium Metal Batteries</t>
  </si>
  <si>
    <t>ACS APPLIED MATERIALS &amp; INTERFACES</t>
  </si>
  <si>
    <t>Solid-state electrolytes play a key role in the development of safe and high-capacity all-solid-state batteries. Complex hydrides such as Li2B12H12 are attractive as solid electrolytes due to their low weight and good electrochemical stability, but suffer from low conductivities at room temperature. Herein, we report a three-order-magnitude increase in the ionic conductivity of Li2B12H12 upon nanocomposite formation with ZrO2 via mechanochemical treatment, reaching 2.9 x 10(-4) S cm(-1) at 30 degrees C. Results from infrared spectroscopy, X-ray Raman scattering and electron microscopy coupled with electron energy loss spectroscopy suggest that the increased ionic conductivity is due to strong interfacial interaction/reaction between Li2B12H12 and ZrO2. This leads to a highly defective interphase region where the Li, B, Zr, and O chemical environments are distinctively different from the bulk Li2B12H12 and ZrO2. The improved ionic conductivity of the nanocomposite compared to the pristine material enabled the realization of all-solid-state batteries with a Li metal anode and both TiS2 and LiFePO4 cathodes. We demonstrate the suitability of the nanocomposite at various charging rates up to C/2 (0.34 mA cm(-2)) for over 170 cycles at 40-60 degrees C (Li|Li2B12H12/ZrO2|TiS2).</t>
  </si>
  <si>
    <t>Rodenburg, Henrik/HIR-3403-2022; Peter, Ngene/H-8567-2015; Lazemi, Masoud/NYT-5042-2025; de Jongh, Petra/A-4761-2009; de Groot, Frank/A-1918-2009</t>
  </si>
  <si>
    <t>van der Hoeven, Jessi E. S./0000-0001-9832-289X; de Jongh, Petra/0000-0002-2216-2620; Hehn, Jonas D./0009-0005-4191-0769;</t>
  </si>
  <si>
    <t>1944-8244</t>
  </si>
  <si>
    <t>1944-8252</t>
  </si>
  <si>
    <t>JUN 2</t>
  </si>
  <si>
    <t>10.1021/acsami.5c01939</t>
  </si>
  <si>
    <t>WOS:001501890300001</t>
  </si>
  <si>
    <t>Arslan-Kaba, M; Timur, S; Sireli, GK</t>
  </si>
  <si>
    <t>Arslan-Kaba, Mehtap; Timur, Servet; Sireli, Guldem Kartal</t>
  </si>
  <si>
    <t>Production of high capacity porous nickel borides via novel molten salt electrolysis</t>
  </si>
  <si>
    <t>SOLID STATE SCIENCES</t>
  </si>
  <si>
    <t>This work focused on producing Ni-boride powders via the novel boron diffusion method called CRTD-Bor (cathodic reduction and thermal diffusion-based boriding) and their electrochemical examinations. The nickel specimens with mesh geometry were borided through the whole cross-section at 1000 degrees C and 200 mA/cm2 for 2 h and held inside of the molten electrolyte for 1 h of phase homogenization. After the boriding treatment, the fully boron diffused specimens were ground via a ball mill and cold-pressed. The structural characterizations of the Ni-boride powders were carried out by using X-ray diffractometry (XRD), scanning electron microscopy (SEM). The results demonstrated that the powders were composed of NiB, Ni4B3, Ni2B, and Ni3B, where Ni4B3 was dominant. To examine the electrochemical behaviors of produced electrodes, cyclic voltammetry (CV) and galvanostatic charge-discharge (GCD) techniques were performed through the standard three-electrode system. The CV experiment was conducted within the potential range of 0-0.45 V, over 2000 cycles at 200 mV/s. While a 76 % increase in areal capacitance (Ca) was detected until the 1000th cycle, this value remained constant afterward. Ca was calculated as 1500 mF/cm2 at 10 mV/s. At different scan rate experiments, the b value was found as 0.65, representing the system was under mixed control, namely both capacitive and faradaic. The charge/discharge behavior was investigated via GCD at different current densities (0.1-0.01 A/cm2). According to data obtained from GCD, the energy and power density values were calculated as 57.5 mWh/cm2 and 3450 mW/cm2 at 0.01 A/cm2, respectively.</t>
  </si>
  <si>
    <t>Arslan-Kaba, Mehtap/HLQ-0229-2023; KARTAL SIRELI, Guldem/A-4774-2015</t>
  </si>
  <si>
    <t>1293-2558</t>
  </si>
  <si>
    <t>1873-3085</t>
  </si>
  <si>
    <t>MAY</t>
  </si>
  <si>
    <t>10.1016/j.solidstatesciences.2025.107889</t>
  </si>
  <si>
    <t>MAY 2025</t>
  </si>
  <si>
    <t>WOS:001442471400001</t>
  </si>
  <si>
    <t>Zhang, EH; Hu, X; Chen, JX; Zhu, JC; Zhao, WY; Guo, JX; Liu, YJ; Chen, JH; Cai, XY; Li, XL; Gan, T; Zheng, XB; Wang, XF; Gao, XW; Wang, DS; Wen, ZH</t>
  </si>
  <si>
    <t>Zhang, Erhuan; Hu, Xiang; Chen, Junxiang; Zhu, Jiacheng; Zhao, Wenyu; Guo, Jiaxing; Liu, Yangjie; Chen, Jiahang; Cai, Xinyin; Li, Xunlu; Gan, Tao; Zheng, Xiaobo; Wang, Xuefeng; Gao, Xiangwen; Wang, Dingsheng; Wen, Zhenhai</t>
  </si>
  <si>
    <t>Engineering Atomically Co-N3B/C Configuration for Rigid-Soft Coupling SEI in High-Performance Sodium-Ion Batteries</t>
  </si>
  <si>
    <t>The solid electrolyte interface (SEI) on electrode materials remains a critical challenge in the development of alkali metal-ion batteries, with its complex formation mechanism and diverse composition significantly impacting practical performance. Herein a theory-guided prediction approach is presented to construct a rigid-soft coupling SEI, engineered through the strategic regulation of both interfacial and bulk electrochemistry for the design of nitrogen- and boron-coordinated cobalt single atoms within nitrogen-doped carbon (Co-N3B/C) anodes. The experimental and theoretical findings reveal that the distinctive Co-N3B configuration tends to generate a local electric field that benefits for fast Na+ transfer kinetics and the decomposition of fluorinated electrolyte, resulting in the formation of a robust inorganic-rich SEI. Consequently, the dual-coordinated Co single-atom electrode design, coupled with the hybrid organic-inorganic SEI, endows the sodium-ion batteries anode with a high capacity of 230.5 mAh g-1 at 2 A g-1 and exceptional long-term cycling stability, as evidenced by 97.0% capacity retention over 5000 cycles at 2 A g-1. This study not only demonstrates the significant advantages of single-atom catalysis in controlling SEI formation and electrolyte degradation but also paves the way for using this technology to enhance the performance of carbon-based anodes in a wide range of metal-ion batteries.</t>
  </si>
  <si>
    <t>Gao, Xiangwen/ABE-6035-2020; wen, zhenhai/D-7165-2011; Wang, Dingsheng/F-4648-2011; Chen, Junxiang/AAJ-1567-2021; Li, Xunlu/HTN-1375-2023</t>
  </si>
  <si>
    <t>2025 MAY 24</t>
  </si>
  <si>
    <t>10.1002/adfm.202500255</t>
  </si>
  <si>
    <t>WOS:001493584600001</t>
  </si>
  <si>
    <t>Pal, M; Pal, P; Nandi, M</t>
  </si>
  <si>
    <t>Pal, Manjula; Pal, Prashanta; Nandi, Mahasweta</t>
  </si>
  <si>
    <t>B/N-Codoped Porous Carbons as Metal-Free and Binder-Free Electrode Material for Supercapacitors</t>
  </si>
  <si>
    <t>CHEMISTRY-A EUROPEAN JOURNAL</t>
  </si>
  <si>
    <t>A facile, cost-effective, and eco-friendly approach for the synthesis of B/N-codoped porous carbon materials has been developed for metal-free and binder-free supercapacitors. A set of samples, CPFD-B/N-5, CPFD-B/N-10, and CPFD-B/N-15 have been synthesized by carbonization of a phloroglucinol-formaldehyde-dopamine (PFD) polymer and tetraethyl orthosilicate (TEOS). Boric acid has been used to introduce different amounts of boron and an undoped sample, CPFD-N, has been synthesized for comparison. The CPFD materials function as binder-free electrodes and display excellent electrochemical behavior. The optimization of boron as a heteroatom with a rational distribution of pores enables CPFD-B/N-10 electrode to achieve a high capacitance of 962 F/g at a current density of 1 A/g in 1 M H2SO4 electrolyte. It demonstrates excellent rate capability and exceptional cycling stability, retaining over 120% of its capacitance after 5000 cycles at a current density of 30 A/g. It has a specific energy density of 108.22 Wh/kg and a power output of 450.00 W/kg at 1 A/g, effectively bridging the gap between supercapacitors and batteries. A solid-state symmetric supercapacitor made from the material achieves a capacitance of 622 F/g at a current density of 1 A/g, Coulombic efficiency of 89% after 1,500 cycles and powers a 3 V LED bulb.</t>
  </si>
  <si>
    <t>Nandi, Mahasweta/AAU-3462-2020</t>
  </si>
  <si>
    <t>0947-6539</t>
  </si>
  <si>
    <t>1521-3765</t>
  </si>
  <si>
    <t>JUN 17</t>
  </si>
  <si>
    <t>10.1002/chem.202500800</t>
  </si>
  <si>
    <t>WOS:001493411800001</t>
  </si>
  <si>
    <t>He, LZ; Naren, T; Zhang, L; Kang, FY; Yang, JL; Chen, ZH; Yu, AM; Li, DS; Chen, LB; Zhang, QC</t>
  </si>
  <si>
    <t>He, Lizhong; Naren, Tuoya; Zhang, Lei; Kang, Fangyuan; Yang, Jinglun; Chen, Zihao; Yu, Aimin; Li, Dong-Sheng; Chen, Libao; Zhang, Qichun</t>
  </si>
  <si>
    <t>Interweaving Covalent Organic Polymer Chains Into Two-Dimensional Networks: Synthesis, Single Crystal Structure, and Application for Stabilizing Lithium Metal Anode</t>
  </si>
  <si>
    <t>Macroscopic weaving has been proven to be the most enduring and effective method for manufacturing fabrics to meet the practical needs of humanity for thousands of years. However, the construction of molecular structures with exquisite topologies and specific properties based on molecular weaving is still in its infancy. Herein, we designed and fabricated a two-dimensional (2D) woven covalent organic polymer (COP) network (named as CityU-46) driven by the dative N -&gt; B bonds between the 1,4-bis(benzodioxa-borole)benzene (BACT) and 2,5-bis(4-pyridyl)-1,3,4-thiadiazole (BPT). The complex woven topology of CityU-46 was determined using a single-crystal X-ray diffraction technique, revealing that it features a well-defined two-over and two-under interweaving pattern at the molecular level. Due to its structural merits, CityU-46 can be used as an artificial organic solid-electrolyte interphase layer on the surface of Li metal anodes, significantly improving the stability and long-term performance of lithium metal cells.</t>
  </si>
  <si>
    <t>Zhang, qichun/A-2253-2011; zhang, qichun/A-2253-2011</t>
  </si>
  <si>
    <t>Naren, Tuoya/0009-0000-2963-4910; KANG, Fangyuan/0000-0002-4279-2929; zhang, qichun/0000-0003-1854-8659; YANG, Jinglun/0000-0002-3349-2764; Chen, Zihao/0000-0001-5315-9005</t>
  </si>
  <si>
    <t>2025 MAY 16</t>
  </si>
  <si>
    <t>10.1002/anie.202506036</t>
  </si>
  <si>
    <t>WOS:001489127400001</t>
  </si>
  <si>
    <t>Zhang, YZ; Li, X; Wang, YL; Zhu, JH; Zuo, YZ; Cheng, XM; Rong, T; Zhang, J; Hu, Y; Lin, HZ; Wang, J; Zhan, L; Ling, LC</t>
  </si>
  <si>
    <t>Zhang, Yongzheng; Li, Xiang; Wang, Yanli; Zhu, Jianghao; Zuo, Yinze; Cheng, Xiaomin; Rong, Tao; Zhang, Jing; Hu, Yang; Lin, Hongzhen; Wang, Jian; Zhan, Liang; Ling, Licheng</t>
  </si>
  <si>
    <t>Edge-Delocalized Electron Effect on Self-Expediating Desolvation Kinetics for Low-Temperature Li―S Batteries</t>
  </si>
  <si>
    <t>Lithium-sulfur (Li &amp; horbar;S) batteries suffer from significant capacity degradation, which is limited by high barriers from interfacial desolvation, Li+ transportation to sulfur redox conversions, exhibiting the depressive kinetics. Herein, the electron effect in the edge of catalysts is modulated and the corresponding strategy of self-transform Schottky heterojunction on MXene is proposed to achieve the edge delocalized electronic density. As a protocol, the electron-delocalized Schottky heterojunction of boron-doped MXene/TiO2 (SH-MTB) is fabricated as electrochemical kinetic accelerators to realize fast Li+ desolvation to promote rapid sulfur conversion kinetics under low-temperature. Specifically, the Schottky heterojunction with edge effect expedites the dissociation kinetics of [Li(solvents)x]+ to generate free Li ions, as well-confirmed by theoretical calculations and ex-situ/in situ electrochemical characterizations. Encouragingly, higher practical areal capacity (5.0 mAh cm-2) and negligible self-discharge behaviors are achieved under low-temperature environments. A large areal pouch cell with 200 mgs exhibits 9.3 mAh cm-2 under a lean electrolyte amount (5 mu L mg-1), much better than state-of-art reports. As further indicated by electronic microscopies, spectroscopical measurements and X-ray tests, the SH-MTB stabilizes the chemical structure during charge/discharge process, showing promising potential of Schottky heterostructure toward accelerating the cascade carrier kinetics in Li metal battery under low-temperature.</t>
  </si>
  <si>
    <t>Wang, Jian/H-5606-2018; Zhang, Yongzheng/NWH-2323-2025</t>
  </si>
  <si>
    <t>10.1002/adfm.202508225</t>
  </si>
  <si>
    <t>WOS:001489196700001</t>
  </si>
  <si>
    <t>Uzunoglu, GY; Coskun, S; Yuksel, R</t>
  </si>
  <si>
    <t>Uzunoglu, Gulsah Yaman; Coskun, Sahin; Yuksel, Recep</t>
  </si>
  <si>
    <t>The Role of Hexagonal Boron Nitride (h-BN) in Enhancing Electrolytes for Safer and Efficient Lithium-Based Batteries</t>
  </si>
  <si>
    <t>CHEMELECTROCHEM</t>
  </si>
  <si>
    <t>Hexagonal boron nitride (h-BN), with its unique structural and thermal properties, has emerged as a versatile material capable of addressing challenges such as thermal instability, dendrite formation, and limited ionic conductivity across liquid, gel polymer, and solid-state electrolytes (SSEs) for high-performing lithium ion and lithium metal batteries (LMBs). In liquid electrolytes, h-BN improves ionic mobility and suppresses side reactions, while in gel polymer electrolytes (GPEs), it enhances mechanical flexibility and thermal stability. SSEs benefit from h-BN's ability to suppress dendrites, reinforce mechanical strength, and optimize interfacial compatibility, making it a key enabler for next-generation battery technologies. Despite its promise, challenges such as dispersion uniformity, cost, and interfacial complexity must be addressed. Future directions, including the development of multifunctional architectures, dynamic electrolytes, and sustainable synthesis methods, are discussed to guide the integration of h-BN in emerging energy storage systems. This perspective article explores the multifunctional roles of h-BN, highlighting its contributions to enhancing ionic transport, thermal management, and interfacial stability. By presenting a comprehensive overview of h-BN's role in electrolytes, this work aims to inspire further research into its potential to revolutionize energy storage technologies.</t>
  </si>
  <si>
    <t>; Yaman Uzunoğlu, Gülşah/GXW-2303-2022; Yuksel, Recep/Q-2305-2015; Coskun, Sahin/J-7978-2013</t>
  </si>
  <si>
    <t>Yuksel, Recep/0000-0001-8178-0165; Yaman Uzunoglu, Gulsah/0000-0002-1589-4735;</t>
  </si>
  <si>
    <t>2196-0216</t>
  </si>
  <si>
    <t>MAY 30</t>
  </si>
  <si>
    <t>10.1002/celc.202500011</t>
  </si>
  <si>
    <t>WOS:001488052300001</t>
  </si>
  <si>
    <t>Sharma, A; Gupta, P</t>
  </si>
  <si>
    <t>Sharma, Abhiruchi; Gupta, Puneet</t>
  </si>
  <si>
    <t>In Silico Studies Show that -OBO Units Bound to Stable Boron Cages in YB11(OBO)12- (Y = C/Si) Anions Provide a Desirable Borate-Rich Solid Electrolyte Interface in Ca-Ion Batteries</t>
  </si>
  <si>
    <t>CHEMSUSCHEM</t>
  </si>
  <si>
    <t>The development of calcium-ion batteries (CIBs) as potential successors to lithium-ion batteries has been hindered by the lack of suitable electrolytes. Conventional electrolytes often decompose on the Ca anode, forming calcium-ion impermeable passivation layers that impede reversible calcium plating and stripping. Therefore, the design of stable electrolytes or those capable of forming Ca2+ permeable passivation layers remains a critical challenge. The present study investigates calcium salts of YB11X12- (Y = C/Si and X = -BO/OBO) anions using density functional theory (DFT)-based simulations for CIBs. DFT calculations emphasize the oxidative stability of anions, while ab initio molecular dynamics (AIMD) simulations reveal their reductive behavior on the Ca anode. Time-dependent charge transfer analysis and projected density of states provide an atomistic perspective on electron transfer between the Ca surface and anions, aligning with observations from frontier orbital analyses. Decomposition of YB11(OBO)12- (Y = C/Si) anions during AIMD simulation reveals the formation of borate-based species as part of the solid electrolyte interface, suggesting their potential as electrolytes that enable effective calcium plating and stripping. Overall, this work paves the way for designing efficient electrolytes, offering a fresh perspective to identify optimal CIB electrolytes, and moving beyond ensuring electrolyte stability on the Ca anode.</t>
  </si>
  <si>
    <t>Sharma, Abhiruchi/0009-0007-0125-1070</t>
  </si>
  <si>
    <t>1864-5631</t>
  </si>
  <si>
    <t>1864-564X</t>
  </si>
  <si>
    <t>2025 MAY 12</t>
  </si>
  <si>
    <t>10.1002/cssc.202500154</t>
  </si>
  <si>
    <t>WOS:001486324500001</t>
  </si>
  <si>
    <t>Zhang, YL; Yuan, ZX; Xie, B; Cao, JQ; Zhang, H; Zhang, SJ; Wang, D; Sun, F; Du, XF; Zhang, JJ; Cui, GL</t>
  </si>
  <si>
    <t>Zhang, Yalan; Yuan, Zhixiang; Xie, Bin; Cao, Junqi; Zhang, Hao; Zhang, Shijie; Wang, Duo; Sun, Fu; Du, Xiaofan; Zhang, Jianjun; Cui, Guanglei</t>
  </si>
  <si>
    <t>Tailoring Anion-Enriched Solvation Structures in Phosphate-Based Electrolytes for Safety-Enhanced Lithium Metal Batteries</t>
  </si>
  <si>
    <t>Both phosphate-based high-concentration electrolytes and localized high-concentration electrolytes effectively address safety concerns and interfacial compatibility issues in Ni-rich lithium metal batteries (LMBs). However, their high cost and viscosity have hindered further practical applications. Here, an intrinsically nonflammable phosphate-based low-concentration electrolyte is delicately presented, employing 0.7 M lithium difluoro(oxalato)borate and the flame-retardant trimethyl phosphate solvent, to overcome the aforementioned challenges. The weak interactions between trimethyl phosphate and difluoro(oxalato)borate anions facilitate the formation of anions-induced solvation structures and the protective layers that are rich in boron oxides and LiF. The as-designed electrolyte has been employed to build LiNi0.9Co0.05Mn0.05O2/Li cell which demonstrates stable cycling for over 180 cycles. Additionally, the battery is also able to operate successfully over a wide temperature range, from -20 to 60 degrees C, and displays elevated thermal runaway temperatures, enhanced high-temperature charge retention capability, and reduced gas evolution. Moreover, a 20.0 Ah pouch cell achieves a high energy density of 533.8 Wh kg-1, showcasing great potential for commercial applications. Furthermore, this electrolyte is compatible with both layered and spinel cathodes. The delicate molecular design strategy in this work provides a promising avenue for the development of high-safety electrolytes for high-energy-density Ni-rich LMBs.</t>
  </si>
  <si>
    <t>Du, Xiaofan/IWU-7063-2023; Cui, Guanglei/AAS-7889-2021</t>
  </si>
  <si>
    <t>2025 MAY 9</t>
  </si>
  <si>
    <t>10.1002/adfm.202504367</t>
  </si>
  <si>
    <t>WOS:001484480500001</t>
  </si>
  <si>
    <t>Huang, JY; Wang, D; Cheng, ZB; Xie, XF; Chang, BW; Li, XJ; Wang, RH</t>
  </si>
  <si>
    <t>Huang, Jiayu; Wang, Dan; Cheng, Zhibin; Xie, Xiaofei; Chang, Bowen; Li, Xiaoju; Wang, Ruihu</t>
  </si>
  <si>
    <t>Morphology and electron regulation of B-WS2@MXene nanosheet array heterojunctions to upgrade the capacity and longevity of lithium-sulfur batteries</t>
  </si>
  <si>
    <t>Tailor-made separator modifiers for the interception and conversion of polysulfides are an effective approach to achieve high-performance lithium-sulfur (Li-S) batteries. Herein, a morphology and electron regulation strategy based on the nanosheet array structure of MXene and boron-doped WS2 nanosheets has been proposed for polypropylene (PP) separator modification. The nanoarray architecture based on C-Ti-S covalent connections between MXene and boron-doped WS2 significantly expedites electron transfer and optimizes mass transport dynamics. Concurrently, the activated WS2 basal plane effectively inhibits the shuttle effect of polysulfides and expedites the electrocatalytic conversion of intercepted polysulfides. At a lean electrolyte of 5 mu L mg-1 and high sulfur loading of 6.5 mg cm-2, the cell synchronously acquires high specific capacity of 1227 mA h g-1, an areal capacity of 7.9 mA h cm-2 and volumetric capacity of 1246 mA h cm-3. Moreover, the pouch cell assembled with the modified separator achieves a high capacity of 204 mA h g-1 and a volumetric energy density of 400 W h L-1. This work provides a facile and hopeful protocol toward separator modification to develop high-energy-density and long-lifetime Li-S batteries.</t>
  </si>
  <si>
    <t>Cheng, Zhibin/JAD-0658-2023</t>
  </si>
  <si>
    <t>10.1039/d5ta02390d</t>
  </si>
  <si>
    <t>WOS:001492560300001</t>
  </si>
  <si>
    <t>Yang, ZH; Pan, JJ; Wu, H; Shi, KX; Chen, ZK; Li, JH; Huang, WZ; Yang, TX; Hong, Y; Zhang, R; Lu, ZG; Li, JM; Liu, QB</t>
  </si>
  <si>
    <t>Yang, Zihao; Pan, Jiajie; Wu, Hao; Shi, Kaixiang; Chen, Zikang; Li, Junhao; Huang, Wenzhi; Yang, Tianxiang; Hong, Yun; Zhang, Rui; Lu, Zhouguang; Li, Jongmin; Liu, Quanbing</t>
  </si>
  <si>
    <t>Construction of high-throughput interface phase using boron containing anions to regulate solvation structure and achieve high-performance sodium metal batteries</t>
  </si>
  <si>
    <t>NANO ENERGY</t>
  </si>
  <si>
    <t>The commercialization of sodium metal batteries (SMBs) remains challenging due to the instability of the solid electrolyte interphase (SEI) and cathode electrolyte interphase (CEI), resulting in rapid capacity degradation under harsh cycling conditions. In this paper, a novel electrolyte additive, sodium difluoro-oxalate borate (NaDFOB), was developed to address these challenges. NaDFOB effectively improved the stability of the SEI/CEI by forming a solid electrolyte interphase enriched in NaF and B2O3. This modification was shown to significantly inhibit cathodic transition metal leaching and anodic sodium dendrite growth. The capacity retention of Hard Carbon (HC) || NaNi0.33Fe0.33Mn0.33O2 (NFM) cylindrical battery containing BE-NaDFOB electrolyte was94.1 % after 1000 cycles of charging and discharging at 0.5 C. The electrolyte with BE-NaDFOB electrolyte is capable of stable operation at -40 degrees C similar to 60 degrees C in Na || NFM batteries. This work explained the effect of the introduction of the additive NaDFOB on the solvation structure of the bulk electrolyte, the decomposition mechanism of NaDFOB that formed a uniform solid electrolyte interface film (CEI/SEI) on the surface of the anode and cathode, and the rapid desolvation of sodium ions. The rapid desolvation of sodium ions contributed to the formation of a high-flux SEI (Refers to the movement and distribution of sodium ions at the solid-state incremental electrolyte (SEI) during deposition or stripping).</t>
  </si>
  <si>
    <t>Pan, Jiajie/MXK-4130-2025; Liu, Quanbing/AAC-5076-2019; Lu, Zhouguang/G-6240-2013; Yang, Zihao/MIQ-2982-2025</t>
  </si>
  <si>
    <t>2211-2855</t>
  </si>
  <si>
    <t>2211-3282</t>
  </si>
  <si>
    <t>AUG</t>
  </si>
  <si>
    <t>10.1016/j.nanoen.2025.111083</t>
  </si>
  <si>
    <t>WOS:001487377900002</t>
  </si>
  <si>
    <t>Huang, JF; Tabish, M; Ajmal, S; Kumar, A; Guo, JW; Alam, MM; Yasin, G</t>
  </si>
  <si>
    <t>Junfeng, Huang; Tabish, Mohammad; Ajmal, Saira; Kumar, Anuj; Guo, Jianwen; Alam, Mohammed Mujahid; Yasin, Ghulam</t>
  </si>
  <si>
    <t>Nanoengineering of Boron-Based Materials for Lithium Batteries: Advances, Challenges, and Prospects</t>
  </si>
  <si>
    <t>SMALL METHODS</t>
  </si>
  <si>
    <t>Owing to its electron deficiency, boron opens new nanostructures, enabling material science breakthroughs. Boron-based nanoengineering has become a focus of theoretical research since the discovery of graphene, especially in energy storage structures with extraordinary qualities. The instability of boron nanostructures makes their use in modern battery technologies difficult. New nanoengineering methods are improving the redox kinetics, ion adsorption, and structural stability of boron to solve these challenges. Critical knowledge gaps remain despite these efforts, emphasizing the necessity for a synergistic strategy that integrates theoretical and experimental advances. This review emphasizes boron-based nanoengineering at the forefront of next-generation battery electrode design for transformational Li-ion and Li-S batteries. This work explores novel methods such as boron doping in nanocarbons, surface functionalization, and 3D porous borophene structures to improve the stability and electrochemical performance. Additionally, it critically evaluates the scalability, safety, and robustness of borophene-an emergent 2D material set to change the energy landscape. The present study addresses these difficulties to fill gaps and promote innovative research. Borophene could lead to innovations that could change energy storage and beyond.</t>
  </si>
  <si>
    <t>Ajmal, Saira/AAH-1111-2019; alam, mohammed/GXH-3645-2022; Tabish, Mohammad/AAX-2764-2021; Yasin, Ghulam/R-5722-2016; Guo, jianwen/AFG-7240-2022</t>
  </si>
  <si>
    <t>Yasin, Ghulam/0000-0001-8794-3965;</t>
  </si>
  <si>
    <t>2366-9608</t>
  </si>
  <si>
    <t>2025 APR 29</t>
  </si>
  <si>
    <t>10.1002/smtd.202500208</t>
  </si>
  <si>
    <t>APR 2025</t>
  </si>
  <si>
    <t>WOS:001478557800001</t>
  </si>
  <si>
    <t>Shen, JY; Shi, XY; Xing, FF; Yang, ED; Ren, ZH; Liao, SH; Chen, SH; Dong, YF; Wu, ZS</t>
  </si>
  <si>
    <t>Shen, Jiayu; Shi, Xiaoyu; Xing, Feifei; Yang, Endian; Ren, Zhihao; Liao, Shihao; Chen, Shaohua; Dong, Yanfeng; Wu, Zhong-Shuai</t>
  </si>
  <si>
    <t>Fast-Charging Long-Life Solid-State Sodium Metal Batteries Enabled by 2D Boron Nitride Nanosheets Based Quasi-Solid-State Electrolytes</t>
  </si>
  <si>
    <t>Solid-state sodium metal batteries (SSMBs) are considered as one highly competitive, high-energy-density yet safe energy storage device, however, the conventional quasi-solid-state electrolytes (QSSEs) still suffer from low ion conductivity and limited mechanical properties. Herein, a safe, fast-charging, and long-life SSMB is reported, utilizing photopolymerized ethoxylated trimethylpropane triacrylate based QSSEs (BN-QSSE) reinforced by 2D functional fillers of boron nitride nanosheets (BNNSs). The BNNSs with high Young's modulus in BN-QSSE can simultaneously accelerate and homogenize ion transport for uniform Na deposition and form a robust electrolyte-Na interface. Only a low proportion of 1% BNNSs in BN-QSSE can effectively realize high ionic conductivity of 1 x 10-2 mS cm-1, achieve a wide electrochemical stability window of 4.85 V (vs. Na/Na+), and substantively suppress Na dendrites. The resulting Na||BN-QSSE||Na symmetric batteries exhibit a long life of 600 h at 0.1 mA cm-2 and 0.1 mAh cm-2. The as-assembled Na3V2(PO4)3||BN-QSSE||Na full batteries display high capacities of 102 mAh g-1 at 1 C and 75 mAh g-1 at a high rate of 15 C, and maintain 93% of the initial discharge capacity after 1000 cycles at 10 C, outperforming most reported SSMBs. The developed 2D filler-reinforced QSSE provides new opportunities for high-performance SSMBs.</t>
  </si>
  <si>
    <t>Wu, Zhong-Shuai/F-1978-2014; yang, endian/GVU-4843-2022; Dong, Yanfeng/R-2845-2016; Ren, Zhihao/AAB-4869-2021</t>
  </si>
  <si>
    <t>10.1002/aenm.202500776</t>
  </si>
  <si>
    <t>WOS:001478497000001</t>
  </si>
  <si>
    <t>Yang, H; Liu, FX; Jiang, Z; Pan, ZY; Wei, AF; Jing, HF; Zhang, W; Zheng, WT</t>
  </si>
  <si>
    <t>Yang, He; Liu, Fuxi; Jiang, Zhou; Pan, Zhongyu; Wei, Aofei; Jing, Haifeng; Zhang, Wei; Zheng, Weitao</t>
  </si>
  <si>
    <t>Constructing a 5.2 V High-Voltage Electrolyte via TMSB Additive Enables Ultrahigh Rate Performance Graphite-Based Dual-Ion Batteries</t>
  </si>
  <si>
    <t>NANO LETTERS</t>
  </si>
  <si>
    <t>The development of carbon-based dual-ion batteries (DIBs) is essentially limited by the oxidation decomposition of the electrolyte at high voltage and the unsatisfactory stability of the cathode-electrolyte interface (CEI). Herein, to address these notorious issues, we successfully achieved a high-performance DIB by introducing the Tris(trimethylsiloxy)boron (TMSB) additive. It effectively regulated the solvation structure of the original 2 M LiPF6-solved EMC electrolyte. As a result, it not only weakens the coordination between the PF6 - anion and EMC solvent but also suppresses EMC decomposition at the cathode interface. Such regulation facilitates the formation of a stable CEI layer enriched with highly ion-conductive inorganic components. Benefitting from the optimized interfacial kinetics, the graphite cathode delivers exceptional stability and rate capability, achieving 87.86% capacity retention after 2000 cycles at 5.2 V and 84.21% capacity retention at 50 C.</t>
  </si>
  <si>
    <t>zheng, weitao/LTD-0609-2024</t>
  </si>
  <si>
    <t>1530-6984</t>
  </si>
  <si>
    <t>1530-6992</t>
  </si>
  <si>
    <t>APR 28</t>
  </si>
  <si>
    <t>10.1021/acs.nanolett.5c00896</t>
  </si>
  <si>
    <t>WOS:001487912900001</t>
  </si>
  <si>
    <t>Davydova, ES; Halpern, Y; Breytus, A; Rothschild, A</t>
  </si>
  <si>
    <t>Davydova, Elena S.; Halpern, Yossi; Breytus, Anna; Rothschild, Avner</t>
  </si>
  <si>
    <t>What limits the rate of thermally activated self-discharge of nickel oxyhydroxide electrodes?</t>
  </si>
  <si>
    <t>SOLID STATE IONICS</t>
  </si>
  <si>
    <t>Nickel (oxy)hydroxide electrodes are widely used in alkaline batteries and water electrolyzers. Their operation involves reversible phase transformations (Ni(OH)2 + OH-NiOOH + H2O + e-) upon charge and discharge at potentials below the onset of oxygen evolution; electrocatalytic oxygen evolution reaction (OER, 4OH- -&gt; O2 + 2H2O + 4e-) at higher potentials; and spontaneous chemical self-discharge (4NiOOH + 2H2O -&gt; 4Ni(OH)2 + O2) that is accelerated at elevated temperatures. This work studied compositional and microstructural changes in nickel-boride-based electrodes during cold (room temperature) charge and hot (95 degrees C) self-discharge cycles that enable decoupled membraneless water electrolysis. Pristine electrodes comprised agglomerates of equiaxed nickel boride nanoparticles that transformed into boron-depleted Ni(OH)2 platelets upon chemical aging and electrochemical activation treatments followed by operation in cold charge and hot self-discharge cycles. Cyclic operation in alternating cold and hot alkaline electrolytes resulted in crystallization and growth of mosaic hexagonal plates that seem to have been formed by detachment of small platelets from the agglomerates and oriented reattachment onto the edges of the growing plates. Concomitant with the plate growth, the self- discharge kinetics (at 95 degrees C) decreased from one cycle to another whilst the OER kinetics (at room temperature) slightly enhanced. This observation suggests that bulk processes involving solid-state diffusion and phase transformation limit the rate of thermally activated self-discharge rather than OER. This finding sheds new light on the mechanism of the self-discharge reaction that limits the performance of alkaline batteries and decoupled alkaline water electrolyzers.</t>
  </si>
  <si>
    <t>Davydova, Elena/H-2057-2014; Rothschild, Avner/B-7896-2009</t>
  </si>
  <si>
    <t>0167-2738</t>
  </si>
  <si>
    <t>1872-7689</t>
  </si>
  <si>
    <t>APR</t>
  </si>
  <si>
    <t>10.1016/j.ssi.2025.116815</t>
  </si>
  <si>
    <t>WOS:001436625300001</t>
  </si>
  <si>
    <t>Wei, HY; Jin, B; Jiang, Q</t>
  </si>
  <si>
    <t>Wei, Huiying; Jin, Bo; Jiang, Qing</t>
  </si>
  <si>
    <t>Partial boronization of transition metal within double heterostructure nanosheet achieves high-rate and long-cycling lithium-sulfur batteries</t>
  </si>
  <si>
    <t>Lithium-sulfur batteries (LSBs) have emerged as highly promising next-generation chemical power sources, characterized by their elevated specific energy. Their exceptionally high theoretical energy density has attracted considerable attention in both academic research and industrial application. Nonetheless, the shuttle effect and sluggish redox kinetics significantly hinder their advancement, resulting in the rapid deterioration of battery capacity and substantially limiting their practical application. To address this issue, this work reports a molten salt-assisted strategy. Using ZnCo-ZIF as a precursor, a novel dual heterostructure nanosheet (Co/CoB/NBC) composed of nitrogen and boron co-doped carbon (NBC), transition metal boride (CoB), and metallic element (Co) is successfully constructed and applied to modify the polypropylene (PP) separator in LSBs. The lithiumsulfur (Li-S) battery utilizing the Co/CoB/NBC-PP separator demonstrates remarkable cycle stability, successfully completing 800 cycles at a high rate of 8 C, with an initial discharge capacity reaching to 757 mAh g- 1 and a capacity retention of 80%. At 2 C, the initial discharge capacity is recorded at 1013 mAh g- 1, and following 1000 cycles, the average capacity degradation and capacity retention rate are measured at 0.025% and 75%, respectively. Furthermore, when subjected to cycling at a low current density of 0.5 C over the course of 100 cycles, the capacity retention rate is 81.3%. It is worth noting that when the sulfur loading of the electrode is as high as 5.2 mg cm- 2 and electrolyte-to-sulfur (E/S) ratio is 2.88 mu L mg- 1, the first discharge capacity at 0.2 C is 825 mAh g- 1. This study provides a novel and highly valuable method for designing dual heterostructure nanosheet among metallic element, metal boride and carbon, aimed at enhancing the energy density and longevity of LSBs. This work also establishes a robust foundation for the continued advancement and practical implementation of LSBs technology.</t>
  </si>
  <si>
    <t>10.1016/j.jcis.2025.137618</t>
  </si>
  <si>
    <t>WOS:001476562900001</t>
  </si>
  <si>
    <t>Feiler, S; Johann, J; Gold, L; Gronbach, A; Giffin, GA</t>
  </si>
  <si>
    <t>Feiler, Simon; Johann, Jannis; Gold, Lukas; Gronbach, Andreas; Giffin, Guinevere A.</t>
  </si>
  <si>
    <t>Investigating wetting and formation behavior of consumer format pouch cells utilizing ultrasound</t>
  </si>
  <si>
    <t>Methods to detect electrolyte wetting in lithium-ion batteries (LiBs) are limited, but ultrasound (US) techniques have emerged as a promising solution. In this study, wetting behavior in consumer-format pouch cells (5 x 3 cm) was examined using US transmission, electrochemical impedance spectroscopy (EIS), and dyed electrolyte. The results indicate that wetting is almost immediately completed to a sufficient degree. Residual gas pockets, detectable using ultrasound, seem to take a long time to dissolve in the electrolyte or to migrate out to the sides of the pouch on their own. US measurements imply that these remaining gas pockets are expelled during the formation process due to expansion of the graphite anode during lithiation. The gas pockets initially present are not harmful to cell performance, as shown by aging measurements and the absence of plating after formation. Consequently, the formation process can be initiated almost immediately after filling in this cell format.</t>
  </si>
  <si>
    <t>Gold, Lukas/0000-0001-7444-2969</t>
  </si>
  <si>
    <t>10.1016/j.jpowsour.2025.236988</t>
  </si>
  <si>
    <t>WOS:001474176900001</t>
  </si>
  <si>
    <t>Park, J; Lee, D; Kim, S; Lee, MJ; Lee, W; Choi, NS; Kim, BJ</t>
  </si>
  <si>
    <t>Park, Jinseok; Lee, Dongkyu; Kim, Saehun; Lee, Michael J.; Lee, Wonho; Choi, Nam-Soon; Kim, Bumjoon J.</t>
  </si>
  <si>
    <t>Fluorine-, Nitrogen-, and Boron-Functionalized Polymer Electrolytes for Advanced Lithium Metal Batteries</t>
  </si>
  <si>
    <t>ACS NANO</t>
  </si>
  <si>
    <t>Polymer electrolytes (PEs) have emerged as alternatives to conventional liquid electrolytes in lithium metal batteries (LMBs) by addressing critical safety and performance challenges, including flame hazards, dendrite growth, and interfacial instability. While oxygen-based PEs, such as poly(ethylene oxide), have been widely investigated, their limited ionic conductivity and susceptibility to electrochemical degradation under high-voltage operation have prompted the exploration of heteroatom-functionalized PEs. Incorporating heteroatoms significantly enhances ion transport, electrochemical stability, and mechanical properties-all critical factors for robust and reliable LMB performance. This review focuses on fluorine-, nitrogen-, and boron-functionalized PEs, highlighting their distinctive features and design strategies for LMB applications. Recent developments and key design principles are summarized in the context of high-performance PEs for safer and more reliable LMBs for advanced energy storage applications.</t>
  </si>
  <si>
    <t>Lee, Michael/HKV-4132-2023; Lee, Wonho/AAO-6256-2020; Kim, Bumjoon/C-1714-2011</t>
  </si>
  <si>
    <t>Park, Jinseok/0000-0002-0389-9707; Lee, Michael/0000-0001-5087-3991</t>
  </si>
  <si>
    <t>1936-0851</t>
  </si>
  <si>
    <t>1936-086X</t>
  </si>
  <si>
    <t>APR 16</t>
  </si>
  <si>
    <t>10.1021/acsnano.5c01430</t>
  </si>
  <si>
    <t>WOS:001468568600001</t>
  </si>
  <si>
    <t>Li, ZH; Xu, YJ; Zhang, CC; Li, C; Wang, S; Wang, ZK; Ma, Y; Shi, XX; Zhang, HZ; Song, DW; Zhang, LQ</t>
  </si>
  <si>
    <t>Li, Zuohang; Xu, Yijia; Zhang, Chenchen; Li, Chen; Wang, Su; Wang, Zhaokun; Ma, Yue; Shi, Xixi; Zhang, Hongzhou; Song, Dawei; Zhang, Lianqi</t>
  </si>
  <si>
    <t>Failure mechanism of sulfurized polyacrylonitrile (SPAN) cathode induced by boron-contained lithium salt</t>
  </si>
  <si>
    <t>Sulfurized polyacrylonitrile (SPAN) is deemed as the most promising lithium-sulfur (Li-S) batteries cathode owing to high sulfur utilization degree and stable cycling performance. However, abnormal high initial capacity of 2683.2 mA h g-1 and severe degradation (100.5 mA h g-1, 100 cycles) induced by LiDFOB salt are observed in our work. To conduct in-depth research on related mechanism, LiPF6 and LiTFSI based batteries are tested as fair comparisons and relatively cycling performances are exhibited. The electrochemical performance of electrolyte and the interfacial properties of cycled Li anode are compared, then the impact of Li ion transfer and parasitic interface reactions are excluded. Synchrotron-based pair distribution function (PDF) and Raman spectroscopy tests indicate that new B-S bonds are generated on SPAN during the first discharge process in LiDFOB based battery, while the insertion of Li ions on S sites are greatly suppressed. Density functional theory method suggests that active S sites after S-S bond cleavage will be attacked and bonded by B from DFOB-, which is hard to break and continuously inhibit effective reactions between Li ions and S, leading to serious irreversible battery degradation. The failure mechanism of SPAN cathode induced by boron-contained lithium salt are further verified by LiBOB.</t>
  </si>
  <si>
    <t>Zhang, Hong-Zhou/ABA-2249-2021; Zhang, Lianqi/AFS-3606-2022; wang, zhaokun/AAA-1555-2022</t>
  </si>
  <si>
    <t>10.1016/j.ensm.2025.104243</t>
  </si>
  <si>
    <t>WOS:001471748600001</t>
  </si>
  <si>
    <t>Huang, XJ; Jiang, XZ; Shi, CY; Wang, MR; Zhou, YE; Hong, B; Li, J; Lai, YQ</t>
  </si>
  <si>
    <t>Huang, Xinjing; Jiang, Xiaozhi; Shi, Chenyang; Wang, Mengran; Zhou, Yangen; Hong, Bo; Li, Jie; Lai, Yanqing</t>
  </si>
  <si>
    <t>Anion-diluent synergistic strategy for improved interfacial stability in lithium metal batteries</t>
  </si>
  <si>
    <t>Recently, high-voltage Li metal batteries (LMBs) have shown great potential as high-energy-density energy storage devices. However, current electrolytes struggle to form stable interfacial films on both the Li anode and high-voltage cathode simultaneously, leading to unsatisfactory cycling stability in high-voltage LMBs. Here, lithium bis(oxalate)borate (LiBOB) with a large pi conjugate structure and fluorine-rich hydrofluoroether (HFE) are co-introduced into conventional ether electrolyte to balance dipole-dipole interactions. This results in the formation of an elastic F- and B-O-rich anodic interfacial layer and a robust boron-rich cathode-electrolyte interphase (CEI), leading to superior cycling ability. Consequently, the Li||Cu cell shows an extremely long cycle life of 9500 h under 1 mA cm(-2) and 1 mAh cm(-2), which is the best as reported so far. The Li||LiCoO2 cells exhibit a superior capacity retention of similar to 82.32% under 4.5 V after 160 cycles, with an average CE of &gt; 99.9%. The correspondent Li||NCM811 pouch cells (5 Ah, 400 Wh/kg; 3.3 Ah, 434 Wh/kg) could stably cycle at 0.5 C for 200 cycles and 130 cycles, respectively. This work offers a novel and effective strategy to commercialize ether-based electrolytes for high-energy-density and long-life LMBs.</t>
  </si>
  <si>
    <t>wang, mengran/HDO-7739-2022</t>
  </si>
  <si>
    <t>10.1016/j.ensm.2025.104239</t>
  </si>
  <si>
    <t>WOS:001471167800001</t>
  </si>
  <si>
    <t>Hu, RD; Yang, LW; Zhang, CX; Chen, BJ; Hong, HC; Shen, HD; Mao, C; Yang, ZH; Zhang, SY; Huang, QJ; Li, Y; Ruan, WH; Yang, FJ</t>
  </si>
  <si>
    <t>Hu, Ridong; Yang, Lewen; Zhang, Caixia; Chen, Bijun; Hong, Hucan; Shen, Haodong; Mao, Chong; Yang, Zihao; Zhang, Shuying; Huang, Qiujie; Li, Yang; Ruan, Wenhong; Yang, Fujie</t>
  </si>
  <si>
    <t>Bifunctional sodium tetrakis [3,5-bis(trifluoromethyl)phenyl] borate additive for long-lifespan sodium-ion batteries with NaNi0.33Fe0.33Mn0.33O2 cathode</t>
  </si>
  <si>
    <t>Sodium-ion batteries (SIBs) are viable contenders for large-scale energy storage systems owing to the plentiful supply of sodium resources. However, the poor stability of electrolyte/ electrode interface severely limits the cycle life of SIBs. Herein, sodium tetrakis[3,5-bis(trifluoromethyl)phenyl]borate (NaTFPB), a boron-centered fluorinated organic sodium salt, is used as a bifunctional additive in the Base electrolyte (NaPF6 in EC/DMC/ FEC) for NaNi0.33Fe0.33Mn0.33O2||hard carbon pouch cells. Theoretical simulations and experimental studies demonstrate that NaTFPB modulates the first solvation shell structure of Na+ and undergoes preferential redox reactions at both electrodes simultaneously. This behaviour contributes to the formation of robust interfacial layers. As a result, uniform and stable cathode electrolyte interphase (CEI) and solid electrolyte interphase (SEI) layers, enriched with NaF and boron compounds, are formed. The Ah-scale pouch cell with NaTFPB exhibits a high capacity retention of 79 % after 500 cycles at 1 C rate under room temperature. Remarkably, under harsh operational stress combining elevated temperature (45 degrees C) and an upper high cutoff voltage of 4.1 V, the cell retains 96 % capacity retention over 250 cycles. Additionally, it exhibits excellent low-temperature discharge capability at-20 degrees C. This innovative design of functional additive addresses interfacial stability challenges, advancing high-energy-density SIBs for practical applications.</t>
  </si>
  <si>
    <t>Yang, Zihao/MIQ-2982-2025; Yang, Fujie/HGD-6819-2022</t>
  </si>
  <si>
    <t>MAY 15</t>
  </si>
  <si>
    <t>10.1016/j.cej.2025.162144</t>
  </si>
  <si>
    <t>WOS:001468712900001</t>
  </si>
  <si>
    <t>Li, JW; Kim, JS; Fan, JL; Peng, XJ; Matejicek, P</t>
  </si>
  <si>
    <t>Li, Jianwei; Kim, Jong Seung; Fan, Jiangli; Peng, Xiaojun; Matejicek, Pavel</t>
  </si>
  <si>
    <t>Boron cluster leveraged polymeric building blocks</t>
  </si>
  <si>
    <t>CHEMICAL SOCIETY REVIEWS</t>
  </si>
  <si>
    <t>Boron cluster compounds (BCCs) are inorganic molecules characterized by their unique physical and chemical properties. Polymeric materials incorporating BCCs exhibit significant chemical and thermal stability, making them valuable for applications in biomedical fields, energy storage, ultrahigh stability materials, and pi-conjugated luminochromic polymers. This review article aims to explore the primary methods for integrating these distinctive clusters into traditional carbon-based polymers. Both boron and carbon atoms possess catenation abilities, enabling the formation of extensive macromolecular structures. While carbon forms long linear chains, boron typically leads to three-dimensional polyhedral clusters. We first examine hybrid nanostructures, focusing on weak non-covalent interactions such as dihydrogen bonding, hydrophobic, and chaotropic effects between boron clusters and polymer chains. We then discuss classical chemical bonding approaches. Despite their inorganic nature, boron clusters can undergo exoskeletal substitution akin to organic counterparts, allowing their attachment as side groups to polymer repeating units. Additionally, polyhedral boron clusters can be incorporated into polymer backbones primarily through polycondensation reactions, resulting in hybrid macromolecules with exceptional physical and chemical attributes. Finally, we summarize the applications of BCC-containing polymeric materials, including their use in boron neutron capture therapy (BNCT), solid polymer electrolytes (SPEs) for metal ion batteries, and as electron acceptor groups in stimuli-responsive luminescent materials. In summary, BCC-containing polymeric materials are increasingly considered viable alternatives to traditional hydrocarbon-based polymers for biomedical applications, ion-conducting materials, luminescent materials, and temperature-resistant materials.</t>
  </si>
  <si>
    <t>Matejicek, Pavel/M-6582-2017; FAN, JIANGLI/JQX-2428-2023; Peng, Xiaojun/AFQ-7504-2022</t>
  </si>
  <si>
    <t>Matejicek, Pavel/0000-0001-5482-3465;</t>
  </si>
  <si>
    <t>0306-0012</t>
  </si>
  <si>
    <t>1460-4744</t>
  </si>
  <si>
    <t>MAY 6</t>
  </si>
  <si>
    <t>10.1039/d4cs01288g</t>
  </si>
  <si>
    <t>WOS:001462163200001</t>
  </si>
  <si>
    <t>Li, K; Zhang, JW; Wu, LQ; Xi, ZH; Li, J; Fan, ZY; Zhao, Q</t>
  </si>
  <si>
    <t>Li, Kun; Zhang, Jingwei; Wu, Lanqing; Xi, Zihang; Li, Jia; Fan, Zhenyu; Zhao, Qing</t>
  </si>
  <si>
    <t>Designing boron-based anion acceptors as electrolyte additives for energy-dense lithium metal batteries</t>
  </si>
  <si>
    <t>SCIENCE CHINA-CHEMISTRY</t>
  </si>
  <si>
    <t>Boron-based compounds are known as a class of anion acceptors due to the electron deficiency of the central B atom, which can be designed as electrolyte additives (B-ads) in rechargeable batteries. However, there are still limited systematic investigations into how the electron-deficient properties of B-ads regulate the solvation structures of electrolytes and further impact the electrode-electrolyte interface. In this work, we designed four B-ads for lithium metal batteries (LMBs) and revealed that both the structure of the boron compound and the size of the anion play crucial roles in determining the physicochemical properties of electrolytes. Among these additives, the B atom in tris(hexafluoroisopropyl)borate (THFPB) exhibited the highest electron-deficiency, resulting in the enhanced dissolution of Li2O and LiF. This characteristic was found to reduce the interfacial charge transfer resistance of the Li metal anode and enhance the Li+ diffusion coefficient of Li parallel to CFx batteries, which ultimately elevated the specific discharge capacity (similar to 100 mAh g-1) and accelerated the kinetic performance of the batteries. Through spectra characterization as well as molecular dynamics (MD) simulations, the addition of THFPB was also confirmed to enhance ion aggregations in the solvation structure, thereby contributing to the formation of robust electrolyte-electrode interphase, especially for high-voltage cathode. Consequently, the Li parallel to LiNi0.8Co0.1Mn0.1O2 batteries using thin Li anode, high loading cathode, and 0.1 M THFPB added electrolytes maintained 80% of its capacity after 150 cycles. This work demonstrates the versatileness of B-ads that effectively mitigate critical challenges of energy-dense battery systems.</t>
  </si>
  <si>
    <t>1674-7291</t>
  </si>
  <si>
    <t>1869-1870</t>
  </si>
  <si>
    <t>2025 APR 8</t>
  </si>
  <si>
    <t>10.1007/s11426-024-2597-0</t>
  </si>
  <si>
    <t>WOS:001463301600001</t>
  </si>
  <si>
    <t>Zhu, X; Lu, PS; Wu, YJ; He, WT; Gao, QF; Ma, TH; Yang, M; Chen, LQ; Li, H; Wu, F</t>
  </si>
  <si>
    <t>Zhu, Xiang; Lu, Pushun; Wu, Yujing; He, Weitao; Gao, Qifa; Ma, Tenghuan; Yang, Ming; Chen, Liquan; Li, Hong; Wu, Fan</t>
  </si>
  <si>
    <t>Oxygen Into Sulfur- New Synthesis of Sulfide Solid Electrolyte by Oxygenophilic Boron</t>
  </si>
  <si>
    <t>Sulfide solid electrolytes (SEs) with high ionic conductivity and facile formability provide great promise to construct high energy density and safe all-solid-state batteries (ASSBs). However, the poor air stability of sulfide feedstock and SEs makes the synthesis, storage, and postprocessing of the materials in a dry inert-gas atmosphere, which increases the complexity and cost of the production process. Here, a boron-assisted sulfurization synthesis method is reported for preparing various sulfide SEs from oxide raw materials, including Li4SnS4, Na3SbS4, and Li6PS5X (X = Cl, Br). Boron bonds oxygen from oxide precursors and can be separated, while elemental sulfur reacts with the remaining mixture to form sulfide SEs. Furthermore, nontoxic boron and sulfur ensure the safety of production. Finally, the assembled lithium symmetric batteries and all-solid-state batteries with prepared sulfide SEs exhibit stable cycling. Hence, this work may be important for the practical production and application of sulfide-based ASSBs.</t>
  </si>
  <si>
    <t>wu, fan/NFT-7193-2025; Lu, Pushun/KPB-1699-2024; LI, Hong/C-4643-2008</t>
  </si>
  <si>
    <t>LI, Hong/0000-0002-8659-086X</t>
  </si>
  <si>
    <t>APR 7</t>
  </si>
  <si>
    <t>10.1021/acs.nanolett.4c03750</t>
  </si>
  <si>
    <t>WOS:001460991700001</t>
  </si>
  <si>
    <t>Ecevit, B; Öztürk, IA; Topcu, Y; Tekin, B</t>
  </si>
  <si>
    <t>Ecevit, Buse; Ozturk, Izel Almira; Topcu, Yildiray; Tekin, Burak</t>
  </si>
  <si>
    <t>From sunflower shells to hybrid-power cells: Boron-enhanced carbon electrodes for next-generation Zn-ion supercapacitors</t>
  </si>
  <si>
    <t>JOURNAL OF ELECTROANALYTICAL CHEMISTRY</t>
  </si>
  <si>
    <t>Zinc-ion hybrid supercapacitors have emerged as a promising technology, combining the high energy density of batteries with the high-power density of supercapacitors. This study investigates the performance of zinc-ion hybrid supercapacitors utilizing boron-doped (B-doped) and undoped activated carbon (AC) as electrode materials. Recognizing the importance of sustainability, we utilized activated carbon derived from locally abundant sunflower seed shells through a controlled pyrolysis process. The synthesized B-doped and undoped AC materials were comprehensively characterized using advanced techniques, including X-ray Diffraction (XRD) to confirm the amorphous carbon structure, Fourier-Transform Infrared (FTIR) spectroscopy to identify functional groups, and Thermogravimetric Analysis (TGA) to assess the thermochemical properties and volatile matter content. Raman spectroscopy revealed that the intensity ratio of the D-band to G-band (ID/IG) was 0.938 for the B-doped AC and 0.832 for the undoped AC, indicating an increased level of disorder in the carbon lattice due to boron incorporation. This was further supported by X-ray Photoelectron Spectroscopy (XPS), which confirmed the presence of boron in the B-doped AC, validating the successful doping process. BET analysis revealed a significant increase in surface area for the B-doped AC (600 m2/g) compared to the undoped AC (200 m2/g), which contributed to the enhanced electrochemical performance of the B-doped material. Electrochemical performance was evaluated through methods such as Cyclic Voltammetry (CV), constant-current charge-discharge tests, and Electrochemical Impedance Spectroscopy (EIS). The study examined the influence of ZnSO4 electrolyte concentration (ranging from 0.5 to 2 M) on the performance of the Zn-ion hybrid supercapacitor. Notably, the Bdoped AC material exhibited superior performance, delivering a gravimetric capacitance of approximately 105 F/cm2 in 1.5 M ZnSO4 electrolyte at a current density of 0.1 mA/cm2, with 100 % coulombic efficiency retained over 100 cycles. This performance was significantly enhanced compared to the undoped AC material, which delivered around 45 F/cm2 under the same conditions. The findings underscore the potential of B-doping in improving the electrochemical properties of sustainable carbonaceous materials, offering an effective pathway toward high-performance zinc-ion hybrid supercapacitors using locally available resources.</t>
  </si>
  <si>
    <t>TOPCU, YILDIRAY/ABB-7590-2020; Tekin, Burak/JHT-5119-2023</t>
  </si>
  <si>
    <t>1572-6657</t>
  </si>
  <si>
    <t>1873-2569</t>
  </si>
  <si>
    <t>JUN 15</t>
  </si>
  <si>
    <t>10.1016/j.jelechem.2025.119106</t>
  </si>
  <si>
    <t>WOS:001468889300001</t>
  </si>
  <si>
    <t>Liu, CL; Liu, T; Liu, RQ; Liu, YY; Ma, J; Ji, QQ; Li, N; Wang, C; Zhang, QC; Yan, WS</t>
  </si>
  <si>
    <t>Liu, Chenglong; Liu, Tian; Liu, Ruiqi; Liu, Yuying; Ma, Jin; Ji, Qianqian; Li, Na; Wang, Chao; Zhang, Qichong; Yan, Wensheng</t>
  </si>
  <si>
    <t>Boron-Fluoride Dual-atom Synergistic Regulated Interface Coating Enables Stable Zn-Metal Anodes</t>
  </si>
  <si>
    <t>Aqueous zinc-based batteries provide promising opportunities for next-generation rechargeable batteries. Nevertheless, Zn anode encounters severe challenges, such as Zn dendrite formation, surface corrosion, and hydrogen evolution reaction (HER). Here, we report a strategy to spontaneously construct a boron-fluoride dual-atom regulated SEI (ZnBOF), which involves the formation of a B-compound coating through an etching process followed by an in situ F substitution during the initial electrochemical cycling. The ZnBOF/Zn anode benefits preferential deposition of Zn2+ along the (002) plane without Zn dendrite, and the side reactions including by-product and HER are dramatically suppressed. A combination of characterization methods, such as X-ray absorption spectroscopy, shows that the B-containing passivation layer facilitates the transport of Zn2+ and mitigates water-related side reactions, and the F atoms serve as zincophilic sites that enhance the transfer kinetics of Zn2+. As expected, the well-designed ZnBOF/Zn anode exhibits ultra-stable Zn plating/stripping for 5000 h at 2 mA cm-2. The assembled ZnBOF/Zn||MnO2 batteries show impressive cycling stability, remaining 96.2% of the initial capacity (234.3 mAh g-1) after 1700 cycles at 1.0 A g-1. Therefore, this work reveals a dual-atom synergistic regulated strategy to fabricate a robust SEI for Zn anode, which contributes to the development of aqueous zinc-based batteries.</t>
  </si>
  <si>
    <t>Zhang, Qi/N-4015-2019; ji, qianqian/JXL-8550-2024; Liu, yuying/GQQ-9994-2022; Yan, Wensheng/AGI-2054-2022</t>
  </si>
  <si>
    <t>MAY 26</t>
  </si>
  <si>
    <t>10.1002/anie.202503376</t>
  </si>
  <si>
    <t>WOS:001457464500001</t>
  </si>
  <si>
    <t>Phung, NT; Feng, Y; Poupardin, T; Koo, BM; de Villeneuve, CH; Rosso, M; Ozanam, F</t>
  </si>
  <si>
    <t>Phung, Ngoc Tram; Feng, Yue; Poupardin, TheodoreM.; Koo, Bon Min; de Villeneuve, Catherine Henry; Rosso, Michel; Ozanam, Francois</t>
  </si>
  <si>
    <t>Infrared Operando Study of the Solid-Electrolyte Interphase of Amorphous-Si Electrodes for Li-Ion Batteries: Effects of Methylation and Boron Doping</t>
  </si>
  <si>
    <t>In lithium-ion batteries, the interest in delivering a high voltage leads to the use of electrodes working outside the electrochemical stability domain of electrolytes. This is especially the case for negative electrodes. Under such conditions, the stable operation of the battery requires the buildup of a passivation layer at the electrode surface, permeable to Li ions but blocking electrolyte decomposition. The stability of this passivation layer, the so-called solid-electrolyte interphase (SEI), is instrumental for sustained battery operation. In view of enhancing the specific battery capacity, silicon-based negative electrodes are appealing but suffer from an unstable SEI. Operando infrared spectroscopy has been used for analyzing the SEI formed on methylated amorphous silicon thin-film electrodes along lithiation/delithiation cycles. It provides a quantitative measurement of the SEI thickness and, with the exception of fluorinated compounds, an assessment of its chemical composition (organic carbonate, lithium carbonate, and polycarbonate content). The methyl content of the material was varied from 0 to 10%, and the influence of boron doping was also assessed. For undoped electrodes, increasing the methyl content enhances stability during electrochemical cycling but does not reduce the SEI growth rate, at least not within the first 30 cycles. The polycarbonate growth is also insensitive to the methyl content, contrary to lithium carbonate, which grows at a lower rate upon increasing methyl content. Remarkably, the combination of boron doping and high methyl content significantly lowers the SEI growth rate, opening perspectives for electrode passivation. Moreover, the polycarbonate component grows during the first cycles and then remains approximately constant, at least for about 100 cycles. The lithium carbonate component exhibits a low growth rate at a high methyl content, accounting for the slow residual growth rate of the SEI. An electrochemical mechanism is proposed to explain the effect of doping.</t>
  </si>
  <si>
    <t>FENG, Yue/0000-0002-2134-3980</t>
  </si>
  <si>
    <t>MAR 28</t>
  </si>
  <si>
    <t>10.1021/acsaem.4c03245</t>
  </si>
  <si>
    <t>MAR 2025</t>
  </si>
  <si>
    <t>WOS:001455030700001</t>
  </si>
  <si>
    <t>Wu, PJ; Han, MJ; Hu, BH; Chen, ZY; Zhao, XX; Ma, XP; Jin, LY; Wu, Y; Tang, FQ; Hu, LB</t>
  </si>
  <si>
    <t>Wu, Pengju; Han, Mengjun; Hu, Bihuan; Chen, Zhiyan; Zhao, Xiangxiang; Ma, Xinping; Jin, Liangyu; Wu, Ying; Tang, Fengqin; Hu, Libing</t>
  </si>
  <si>
    <t>Boron-doped g-C3N4 quantum dots with efficient electrocatalysis for accelerating desolvation to achieve high-performance aqueous zinc-ion batteries</t>
  </si>
  <si>
    <t>The large desolvation energy barrier of [Zn(H2O)(6)](2+) in aqueous zinc ion batteries (AZIBs) results in the undesirable [Zn(H2O)(6)](2+) formation, which leads to the uncontrollable water-induced side reactions and the intricately dendrites growth, thereby severely hindering the practical applications of AZIBs. Herein, we proposed boron-doped graphitic carbon nitride quantum dots (B-C(3)N(4)QDs) as an electrolyte additive for AZIBs. Experimental and theoretical calculations revealed that the doped B atoms could modulate the electron structure of the C(3)N(4)QDs, thus B-C(3)N(4)QDs played an enhanced catalytic role in efficiently decreasing the [Zn(H2O)(6)](2+) desolvation energy barrier to accelerate its desolvation kinetics in AZIBs, which led to releasing more free Zn2+, thereby suppressing side reactions and achieving highly reversible zinc plating/stripping to avoid the formation of zinc dendrites. Benefiting from these merits of B-C(3)N(4)QDs, the corresponding asymmetric Zn||Cu cell realized a high average Coulombic efficiency of 99.29 %. More importantly, the Zn||V2O5 full cell with B-C(3)N(4)QDs still maintained a high specific capacity of similar to 149.88 mAh g(-1) at 5 A g(-1) after 500 charging/discharging cycles, which was much higher than the battery without B-C(3)N(4)QDs at the same current density. This innovative design conception would inject new vitality to innovation of the low-cost, dendrite-free, and high-performance AZIBs and beyond.</t>
  </si>
  <si>
    <t>唐, 唐/ITT-4286-2023; Hu, Libing/LRC-4073-2024</t>
  </si>
  <si>
    <t>10.1016/j.est.2025.116418</t>
  </si>
  <si>
    <t>WOS:001459177700001</t>
  </si>
  <si>
    <t>Hempel, JL; Thapa, S; Kim, K; Kweon, KE; Wood, BC; Sevryugina, Y; Mohtadi, R; Tutusaus, O; Cheng, YT</t>
  </si>
  <si>
    <t>Hempel, Jacob L.; Thapa, Santosh; Kim, Kwangnam; Kweon, Kyoung E.; Wood, Brandon C.; Sevryugina, Yulia, V; Mohtadi, Rana; Tutusaus, Oscar; Cheng, Yang-Tse</t>
  </si>
  <si>
    <t>Probing the elastic modulus and hardness of superionic boron cluster solid electrolytes</t>
  </si>
  <si>
    <t>Polyhedral borane salts are highly tunable compounds with the potential to be used as solid electrolytes due to their high Li and Na superionic conductivity and relatively wide electrochemical stability window. In considering their application to all solid-state batteries, their mechanical properties play a critical role in their operation due to stresses the solid electrolyte is subjected to during battery operation. Density functional theory (DFT) calculations have provided an initial assessment of bulk and elastic moduli for some selected boron cluster solid electrolytes, but direct measurements are still scarce. In this paper, we report the elastic moduli and hardnesses of LiCB11H12, LiCB9H10, NaCB11H12, and NaCB9H10 for the first time using nanoindentation continuous stiffness method (CSM) measurements under inert atmosphere. Experimental modulus values ranging 8.8-12.3 GPa and hardness values ranging 0.15-0.38 GPa are lower than that of other inorganic solidstate electrolytes such as oxide- and sulfide-based solid electrolytes. DFT calculations on the expected moduli of these compounds are also presented and discussed. Analysis of the indentation plasticity index reveals that these compounds have higher plasticity index compared to other common oxide and sulfide solid electrolytes. According to the calculated Pugh's ratio, all compounds in this study except LiCB11H12 are considered ductile.</t>
  </si>
  <si>
    <t>Thapa, Santosh/HKO-3046-2023; MOHTADI, RANA/AAF-7063-2021; Cheng, Yang-Tse/B-5424-2012</t>
  </si>
  <si>
    <t>Kim, Kwangnam/0000-0003-1149-1733; Cheng, Yang-Tse/0000-0003-0737-9212</t>
  </si>
  <si>
    <t>10.1016/j.jpowsour.2025.236800</t>
  </si>
  <si>
    <t>WOS:001457475400001</t>
  </si>
  <si>
    <t>Zhang, YX; Wang, MT; Chen, B; Zeng, WH; Liu, Y; Yang, HH; Huang, JL; Zhou, MJ</t>
  </si>
  <si>
    <t>Zhang, Yunxiao; Wang, Mengting; Chen, Bing; Zeng, Wanhui; Liu, Yu; Yang, Haihua; Huang, Junlin; Zhou, Minjie</t>
  </si>
  <si>
    <t>Win-win cooperation of boron-doped C3N5 porous nanosheets and CoSe2 nanorods for promoting cathodic sulfur conversion in lithium-sulfur batteries</t>
  </si>
  <si>
    <t>Integration of carbon-based materials with transitional metal compounds offers an efficient protocol for promoting cathodic sulfur conversion in lithium-sulfur batteries (LSBs). In this study, boron-doped C3N5 (B-C3N5) porous nanosheets and CoSe2 nanorods have been coupled to form CoSe2@B-C3N5 nanocomposite by involving B-C3N5 porous nanosheets in the hydrothermal synthesis of CoSe2 nanorods. The B-C3N5 porous nanosheets with ample nitrogen-rich sites and boron dopants can favor sulfur accommodation, moderate lithium polysulfides (LiPSs) adsorption, electrolyte penetration and volume expansion tolerance. The CoSe2 nanorods with metal-like conductivity and good electrocatalytic activity facilitate sulfur conversion. By establishing a powerful win-win cooperation, the optimized CoSe2@B-C3N5-1 composite reveals intensified LiPSs adsorption capability and catalytic conversion kinetics, decreased internal resistances during Li2S nucleation/activation, more efficient Li2S deposition, smaller electrolyte and charge transfer resistances, and superior Li+ ions diffusion kinetics. As a result, the CoSe2@B-C3N5-1 cathode achieves high capacities of 1066 mAh g- 1 for the first cycle and 663 mAh g- 1 by the 300th cycle at 0.2C. The CoSe2@B-C3N5-1 cathode also shows desirable stability of specific capacity at 2C for 1000 cycles, with a low decay rate of 0.045 % per cycle. Density functional theory calculations indicate that the synergistic interaction between B-C3N5 and CoSe2 significantly improves the ability to adsorb poly- sulfides. The strategy of combining C3N5 and CoSe2 in this study can be popularized to promote the electrochemical performance of C3N5 and CoSe2.</t>
  </si>
  <si>
    <t>APR 15</t>
  </si>
  <si>
    <t>10.1016/j.cej.2025.161776</t>
  </si>
  <si>
    <t>WOS:001455549000001</t>
  </si>
  <si>
    <t>Li, YY; Zhou, Q; Lian, YF</t>
  </si>
  <si>
    <t>Li, Yingying; Zhou, Qin; Lian, Yongfu</t>
  </si>
  <si>
    <t>Zeolitic Imidazolate Framework-67-Derived NiCoMn-Layered Double Hydroxides Nanosheets Dispersedly Grown on the Conductive Networks of Single-Walled Carbon Nanotubes for High-Performance Hybrid Supercapacitors</t>
  </si>
  <si>
    <t>NANOMATERIALS</t>
  </si>
  <si>
    <t>A supercapacitor's energy storage capability is greatly dependent on electrode materials. Layered double hydroxides (LDHs) were extensively studied as battery-type electrodes because of their 2D structure and quick intercalation/deintercalation of electrolyte ions. However, the energy storage capability for pristine LDHs is limited by their large aggregation tendency and poor electrical conductivity. Herein, a novel NiCoMn-LDH/SWCNTs (single-walled carbon nanotubes) composite electrode material, with ultrathin NiCoMn-LDH nanosheets dispersedly grown among the highly conductive networks of SWCNTs, was prepared via a facile zeolitic imidazolate framework-67 (ZIF-67)-derived in situ etching and deposition procedure. The NiCoMn-LDH/SWCNTs electrode demonstrates a specific capacitance as large as 1704.3 F g-1 at 1 A g-1, which is ascribed to its exposure of more active sites than NiCoMn-LDH. Moreover, the assembled NiCoMn-LDH/SWCNTs//BGA (boron-doped graphene aerogel) hybrid supercapacitor exhibits a superior capacitance of 167.9 F g-1 at 1.0 A g-1, an excellent energy density of 45.7 Wh kg-1 with a power density of 700 W kg-1, and an outstanding cyclic stability with 82.3% incipient capacitance maintained when subjected to 5000 charge and discharge cycles at the current density of 10 A g-1, suggesting the significant potential of NiCoMn-LDH/SWCNTs as the electrode material applicable in supercapacitors.</t>
  </si>
  <si>
    <t>2079-4991</t>
  </si>
  <si>
    <t>MAR 23</t>
  </si>
  <si>
    <t>10.3390/nano15070481</t>
  </si>
  <si>
    <t>WOS:001463737500001</t>
  </si>
  <si>
    <t>de Souza, FM; Pham, P; Gupta, RK</t>
  </si>
  <si>
    <t>de Souza, Felipe M.; Pham, Phuong, V; Gupta, Ram K.</t>
  </si>
  <si>
    <t>Boron nanoengineering: Unveiling breakthroughs and challenges in next-generation lithium batteries</t>
  </si>
  <si>
    <t>Boron's electron deficiency results in diverse structural variations and complex electron behavior in its nanostructures. Since graphene's discovery, interest in boron-based nanoengineering has grown, with studies exploring its unique structural, electrical, and electrochemical properties, especially for batteries. However, boron nanostructures face significant challenges, particularly poor stability, which limits their application in energy storage. To overcome this, research focuses on improving boron's redox reaction kinetics, alkaline cation adsorption, and overall stability as an electrode material. Despite progress, major knowledge gaps remain, highlighting the need for further theoretical and experimental studies. Boron-based batteries offer both opportunities and challenges, requiring systematic investigation into the fabrication, properties, and applications of boron materials. This review covers the main aspects of B within the field of energy storage applications since the synthesis of B-based nanomaterials and its uses as electroactive materials in batteries such as Li-ion, Li-S as well as electrolytes. In addition, some of the latest studies are discussed as a means to elucidate the intricacies of B nanoengineering and the ways that it can benchmark the performance of different types of batteries. In this sense, some of the key strategies include B-doping in nanocarbons, surface functionalization, heterostructure interface engineering with borophene, and the development of 3D porous borophene architectures to enhance stability and electrochemical performance in Li-ion and Li-S batteries. Additionally, the review discusses challenges related to manufacturing, scalability, stability, characterization, and safety. Lastly, the authors emphasize borophene's potential to drive advancements in 2D materials and battery research, aiming to inspire innovative approaches for future development.</t>
  </si>
  <si>
    <t>Pham, Phuong V./0000-0001-7951-1329</t>
  </si>
  <si>
    <t>APR 10</t>
  </si>
  <si>
    <t>10.1016/j.jallcom.2025.179844</t>
  </si>
  <si>
    <t>WOS:001455289900001</t>
  </si>
  <si>
    <t>Cao, GQ; Li, XF; Li, MY; Yang, X; Duan, RX; Li, M; Jiang, QT; Li, J; Wang, JJ; Bai, MX; Yang, HJ; Xi, YK; Li, WB; Qian, HM; Luo, YY; Zhang, JJ</t>
  </si>
  <si>
    <t>Cao, Guiqiang; Li, Xifei; Li, Mengyang; Yang, Xuan; Duan, Ruixian; Li, Ming; Jiang, Qinting; Li, Jun; Wang, Jingjing; Bai, Mengxin; Yang, Huijuan; Xi, Yukun; Li, Wenbin; Qian, Huaming; Luo, Yangyang; Zhang, Jiujun</t>
  </si>
  <si>
    <t>Understanding the Electron State Effect of Iron Single-Atom for Enhancing Solid-Solid Conversion Kinetics of Sulfur Cathodes</t>
  </si>
  <si>
    <t>Optimizing the solid-solid conversion kinetics has been challenging in lithium-sulfur batteries (LSBs). In this study, a nitrogen and boron dual-coordinated Fe single-atom catalyst (Fe-N2B2/C) was exploited by inducing boron atoms into the coordination shell to disrupt the nitrogen-only coordinated configuration (Fe-N-4/C). The intervention of boron reduced the oxidation state of Fe atoms, which increased electron density of the Fe 3d orbital and narrowed band gap between the conduction and valence bands. Furthermore, the elevated d-band center of Fe in Fe-N2B2/C raised the antibonding orbital energy, providing sites for charge transfer and polysulfide adsorption. These electronic modulations endowed Fe-N2B2/C with prominent anchoring capacity and catalytic activity. Consequently, in the ether-based electrolyte, the S@Fe-N2B2/C sulfur cathode delivered an initial capacity of 786 mAh g(-1) at 4.0 C, maintaining an impressive capacity retention of 82.7% after 200 cycles and exhibiting a sluggish capacity decay of 0.08% after 500 cycles. Simultaneously, in the all-solid-state system based on halide electrolytes (HEs), the S@Fe-N2B2/C cathode achieved a remarkable discharge capacity (1066 mAh g(-1), 0.1 C), high average Coulombic efficiency (&gt;99%) and excellent cyclic stability (0.068%, 0.2 C). This study uncovers the origin of outstanding activity of Fe single-atom catalyst and provides a promising strategy for HEs-based all-solid-state system.</t>
  </si>
  <si>
    <t>Li, Wenbin/JGL-8044-2023; Yukun, Xi/ADG-7868-2022; Luo, Yangyang/LTE-0459-2024; Li, Xifei/CAA-2636-2022; Qian, Huaming/JOJ-6756-2023</t>
  </si>
  <si>
    <t>2025 MAR 21</t>
  </si>
  <si>
    <t>10.1002/adfm.202504228</t>
  </si>
  <si>
    <t>WOS:001449570500001</t>
  </si>
  <si>
    <t>Jung, S; Choi, YG; Choi, B; Heo, SE; Jun, TS; Park, K; Park, S; Ryu, D; Park, JH; Hong, J</t>
  </si>
  <si>
    <t>Jung, Sungwon; Choi, Young Gyun; Choi, Bumgyu; Heo, Sung-eun; Jun, Tae Suk; Park, Kyungtae; Park, Sohyeon; Ryu, Du Yeol; Park, Jong Hyeok; Hong, Jinkee</t>
  </si>
  <si>
    <t>Boron-Stabilized Anisotropic Water-in-Polymer Salt Electrolyte with an Exceptionally Low Salt Concentration by Hofmeister Effect for Aqueous Lithium-Ion Batteries</t>
  </si>
  <si>
    <t>Water-based electrolytes provide safe, reliable, and cost-effective energy storage solutions; however, their application in aqueous lithium-ion batteries is hindered by low energy density and short cycling life due to the limited electrochemical stability window. While high lithium salt concentrations can mitigate some of these issues, they often lead to increased solvent viscosity and higher costs, limiting commercialization. In this study, a boron-stabilized anisotropic polyvinyl alcohol (PVA) hydrogel electrolyte, referred to as BaP, is proposed to address the challenges related to high lithium salt (LiTFSI) concentrations. Due to the Hofmeister effect, the BaP water-in-polymer electrolyte can retain a high concentration of lithium salt even when low concentrations of lithium salt are used. Briefly, the BaP promotes the salting-in phenomenon of Li ions, while the TFSI ions induce salting-out, allowing BaP to synergistically achieve high lithium salt concentrations. Due to these unique characteristics, the BaP hydrogel exhibits a wide electrochemical stability window similar to that of highly concentrated electrolytes, enabling stable operation in a LiMn2O4||Li4Ti5O12 full cell by suppressing hydrogen evolution. Moreover, the biodegradability of BaP contributes to the development of a more environmentally friendly battery system.</t>
  </si>
  <si>
    <t>Hong, Jinkee/I-5784-2018</t>
  </si>
  <si>
    <t>Hong, Jinkee/0000-0003-3243-8536</t>
  </si>
  <si>
    <t>10.1002/smll.202502776</t>
  </si>
  <si>
    <t>WOS:001449597200001</t>
  </si>
  <si>
    <t>Liao, YL; Zhang, XP; Huang, ZY; Zhuang, XX; Gao, ML</t>
  </si>
  <si>
    <t>Liao, Yaling; Zhang, Xiaoping; Huang, Zhongyu; Zhuang, Xinxin; Gao, Menglin</t>
  </si>
  <si>
    <t>A Redox Mediator Containing Reversible Dynamic Boron-Oxygen Bonds to Construct an Adaptive SEI Layer for Advanced Li-O2 Batteries</t>
  </si>
  <si>
    <t>Lithium-oxygen (Li-O2) batteries have high theoretical energy density, but the discharge product Li2O2 of Li-O2 batteries is difficult to decompose, resulting in the undesirably high charging potential. The use of soluble redox mediators (RMs) can usually reduce the high charging potential of Li-O2 batteries, but the RM on the cathode side can diffuse to the Li metal anode and react with it, leading to continuous loss of the RM and causing damage to the fragile Li anode interface. So, it is necessary to develop a bifunctional redox mediator (BRM) that can simultaneously reduce the charging potential and protect the Li anode. Herein, we introduced 4-bromomethyl-phenylboronic acid (BPLA) as a BRM. The Br- ions can be dissociated from BPLA during cycling and serve as an effective component of RM, thereby significantly facilitating the reduction of charging potential of Li-O2 batteries. Meanwhile, the boronic acid groups in BPLA have the capability to engage in cross-linking reactions on the Li-metal surface, forming a flexible and continuous solid-electrolyte interphase (SEI) layer. More importantly, the SEI layer contains the reversible dynamic B-O covalent bond, which possesses a characteristic of continuous dissociation and rearrangement. Thereby the SEI layer possesses the shape adaptability, inhibits the growth of Li dendrites, and suppresses the reaction between RM and Li. Consequently, our BPLA, serving as the BRM, can enable Li-O2 batteries to achieve a stable cycle life of 180 cycles under the low charge potential up to 4.0 V.</t>
  </si>
  <si>
    <t>huang, zhongyu/GPS-8595-2022</t>
  </si>
  <si>
    <t>MAR 20</t>
  </si>
  <si>
    <t>10.1021/acsami.4c21918</t>
  </si>
  <si>
    <t>WOS:001448911300001</t>
  </si>
  <si>
    <t>Wang, HH; Wang, J; Niu, HZ; Cao, R; Shu, KW; Chen, CX; Yuan, W; Li, XS; Han, Y; Li, JH; Shang, XY</t>
  </si>
  <si>
    <t>Wang, Haihua; Wang, Jie; Niu, Huizhu; Cao, Rui; Shu, Kewei; Chen, Chaoxian; Yuan, Wei; Li, Xiaosong; Han, Yun; Li, Jiaheng; Shang, Xinyu</t>
  </si>
  <si>
    <t>Polydopamine Doped Hexagonal Boron Nitride Coating Separator With Excellent Heat Resistance and Wettability for High-Performance Lithium Metal Batteries</t>
  </si>
  <si>
    <t>JOURNAL OF APPLIED POLYMER SCIENCE</t>
  </si>
  <si>
    <t>The uneven porous structure of commercial polypropylene (PP) separators leads to non-uniform lithium deposition in lithium metal batteries. This non-uniform deposition promotes the growth of lithium dendrites, which can penetrate the separator, causing internal short circuits and posing significant safety risks. In this work, polydopamine (PDA), which is capable of undergoing self-polymerization, was introduced into h-BN. The two components formed a conjugated molecular structure through pi-pi interactions, providing enhanced mechanical strength and thermal stability. Subsequently, the PDA-h-BN composite (PB) was coated onto the surface of commercial PP separators to fabricate a novel composite separator (PP-PB). The modified PP-PB separator exhibits excellent thermal stability, electrolyte wettability, and mechanical strength, ensuring uniform heat distribution and acting as a robust barrier against lithium dendrite penetration. Furthermore, the Li/PP-PB/Li cell demonstrated stable cycling for over 1000 h at 1 mAcm-2 and 0.5 mAhcm-2. Similarly, the Li/PP-PB/Cu cell maintained a coulombic efficiency (CE) of 98.5% after 200 cycles at 0.5 mAcm-2. The PP-PB separator ensures uniform lithium deposition and effectively suppresses the formation of lithium dendrites. Additionally, the Li/PP-PB/LFP battery retained a capacity of 158.6 mAhg-1 with a capacity retention rate of 98.75% after 900 cycles at 1 C, demonstrating superior cycling stability and (CE) compared to the PP-based battery (120 mAhg-1, 85.7%). This study provides valuable insights for advancing the development of lithium metal batteries.</t>
  </si>
  <si>
    <t>0021-8995</t>
  </si>
  <si>
    <t>1097-4628</t>
  </si>
  <si>
    <t>10.1002/app.56996</t>
  </si>
  <si>
    <t>WOS:001448642100001</t>
  </si>
  <si>
    <t>Lee, J; Yoon, J; Jeon, M; Oh, SG</t>
  </si>
  <si>
    <t>Lee, Jaeseon; Yoon, Jinsoo; Jeon, Minyeong; Oh, Seong-Geun</t>
  </si>
  <si>
    <t>Aramid-based composite nanofiber separator coated with thermal conductive layer containing hexagonal boron nitride for stable lithium metal batteries from dendritic Li growth</t>
  </si>
  <si>
    <t>Aramid-based composite separators coated with surface-modified hexagonal boron nitride (h-BN) nanoparticles were developed to mitigate the dendritic lithium (Li) growth and HF generation from LiPF6 hydrolysis. After aramid-based separators composed of poly(m-phenylene isophthalamide) and poly(vinylidene fluoride-co-hexafluoro-propylene) nanofibers were prepared by electrospinning technique, the surface of nanofibers were coated with polydopamine-modified h-BN using silane coupling agent through electro-spray method. The separator enhanced mechanical stiffness, yielding a tensile strength of 24.9 N mm(-2), nearly twice that of a commercial PE separator (12.9 N mm(-2)), also exhibited minimal shrinkage (&lt;5 %) at high temperatures and superior electrolyte affinity (747 %) in carbonate-based electrolytes. The electrochemical analyses confirmed outstanding lithium metal compatibility of the aramid-based separator, achieving ionic conductivity of 2.79 mS cm(-1) and a Li+ transference number of 0.79. Furthermore, the symmetric Li-metal cells demonstrated stable cycling for 500 h at 1.5 mA cm(-2) and 2 mAh cm(-2) without voltage hysteresis. Long-term cycling of NCM/Li cells showed 88.9 % capacity retention after 300 cycles due to the enhanced heat distribution by h-BN and uniform Li+ migration via the interaction of the lithiophilic polydopamine with Li+ ion released by LiPF6. XPS analysis of the cycled NCM cathode from the cell with the aramid-based separator showed a lower LiF peak intensity compared to the PE separator, confirming the reduction of unnecessary consumption of lithium-ions.</t>
  </si>
  <si>
    <t>10.1016/j.cej.2025.161692</t>
  </si>
  <si>
    <t>WOS:001451633300001</t>
  </si>
  <si>
    <t>Xie, LJ; Wu, XY; Pan, Y; Lv, MZ; Liu, YX; Lian, R; Jiang, J; Chen, RY; Ding, R; Liu, JX</t>
  </si>
  <si>
    <t>Xie, Lijuan; Wu, Xiaoyun; Pan, Yan; Lv, Mingzhi; Liu, Yaoxing; Lian, Rui; Jiang, Jie; Chen, Riyao; Ding, Rui; Liu, Jianxi</t>
  </si>
  <si>
    <t>Boron recovery from wastewater using a self-powered bipolar membrane electrodialysis system</t>
  </si>
  <si>
    <t>SEPARATION AND PURIFICATION TECHNOLOGY</t>
  </si>
  <si>
    <t>The usage of boron resources results in the production and discharge of a large amount of boron-containing wastewater in the environment, causing irreversible effects on the human nervous and reproductive systems. In this study, a self-powered zinc-air battery (ZAB) bipolar membrane (BPM) electrodialysis (BMED) (ZABBMED) system was used to recover B(OH)4- in the form of zinc borate from wastewater. The OH- generated by the BPM under an electric field combined with H3BO3 in the wastewater compartment. The resulting B(OH)4migrated to the boron recovery compartment and was finally recovered as zinc borate. The zinc anode and charcoal felt cathode formed a ZAB system, which provided energy (an output power of 23.3 x 10-3 mW and an energy density of 8.60 x 10-3 W/m2) for the hydrolysis of the BPM and the migration of B(OH)4- . Furthermore, Zn2+ produced by the zinc anode migrated from the anode compartment to the boron recovery compartment and combined with B(OH)4- to form zinc borate, achieving closed-loop self-generation of electricity and resource recovery. Experimental results showed that electrolyte concentration, initial boron concentration and the selected anode and cathode materials affected the BPM hydrolysis, recovery ratio of B(OH)4- and output power. Under the conditions of an electrolyte (NaCl) concentration of 3.0 g/L, an initial boron concentration of 100 mg/ L, a zinc plate and charcoal felt as the anode and cathode, respectively, and a flow rate of 10 mL/min, 58.3 % of B (OH)4- was recovered. A higher recovery ratio of B(OH)4- (60.8 %) was obtained when two ZAB-BMEDs were used. The results of X-ray diffraction, Fourier transform infrared spectroscopy and thermogravimetric analyses showed that the obtained products were similar to commercial zinc borate. Thus, the ZAB-BMED system can be considered effective for recovering B(OH)4- in the form of zinc borate.</t>
  </si>
  <si>
    <t>Liu, Yaoxing/ABI-4622-2020; LIAN, RUI/HPH-7470-2023; Xie, Lijuan/F-7051-2010</t>
  </si>
  <si>
    <t>1383-5866</t>
  </si>
  <si>
    <t>1873-3794</t>
  </si>
  <si>
    <t>AUG 30</t>
  </si>
  <si>
    <t>10.1016/j.seppur.2025.132439</t>
  </si>
  <si>
    <t>WOS:001453126500001</t>
  </si>
  <si>
    <t>Yao, YJ; Wang, P; Zhao, YJ; Zhang, JW; Hu, L; Zhou, JF; Wang, YN; Dou, HZ; Luo, J; Li, SY; Zhao, DN</t>
  </si>
  <si>
    <t>Yao, Yijie; Wang, Peng; Zhao, Yanjun; Zhang, Junwei; Hu, Ling; Zhou, Junfei; Wang, Yinong; Dou, Hongzeng; Luo, Jing; Li, Shiyou; Zhao, Dongni</t>
  </si>
  <si>
    <t>Efficient Decomposition of Electrolyte Salt Reconstructing Helmholtz Plane for Long Life Sodium-Ion Batteries</t>
  </si>
  <si>
    <t>The properties of the solid electrolyte interphase (SEI) film determine the performance of batteries. This film is proven to be mainly formed by the solid products of the electrolyte salt in the inner Helmholtz plane. However, the SEI derived by the limited decomposition of salt has an imperceptible dissolution tendency and sluggish Na+ diffusion kinetics, resulting in the restriction of the further increase of battery cycle stability. This study employed the strategy of repeatedly charging and discharging within a certain voltage range to realize the efficient decomposition of NaBF4 and lead to producing more NaF to reconstruct the configuration of the Helmholtz plane. In addition, the dissolved NaF in electrolytes is further utilized to build a double electric layer with a high electric field at the electrode-electrolyte interface, facilitating the simultaneous reduction of NaBF4 and solvents. Consequently, a significant number of boron-containing compounds were produced, leading to the improved stability of the SEI film and enhanced battery cycling performance. By employing this approach, Na||HC half-cells showed a significant improvement in the capacity retention rate, increasing from 71.5 to 91.1% after 500 cycles at 1C. Additionally, the remaining capacity also improved from 256 to 270 mAh g-1. This method opens up an avenue for enhancing the stability of battery cycling without altering the composition of electrolytes.</t>
  </si>
  <si>
    <t>Wang, Peng/HPC-8249-2023; Zhao, Yanjun/AFL-8942-2022; Zhang, Junwei/LWJ-0434-2024</t>
  </si>
  <si>
    <t>Li, shiyou/0000-0001-7940-5235;</t>
  </si>
  <si>
    <t>MAR 13</t>
  </si>
  <si>
    <t>10.1021/acssuschemeng.4c08671</t>
  </si>
  <si>
    <t>WOS:001445733400001</t>
  </si>
  <si>
    <t>Zhou, HY; Hou, WH; Zhu, D; Zhou, P; Peng, XW; Liu, Z; Yan, SS; Lu, Y; Ou, Y; Liu, FX; Xia, YC; Liu, H; Cao, QB; Song, X; Guo, DC; Xu, H; Liu, K</t>
  </si>
  <si>
    <t>Zhou, Haiyu; Hou, Wenhui; Zhu, Da; Zhou, Pan; Peng, Xuwen; Liu, Zhi; Yan, Shuaishuai; Lu, Yang; Ou, Yu; Liu, Fengxiang; Xia, Yingchun; Liu, Hao; Cao, Qingbin; Song, Xuan; Guo, Decai; Xu, Hong; Liu, Kai</t>
  </si>
  <si>
    <t>Controlled Anodic Decomposition Pathway of Supramolecular Lithium Borate for Rationally Tuned Interphase Chemistry</t>
  </si>
  <si>
    <t>The rational tailoring and molecular-level engineering of stable cathode-electrolyte interphases (CEIs) is paramount to advancing the performance of next-generation high-energy, layered nickel-rich oxide-based lithium metal batteries. However, developing well-tailored electrolyte additives with rationally controlled interfacial chemistry remains highly challenging. Here, two lithium borates: lithium (2-methoxy-15-crown-5)trifluoroborate (C-LiMCFB) and lithium (15-methoxy-2,5,8,11,14-pentaoxahexadecan)trifluoroborate (L-LiMCFB), incorporating cyclic 15-crown-5 (15C5) and linear pentaethylene glycol monomethyl ether (PEGME) as respective host groups tethered to the boron center are designed and synthesized. In C-LiMCFB, the supramolecular polydentate chelation/de-chelation of the 15C5 with Li+ can sequentially deactivate/activate the anodic decomposition of the C &amp; horbar;O bonds, therefore leading to the controlled cleavage pathway of B &amp; horbar;O and C &amp; horbar;O bonds. The controlled interfacial chemistry leads to the formation of a uniform CEI layer, rich in lithium boron-oxygen clusters interwoven with LiF, on the NCM811 surface. This novel CEI configuration demonstrates an exceptional balance of mechanical robustness, adhesiveness, and toughness, providing highly desirable protection for the NCM811 cathode. The discovery of these novel supramolecular boron-based lithium salts not only unlocks supramolecular chemistry for rational electrolyte tuning but also provides a deeper understanding of the CEI formation mechanism in high-energy lithium metal batteries.</t>
  </si>
  <si>
    <t>刘, 昊/KHE-3999-2024; Xu, Hong/I-1475-2015; xia, yingchun/LKL-5476-2024; peng, xuwen/LLL-2317-2024; liu, fengxiang/GON-6884-2022; yan, shuaishuai/MBI-1280-2025</t>
  </si>
  <si>
    <t>10.1002/anie.202500425</t>
  </si>
  <si>
    <t>WOS:001441192300001</t>
  </si>
  <si>
    <t>Liang, Y; Yang, LL; Zhang, JL; Zhong, M; Lei, PY; Zhao, Q; Wang, L; Shen, WZ; Guo, SW</t>
  </si>
  <si>
    <t>Liang, Yi; Yang, Lili; Zhang, Jiali; Zhong, Min; Lei, Puyi; Zhao, Qian; Wang, Lei; Shen, Wenzhuo; Guo, Shouwu</t>
  </si>
  <si>
    <t>Boron-Doped Graphene as Anion-Trapping Reagent in Poly(ethylene oxide)-Based Solid-State Electrolyte</t>
  </si>
  <si>
    <t>Although many protocols have been developed to enhance the ionic conductivity and lithium-ion transference numbers of the solid polymer electrolyte, it is still challenging to improve them simultaneously. Herein, we design and prepare boron-doped graphene (BG) as an anion trapper and blend it within a poly(ethylene oxide) (PEO)-based electrolyte. The well-dispersed BG sheets can reduce the crystallinity of PEO and afford numerous Lewis acid sites to effectively accelerate the dissociation of the lithium salt and trap the anions. Thus, the PEO-based electrolytes containing BG sheets exhibit a high ionic conductivity of 9.27 x 10-5 S cm-1 and lithium-ion transference number of 0.57 at 25 degrees C, which ensure the stable Li stripping/plating over 1000 h. The all-solid-state lithium-ion batteries assembled with the as-prepared electrolyte show excellent rate performance and cycling stability at 25 degrees C.</t>
  </si>
  <si>
    <t>Wang, Lei/GYV-0494-2022; Zhong, Min/J-1397-2012</t>
  </si>
  <si>
    <t>MAR 10</t>
  </si>
  <si>
    <t>10.1021/acsami.4c18304</t>
  </si>
  <si>
    <t>WOS:001441172500001</t>
  </si>
  <si>
    <t>Li, WH; Li, MS; Ren, HQ; Kim, JT; Li, RY; Sham, TK; Sun, XL</t>
  </si>
  <si>
    <t>Li, Weihan; Li, Minsi; Ren, Haoqi; Kim, Jung Tae; Li, Ruying; Sham, Tsun-Kong; Sun, Xueliang</t>
  </si>
  <si>
    <t>Nitride solid-state electrolytes for all-solid-state lithium metal batteries</t>
  </si>
  <si>
    <t>ENERGY &amp; ENVIRONMENTAL SCIENCE</t>
  </si>
  <si>
    <t>Nitride solid-state electrolytes (SSEs) hold significant potential for addressing critical interfacial issues between SSEs and lithium metal in all-solid-state lithium metal batteries. These batteries are at the forefront of energy storage and materials science, and they promise to revolutionize electric vehicles. This review provides a concise historical overview of nitride SSEs, followed by a summary of recent key advances in their materials, crystal and local structures, and synthesis methods, with an emphasis on the fundamental understanding of lithium-ion diffusion mechanisms. Additionally, recent progress in enhancing the stability of nitride SSEs and their role in enabling all-solid-state lithium metal batteries is discussed in detail. Pathways for the development of practical all-solid-state lithium metal pouch cells with high energy density are explored. Based on these insights, we offer perspectives on the future opportunities and directions for the advancement of nitride SSEs in all-solid-state lithium metal batteries.</t>
  </si>
  <si>
    <t>Sun, Xueliang/C-7257-2012; Li, Weihan/D-7815-2016</t>
  </si>
  <si>
    <t>Sun, Xueliang/0000-0003-0374-1245; Li, Weihan/0000-0002-5768-9641;</t>
  </si>
  <si>
    <t>1754-5692</t>
  </si>
  <si>
    <t>1754-5706</t>
  </si>
  <si>
    <t>MAY 20</t>
  </si>
  <si>
    <t>10.1039/d4ee04927f</t>
  </si>
  <si>
    <t>WOS:001442214300001</t>
  </si>
  <si>
    <t>Zhang, TW; Yang, Q; Wu, ZG; Chen, T; Wan, F; Qiu, L; Zhong, BH; Chen, YX; Guo, XD</t>
  </si>
  <si>
    <t>Zhang, Tongwei; Yang, Qian; Wu, Zhenguo; Chen, Ting; Wan, Fang; Qiu, Lang; Zhong, Benhe; Chen, Yanxiao; Guo, Xiaodong</t>
  </si>
  <si>
    <t>Tuning PEGDA/ETPTA ratios for high-performance gel electrolytes: Enhanced electrochemical stability and ultra-long cycling in lithium metal batteries</t>
  </si>
  <si>
    <t>Gel polymer electrolytes (GPEs) are of great interest for their ability to provide good interfacial contact and high ionic conductivity. However, the lower electrochemical stabilization window (ESW) and poor long-cycle performance of gel electrolytes are the main barriers to their commercial application. In this paper, GPEs with a wide ESW and high long-cycle performance were obtained by thermal in-situ polymerization of Poly(ethylene glycol) diacrylate (PEGDA) monomer and Ethoxylated trimethylolpropane triacrylate (ETPTA) cross-linker inside the cell. Raman, NMR and DFT theoretical calculations were performed to determine the contribution of the dimer formed by PEGDA and ETPTA under thermal initiation to the ESW, as well as the binding energy for lithium ions. The optimal gel electrolyte PE31 exhibited a molecular weight of 249,8 kDa, Li+ migration number of 0.564 and a wide ESW up to 5.18 V. The GPE cell had a high discharge specific capacity of 138.72 mAh g 1 at 2C and a capacity retention of 84.27 % after 550 cycles at 2C. This work explains the respective roles of PEGDA and ETPTA for lithium-ion transfer after polymerization and provides a long-cyclable gel electrolyte system with high ESW and high discharge specific capacity.</t>
  </si>
  <si>
    <t>wu, zhenguo/KZV-0824-2024</t>
  </si>
  <si>
    <t>Guo, Xiaodong/0000-0003-2180-1985</t>
  </si>
  <si>
    <t>APR 1</t>
  </si>
  <si>
    <t>10.1016/j.cej.2025.160818</t>
  </si>
  <si>
    <t>WOS:001442873400001</t>
  </si>
  <si>
    <t>He, TY; Ding, YY; Zhang, H; Liu, CG; Lou, XF; Zhu, SQ; Yang, XJ; Yang, L; Bai, HC</t>
  </si>
  <si>
    <t>He, Tongyu; Ding, Yunyun; Zhang, Hui; Liu, Chenguang; Lou, Xiaofei; Zhu, Siqi; Yang, Xiaojiao; Yang, Li; Bai, Hongcun</t>
  </si>
  <si>
    <t>Self-Healing SA@Borax Binder for In Situ Tuning of the Solid Electrolyte Interfaces for Silicon Anodes</t>
  </si>
  <si>
    <t>Silicon is a promising anode material for next-generation lithium-ion batteries due to its high specific capacity of 4200 mAh g-1, environmental friendliness, and wide availability. However, its significant volume expansion during lithiation/delithiation cycles leads to issues such as material crushing, electrical isolation, delamination, and unstable solid electrolyte interface (SEI) film formation, ultimately degrading the electrochemical performance and reducing the cycle life. This study focuses on developing a sodium alginate and borax composite (SA@Borax) binder for silicon-based anodes. Sodium alginate (SA) provides deformability and self-healing properties through chain sliding and hydrogen bond recombination, while the incorporation of boron-oxygen bonds forms a robust three-dimensional network. This network enhances mechanical stability, accommodates the volume changes of silicon nanoparticles, and maintains electrode integrity during cycling. Furthermore, the SA@Borax binder efficiently regulates the SEI film composition, promoting beneficial components that stabilize the SEI film and improve the lithium-ion diffusion rates. Electrochemical tests demonstrate that the Si anode with SA@Borax binder maintains a discharge specific capacity of 1655.80 mAh g-1 after 500 cycles at a current density of 0.5 A g-1, showcasing excellent long-term cycle stability. This research presents a viable strategy for developing high-performance binders for the next generation of lithium-ion batteries.</t>
  </si>
  <si>
    <t>MAR 3</t>
  </si>
  <si>
    <t>10.1021/acssuschemeng.4c10154</t>
  </si>
  <si>
    <t>WOS:001436069800001</t>
  </si>
  <si>
    <t>Liu, ZH; Patra, A; Matsumi, N</t>
  </si>
  <si>
    <t>Liu, Zhaohan; Patra, Amarshi; Matsumi, Noriyoshi</t>
  </si>
  <si>
    <t>Boron-Containing Ternary Electrolyte for Excellent Li-Ion Transference and Stabilization of LiNMC-Based Cells</t>
  </si>
  <si>
    <t>In traditional carbonate electrolytes, lithium mobility is limited owing to the strong solvation effect between lithium ions and solvent sheaths. As a result, the lithium-ion transference number (tLi+ ) is lower than 0.5 (mostly between 0.2 and 0.4), which indicates that anion transference is dominant in electrolyte's charge conduction. In order to enhance lithium mobility in electrolytes, a low-polarity organic boron compound, mesityldimethoxyborane (MDMB), was added to conventional carbonate electrolytes to increase lithium-ion mobility. Two electrolyte systems with different MDMB ratios exhibited high tLi+ as 0.93 for 111 (EC:DEC:MDMB = 1:1:1, volume ratio) and 0.86 for 112 (EC:DEC:MDMB = 1:1:2). Moreover, the stability of LiNMC cathodic half-cell was also improved by using 111 and 112 which form robust B-rich CEI. The activation energy for lithiation and resistance of CEI were decreased by MDMB. The durability of LiNMC cathodic half-cell was enhanced substantially under 1C CCCV mode. Cells with 111 and 112 electrolyte systems underwent more than twice as many cycles as conventional electrolytes.</t>
  </si>
  <si>
    <t>; Patra, Amarshi/JAN-9190-2023</t>
  </si>
  <si>
    <t>Patra, Amarshi/0009-0001-7698-8962;</t>
  </si>
  <si>
    <t>10.1021/acsaem.4c02806</t>
  </si>
  <si>
    <t>WOS:001436082400001</t>
  </si>
  <si>
    <t>Wang, YX; Zhou, H; Wei, SQ; Liu, HJ; Chen, SM; Chen, X; Zhu, KF; Zhang, XS; Si, Y; Wu, XJ; Long, R; Li, LB; Song, L</t>
  </si>
  <si>
    <t>Wang, Yixiu; Zhou, Heng; Wei, Shiqiang; Liu, Hengjie; Chen, Shuangming; Chen, Xin; Zhu, Kefu; Zhang, Xunshuang; Si, Yang; Wu, Xiaojun; Long, Ran; Li, Liangbin; Song, Li</t>
  </si>
  <si>
    <t>Dissecting ionic favorable hydrogen bond chemistry in hybrid separators for aqueous zinc-ion batteries</t>
  </si>
  <si>
    <t>CHEMICAL SCIENCE</t>
  </si>
  <si>
    <t>Separators, regulating the ion transport channels between electrodes, are crucial for maintaining the properties of electrochemical batteries. However, sluggish ion transport and desolvation kinetics in aqueous zinc-ion batteries (AZIBs) cause uneven ion flux at the separator-electrode interface, accelerating Zn dendrite growth. Herein, we systematically dissect ionic favorable hydrogen bond chemistry in a hybrid separator engineered through rational boron nitride (BN) doping into polyacrylonitrile (PAN) separators. Notably, in situ Fourier transform infrared spectroscopy (FTIR) analyses reveal that the hydrogen bond network in a BN-PAN separator improved the desolvation of Zn2+ by immobilizing water molecules through hydrogen bond interactions, thus effectively increasing the transference number of zinc ions. Capitalizing on the ionic favorable properties, uniform electric field distribution and zinc plating/stripping behavior are achieved at the separator-electrode interface, efficiently suppressing the formation of zinc dendrites and by-products. As a result, the BN-PAN separator demonstrates extended cycling stability, exceeding 1100 h at a current density of 1.0 mA cm-2 and 700 h at a current density of 5.0 mA cm-2, while exhibiting enhanced rate capability and stability in full cells. This work offers valuable insights into leveraging hydrogen bond chemistry for the design of fast ion-transport separators in aqueous batteries.</t>
  </si>
  <si>
    <t>Li, Liangbin/N-5551-2016; Song, Li/B-1950-2010; Liu, Hengjie/ABE-5466-2020; wei, shiqiang/GYJ-4213-2022; Chen, Shuangming/AAH-6592-2021; , 龙冉/CAA-2642-2022</t>
  </si>
  <si>
    <t>2041-6520</t>
  </si>
  <si>
    <t>2041-6539</t>
  </si>
  <si>
    <t>APR 2</t>
  </si>
  <si>
    <t>10.1039/d4sc08624d</t>
  </si>
  <si>
    <t>WOS:001440434900001</t>
  </si>
  <si>
    <t>Ren, YF; Chen, SL; Odziomek, M; Guo, JH; Xu, PW; Xie, HJ; Tian, ZH; Antonietti, M; Liu, TX</t>
  </si>
  <si>
    <t>Ren, Yufeng; Chen, Suli; Odziomek, Mateusz; Guo, Junhong; Xu, Pengwu; Xie, Haijiao; Tian, Zhihong; Antonietti, Markus; Liu, Tianxi</t>
  </si>
  <si>
    <t>Mixing Functionality in Polymer Electrolytes: A New Horizon for Achieving High-Performance All-Solid-State Lithium Metal Batteries</t>
  </si>
  <si>
    <t>Solid polymer electrolytes (SPEs) are a key materials component for all-solid-state lithium metal batteries (ASSLMBs). In these membrane-like films, accelerating Li+ migration while enhancing the mechanical strength of SPEs is challenging. Herein, we introduce a new concept of supramolecularly organized, cross-linked polymer electrolyte (PCPE) by mixing an ion-conducting, multi-arm boron-containing oligomer (MBO) solid plasticizer into a polyethylene oxide (PEO)-lithium salt matrix. Studies reveal that the Lewis acid-base interaction between the Lewis-acidic boron sites of MBO and lithium-salt anions induces an amorphous MBO-salt assembly subphase with percolating nanochannels for rapid Li+ transport. Meanwhile, due to the structural compatibility of the multiple linear arms of MBO with PEO, a supramolecular polymer network is obtained which partly crystallizes around the ionic nanodomains, offering an PCPE with improved mechanical strength hosting interconnected ion transport pathways. The resulting PCPE shows simultaneously enhanced ionic conductivity, improved mechanical properties, and film interface stability, which enable a dendrite-free Li/Li symmetric cell which could be cycled over 2600 h. Excellent electrochemical performance is also demonstrated in a close-to-practical high capacity ASSLMBs.</t>
  </si>
  <si>
    <t>; ren, yufeng/HGA-6597-2022; Antonietti, Markus/ADA-0497-2022; Xu, Pengwu/AGX-8546-2022; Odziomek, Mateusz/AAF-1810-2020; Guo, Junhong/O-6316-2017</t>
  </si>
  <si>
    <t>Odziomek, Mateusz/0000-0002-2734-1839; Antonietti, Markus/0000-0002-8395-7558;</t>
  </si>
  <si>
    <t>APR 25</t>
  </si>
  <si>
    <t>10.1002/anie.202422169</t>
  </si>
  <si>
    <t>FEB 2025</t>
  </si>
  <si>
    <t>WOS:001433805600001</t>
  </si>
  <si>
    <t>Wang, ZY; Ma, Q; Wu, ZW; Zhou, J; Zhang, Q; Zhang, Q; Lv, P; Yu, KH; Wei, W</t>
  </si>
  <si>
    <t>Wang, Zhongyue; Ma, Qi; Wu, Zhiwen; Zhou, Jie; Zhang, Qing; Zhang, Qi; Lv, Peng; Yu, Kehan; Wei, Wei</t>
  </si>
  <si>
    <t>Thermal and ionic conductivity improvement of LAGP glass ceramic and fiber thermal drawing</t>
  </si>
  <si>
    <t>Composite solid electrolytes (CSEs) are attractive candidates for all-solid-state lithium-ion batteries (ASSLIBs), and incorporating active ceramic fibers within polymer matrix represents an ideal structure for maximizing ionic conductivity. LAGP glass exhibits the best thermal stability among the limited lithium-ion conductors that can exist in glassy state, but it is insufficient for thermal drawing into fibers directly. By systematically studying the thermal properties, ionic conductivity and microstructure of LAGP modified by single component (Y2O3/B2O3/ SiO2) and multicomponent (Re2O3-B2O3) (Re, Rare earth), Re2O3-B2O3 co-modified LAGP shows the most competitive thermal stability and ionic conductivity. Among them, LAGP-0.06Y2O3-0.05B2O3 glass reveals excellent thermal stability (Delta T = 145 degrees C), and a dense ceramic electrolyte with an ionic conductivity of 3.11 x 10-4 S cm-1 and low active energy (Ea) of 0.38 eV can be achieved. LAGP-0.06Y2O3-0.05B2O3 glass fibers are thermally drawn for the first time, and a modified LAGP ceramic fiber with high ionic conductivity up to 3.87 x 10-4 S cm- 1 is obtained. The short preparation period, high efficiency and large-scale manufacturability, controllable size and high ionic conductivity make LAGP-0.06Y2O3-0.05B2O3 ceramic fibers highly competitive for use in high-performance CSEs containing active ceramic fibers.</t>
  </si>
  <si>
    <t>wu, zhiwen/LMP-4281-2024; Zhang, Qi/IWE-2901-2023</t>
  </si>
  <si>
    <t>MAR</t>
  </si>
  <si>
    <t>10.1016/j.ceramint.2024.12.292</t>
  </si>
  <si>
    <t>WOS:001436940200001</t>
  </si>
  <si>
    <t>Ma, C; Kojitsu, M; Fujimoto, H; Tsuzuki, S; Liu, XZ; Watanabe, M; Ueno, K</t>
  </si>
  <si>
    <t>Ma, Chao; Kojitsu, Mari; Fujimoto, Hikaru; Tsuzuki, Seiji; Liu, Xizheng; Watanabe, Masayoshi; Ueno, Kazuhide</t>
  </si>
  <si>
    <t>Sulfolane-Based Gel Polymer Electrolytes Enhanced by 2D Boron Nitride Nanosheets for Optimized Ion Dynamics and Stability in Lithium Metal Batteries</t>
  </si>
  <si>
    <t>ACS APPLIED POLYMER MATERIALS</t>
  </si>
  <si>
    <t>Lithium metal batteries (LMBs) offer tremendous potential due to their high energy density, but practical applications are limited by challenges such as dendrite formation, safety risks, and interfacial instability. This study introduces a composite gel polymer electrolyte (GPE) that systematically integrates sulfolane-based highly concentrated electrolytes (HCEs) with two-dimensional hexagonal boron nitride nanosheets (BNNs). Through advanced experimental characterizations, electrochemical measurements, and theoretical calculations, the composite GPE is shown to achieve enhanced mechanical strength, thermal stability, and superior Li ion transport properties. The incorporation of BNNs not only reinforces the electrolyte matrix but also facilitates selective Li ion transport via strong interactions between Li ions and the filler, as validated by theoretical studies. The optimized composite GPE demonstrates outstanding electrochemical performance, achieving a high ionic conductivity of 0.7 x 10-3 S cm-1 at 30 degrees C and stable cycling for over 1000 h in Li/Li symmetric cells and more than 300 cycles in Li/LiFePO4 cells, along with excellent rate capabilities. This work provides a comprehensive strategy for addressing the critical limitations of LMBs and establishes a robust framework for developing next-generation high-performance solid-state battery systems.</t>
  </si>
  <si>
    <t>Ueno, Kazuhide/K-7200-2012; Watanabe, Masayoshi/M-4816-2014</t>
  </si>
  <si>
    <t>Watanabe, Masayoshi/0000-0003-4092-6150</t>
  </si>
  <si>
    <t>2637-6105</t>
  </si>
  <si>
    <t>FEB 25</t>
  </si>
  <si>
    <t>10.1021/acsapm.4c04140</t>
  </si>
  <si>
    <t>WOS:001432755300001</t>
  </si>
  <si>
    <t>Wang, T; Tong, YF; Li, QB; Xu, TH; Jin, WS; Zhou, D; Zhang, ZX</t>
  </si>
  <si>
    <t>Wang, Ting; Tong, Yongfen; Li, Qiu Bing; Xu, Tianhao; Jin, Weishen; Zhou, Dan; Zhang, Zhixia</t>
  </si>
  <si>
    <t>Self-Healing Polymer Electrolyte Based on Boronic Ester Bonds with Hydroxyl Groups Synergistically for Lithium-Metal Batteries</t>
  </si>
  <si>
    <t>Dynamic covalent boronic ester polymer networks have received extensive attention as self-healing materials, and they can be applied in all-solid polymer electrolytes. Herein, some classes of solid-state polymer electrolytes with self-healing ability were developed by incorporating dynamic boronic ester structure into a comb-like polyethylene glycol polymer network. Due to the dynamic transesterification reactions of boronic ester bonds, the borate ester-containing cross-linked polymer electrolyte with free hydroxyl (3OHPBASPE-2) exhibits the ability to dynamically alter its network topology, giving 3OHPBASPE-2 an excellent self-healing property and enhanced ductility. Benefit from the comb-like polyethylene glycol segments within the polymer network, along with the robust interactions between boron element and TFSI-, the 3OHPBASPE-2 displays delightful ionic conductivity of 3.06 x 10-4 S cm-2 at 65 degrees C and outstanding lithium-ion transference number of 0.65 at room temperature. Simultaneously, the samples recovered their original ionic conductivity after self-healing. Owing to the generation of a robust LiF-rich solid electrolyte interphase, the 3OHPBASPE-2 can also suppress lithium dendrite growth effectively. The LFP|3OHPBASPE-2|Li cell demonstrates an outstanding initial discharge capacity of 163.5 mA hg-1, remarkable cycling stability, and a high Coulombic efficiency of 94.5% at a current rate of 0.1 C. Significantly, the 3OHPBASPE-2 polymer electrolyte can repair the damage within the LFP|3OHPBASPE-2|Li pouch cell, enabling the illumination of light-emitting diodes even under the harsh conditions. This capability notably bolsters the reliability and safety of batteries, thereby broadening the potential applications of solid-state electrolytes in the realm of emerging flexible energy storage devices.</t>
  </si>
  <si>
    <t>Zhou, Dan/AAG-4315-2020; Zhou, Dan/S-8132-2017</t>
  </si>
  <si>
    <t>Zhou, Dan/0000-0001-8941-4223</t>
  </si>
  <si>
    <t>10.1021/acsapm.4c03562</t>
  </si>
  <si>
    <t>WOS:001432756300001</t>
  </si>
  <si>
    <t>Ganesan, VS; Nagarajan, S; Arava, LMR</t>
  </si>
  <si>
    <t>Ganesan, Veka Sri; Nagarajan, Sudhan; Arava, Leela Mohana Reddy</t>
  </si>
  <si>
    <t>A Boron-Based Anion-Receptor Additive for High-Loading Lithium-Sulfur Batteries under Lean Electrolyte Conditions</t>
  </si>
  <si>
    <t>Although Li-S batteries offer significant promise as replacements for conventional lithium-ion batteries in terms of sustainability and performance, their practical implementation remains challenging. Designing cathodes with high sulfur loading (&gt;= 5 mg/cm2) under lean electrolyte conditions (E/S &lt;= 5 mu L/mg) presents specific obstacles, including sluggish reaction kinetics, poor sulfur utilization, and increased interfacial resistance, often driven by the saturation of lithium polysulfide species in the electrolyte. To overcome these issues, the development of solvents and additives that can enhance sulfur utilization/dissolution while mitigating the polysulfide shuttle effect has become crucial. To address this, we introduce a boron-based anion receptor, tris(trimethyl)silyl borate (TMSB), as an electrolyte additive for Li-S batteries to improve the dissolution of polysulfide species in the electrolyte. Due to its Lewis-acid ability, TMSB was found to dissolve more anionic polysulfide species (Lewis bases) in DOL/DME-based electrolytes. Surface analysis of cycled cathodes revealed that TMSB also aids in scavenging decomposition products at the cathode surface by coordinating with anions, including sulfates and thiosulfates. At high-loading (5 mg/cm2) and lean electrolyte (E/S = 8 mu L/mg) conditions, results show that 5 wt % TMSB in the electrolyte reduced the overpotential by 850 mV. Further, the addition of TMSB also enabled stable cycling at a 0.2C rate for 100 cycles compared to the intermittent cycling in the blank electrolyte. Hence, this study shows that TMSB as an electrolyte additive helps in improving sulfur utilization and reducing interfacial resistance for high-loading lithium-sulfur batteries under lean electrolyte conditions.</t>
  </si>
  <si>
    <t>NAGARAJAN, SUDHAN/R-2911-2016</t>
  </si>
  <si>
    <t>FEB 24</t>
  </si>
  <si>
    <t>10.1021/acsaem.4c02856</t>
  </si>
  <si>
    <t>WOS:001432720000001</t>
  </si>
  <si>
    <t>Zhu, TK; Wang, G; Hou, JY; Sun, W; Song, CS; Yuan, QY; Zhang, C; Lei, XY; Su, Y; Chen, M; Song, Y; Zhao, J</t>
  </si>
  <si>
    <t>Zhu, Tianke; Wang, Gang; Hou, Junyu; Sun, Wu; Song, Changsheng; Yuan, Qunyao; Zhang, Ce; Lei, Xingyu; Su, Yang; Chen, Min; Song, Yun; Zhao, Jie</t>
  </si>
  <si>
    <t>Heterogeneous Engineered Solid Electrolyte for Seamless and Stable Integration of Anode and Cathode</t>
  </si>
  <si>
    <t>Solid-state lithium metal batteries (LMBs) with high safety and energy density are the ultimate goal for energy storage systems. The bottleneck lies in the solid electrolytes, which must maintain perfect solid-solid contact and be electrochemically stable for both Li anode and high-voltage cathode. Here, we develop an in situ polymerized hetero-layered electrolyte that simultaneously broadens the electrochemical window and addresses interfacial issues between multiple components. The polyvinylidene fluoride (PVDF) layer toward the cathode improves high voltage compatibility to 4.8 V, while the boron nitride (BN) layer toward the anode provides sufficient mechanical strength, regulates Li-ions transport and promotes the formation of an inorganic-rich solid electrolyte interphase (SEI). The effect of the hetero-layered structure is then verified in an easy-to-process in situ polymerized poly(1,3-dioxane) (PDOL) electrolyte, that seamlessly integrates multiple interfaces, bridging cathode, PVDF, BN, and Li metal. This solid electrolyte is characterized by high room temperature (RT) ionic conductivity (2.1 x 10-3 S cm-1), and high Li-ions transference number (0.801). Most importantly, the Li|LiNi0.6Co0.2Mn0.2O2(NCM622) full batteries show remarkable cycling performance with capacity retention of 90.3% over 200 cycles at 0.5 C. The hetero-layered structure with a seamless in situ polymerized interface provides a new avenue for high-energy, solid-state LMBs.</t>
  </si>
  <si>
    <t>Zhao, Jie/ADY-0746-2022; Zhao（赵）, Jie（婕）/ADY-0746-2022; SUN, WU/JFA-5761-2023</t>
  </si>
  <si>
    <t>Zhao, Jie/0000-0003-4543-3494;</t>
  </si>
  <si>
    <t>10.1002/adfm.202501870</t>
  </si>
  <si>
    <t>WOS:001421827200001</t>
  </si>
  <si>
    <t>Kristensen, LR; Herrmann, GJ; Skibsted, J; Jensen, TR</t>
  </si>
  <si>
    <t>Kristensen, Lasse R.; Herrmann, Gerrit J.; Skibsted, Jorgen; Jensen, Torben R.</t>
  </si>
  <si>
    <t>Effect of Mechanical Pressure on the Ionic Conductivity of Sodium Dodecahydrido-closo-dodecaborate</t>
  </si>
  <si>
    <t>ACS MATERIALS LETTERS</t>
  </si>
  <si>
    <t>To optimize the performance of solid-state batteries, careful control of the material properties is essential. Solid-state batteries require significant mechanical pressure during assembly and cycling to ensure intimate contact and stability of the electrochemical cell. Here we show that mechanical pressure can induce a polymorphic transition (P21/c -&gt; Pbca) of sodium dodecahydrido-closo-dodecaborate, Na2B12H12, which increases both the boron dynamics and the ionic conductivity. Heating mechanically pressed samples above 65 degrees C results in full conversion back to the initial polymorph (P21/c), along with a reduction of one order of magnitude in ionic conductivity, which is consistent with the as-synthesized Na2B12H12. This work emphasizes the important role that postsynthesis treatment can have on the ionic conductivity, the activation energy, and the texture of solid electrolytes.</t>
  </si>
  <si>
    <t>Skibsted, Jorgen/0000-0003-1534-4466; Jensen, Torben Rene/0000-0002-4278-3221; Kristensen, Lasse/0000-0001-9492-4690</t>
  </si>
  <si>
    <t>2639-4979</t>
  </si>
  <si>
    <t>FEB 14</t>
  </si>
  <si>
    <t>10.1021/acsmaterialslett.4c02153</t>
  </si>
  <si>
    <t>WOS:001422584700001</t>
  </si>
  <si>
    <t>Weng, GW; Cen, ML; Shao, JJ; Sauer, H; Yu, SY; Xu, SY; Bai, S; Xu, J</t>
  </si>
  <si>
    <t>Weng, Guangwei; Cen, Meiling; Shao, Jiao-jing; Sauer, Hartmut; Yu, Siyu; Xu, Shunyi; Bai, Song; Xu, Jing</t>
  </si>
  <si>
    <t>3D hierarchical porous network-like nickel phosphides@boron-doped diamond composite pseudocapacitors for ultrahigh energy densities</t>
  </si>
  <si>
    <t>DIAMOND AND RELATED MATERIALS</t>
  </si>
  <si>
    <t>The low energy densities and poor structural integrity of current mainstream conductive diamond based supercapacitors (SCs) are still key factors limiting their practical applications. This study explores a novel strategy to enhance the diamond based SCs: incorporating redox-active species on the electrodes or/and in the electrolyte. Herein, 3D network-like biphasic Ni5P2/Ni3P layers were in-situ synthesized on boron-doped diamond (BDD) through a facile electroless plating technology. Without any external electrics, the prepared composites possess uniformly network-like nodular nickel phosphides framework, offering high specific surface area and good conductivity. When combined with a redox species contained electrolyte (e.g., 1 M KOH+ 0.05 M Fe (CN)63- /4-), such hierarchical composite electrode delivers a desired specific capacitance of 336.5 mF cm- 2 and exhibits excellent cycling stability (retaining 89.5 % after 10,000 cycles). The constructed symmetric SCs with optimized Ni5P2/Ni3P@BDD as electrode provide an ultrahigh energy density of 52.08 W h kg- 1 coupled with a power density of 7.5 kW kg- 1. This study thus introduces a novel approach to develop high-performance BDD based SCs, in particularly those with high energy densities that can even comparable to batteries.</t>
  </si>
  <si>
    <t>Cen, Meiling/LMP-2750-2024; shao, jiaojing/D-2740-2018</t>
  </si>
  <si>
    <t>0925-9635</t>
  </si>
  <si>
    <t>1879-0062</t>
  </si>
  <si>
    <t>10.1016/j.diamond.2025.112093</t>
  </si>
  <si>
    <t>WOS:001427777200001</t>
  </si>
  <si>
    <t>Hong, JM; Kim, JH; Sun, J; Park, DH; Jang, JS; Lee, GI; Lim, JW; Park, SJ; Kim, MJ; Jang, SY; Min, K; Park, KW</t>
  </si>
  <si>
    <t>Hong, Ji-Min; Kim, Ji-Hwan; Sun, Jiwon; Park, Deok-Hye; Jang, Jae-Sung; Lee, Gang-In; Lim, Jong-Won; Park, Se-Jun; Kim, Min-Jae; Jang, Se-Yeon; Min, Kyoungmin; Park, Kyung-Won</t>
  </si>
  <si>
    <t>Mitigating bottleneck effects of LiTa2PO8-based hybrid solid electrolyte through boron doping for enhanced electrochemical performance in all-solid-state lithium batteries</t>
  </si>
  <si>
    <t>MATERIALS TODAY ENERGY</t>
  </si>
  <si>
    <t>Hybrid solid electrolytes (HSEs) for all-solid-state lithium batteries (ASSLBs) address the limitations of inorganic solid electrolytes and solid polymer electrolytes, providing high electrochemical performance. In this study, we developed a lithium tantalum phosphate (LiTa2PO8, LTPO)-based HSE fabricated as a polymer-in-ceramic (PIC) electrolyte with higher LTPO content compared to poly(vinylidene fluoride-co-hexafluoropropylene) (PVDFHFP). To mitigate the bottleneck effects caused by P5+ in LTPO and high interfacial resistance of the PIC electrolyte, boron was doped at the P sites of LTPO. Consequently, the ionic conductivity of the B 0.100 mol-doped LTPO-based HSE improved to three times (4.0 x 10-4 S cm-1) at 25 degrees C. The Li+ transference number and exchange current density increased to 0.66 and 2.24 mA cm-2, respectively, at 55 degrees C. The ASSLB containing LiFePO4 (LFP) cathode, B0.100-LTPO HSE and Li metal anode demonstrated a high initial specific capacity of 169.7 mAh g-1 at 55 degrees C and 0.2 C. After 100 charge/discharge cycles, the ASSLB exhibited a 96 % capacity retention and a Coulumbic efficiency of over 90 % without short-circuiting due to lithium dendrites.</t>
  </si>
  <si>
    <t>2468-6069</t>
  </si>
  <si>
    <t>10.1016/j.mtener.2025.101830</t>
  </si>
  <si>
    <t>WOS:001426608900001</t>
  </si>
  <si>
    <t>Li, MJ; Huang, LZ; Wu, BY; Liang, JH; Xiang, JH; Yan, T; Tao, ML; Du, L; Cui, ZM; Song, HY; Liang, ZX</t>
  </si>
  <si>
    <t>Li, Minjian; Huang, Lianzhan; Wu, Boyong; Liang, Jinhui; Xiang, Jiahao; Yan, Tong; Tao, Mengli; Du, Li; Cui, Zhiming; Song, Huiyu; Liang, Zhenxing</t>
  </si>
  <si>
    <t>Fast charging Lithium metal battery based on Lewis Acid/Base dual-site solid electrolyte interphase</t>
  </si>
  <si>
    <t>The unexpected depletion of anions and the restricted diffusion of Li+ on the Li anode lead to uncontrolled dendrite growth in Li metal batteries. Solid electrolyte interphase (SEI) engineering has been proven to be an effective method for solving these issues. Herein, a novel SEI layer with Lewis acid/base dual-site is constructed with triisopropanolamine cyclic borate (BON) and LiTFSI (defined as TFBN) to regulate the transport behavior of anions and Li+. The electron-deficient boron atom in BON can serve as the Lewis acid site, which anchors the anion to prevent its depletion at the interface. Meanwhile, the electron-rich nitrogen atom can serve as the Lewis base site, which accelerates the transport of Li+ to facilitate smooth Li deposition. As a result, BON can effectively dissociate lithium salts and regulate the migration behavior of anions and Li+. Using this novel SEI layer, Li||Li symmetric batteries can achieve stable cycling for over 1200 h at 1.0 mA cm- 2. Furthermore, the Li||LFP full cells show 93.7 % capacity retention after 2000 cycles at an ultrahigh current of 10 C.</t>
  </si>
  <si>
    <t>Liang, Zhenxing/O-3118-2017; Cui, Zhiming/C-2988-2011; Wu, Bo-Yong/P-6387-2018; Yan, Tong/LIF-5818-2024</t>
  </si>
  <si>
    <t>Yan, Tong/0000-0002-4561-5629</t>
  </si>
  <si>
    <t>FEB</t>
  </si>
  <si>
    <t>10.1016/j.ensm.2025.104069</t>
  </si>
  <si>
    <t>WOS:001423812300001</t>
  </si>
  <si>
    <t>Wang, FY; Cheng, HW; Ren, JK; Feng, WC; Cheng, CJ; Guan, DY; Liao, XB; Luo, W</t>
  </si>
  <si>
    <t>Wang, Feiyue; Cheng, Hanwen; Ren, Jingke; Feng, Wencong; Cheng, Chaojie; Guan, Deyang; Liao, Xiaobin; Luo, Wen</t>
  </si>
  <si>
    <t>Multi-Component Phase Engineering Strategy Modulates Potassiation Reaction Energy Barrier of Alloying Anode for Stable Potassium Storage</t>
  </si>
  <si>
    <t>Red phosphorus (RP) has received much attention in potassium storage because of its inexpensive cost and high theoretical capacity, but faces the issues of volume expansion and poor conductivity. Fortunately, phosphorus-selenium hybridization solves these issues by forming an alloy anode that combines RP's high capacity with Se's high conductivity. But the weak chemical affinity between RP and Se makes it often difficult to form stable and homogeneous mixtures during preparation. To address this, this study introduces hexagonal boron nitride (h-BN) as a bridging source to facilitate the close coupling of the RP and Se composite phases. The optimized multi-component anode exhibits high initial coulombic efficiency (ICE reaching 73.0%), good cycling stability (3000 cycles at 1 A g-1), and outstanding rate performance (a discharge specific capacity of 157.3 mAh g(-1) even at 2 A g(-1)). Further investigation reveals that the introduction of h-BN reduces activation energy for interfacial charge transfer and K+ to cross the solid electrolyte interphase (SEI). It also decreases the Gibbs free energy change (Delta G) of the potassiation reaction's decisive step. Therefore, the introduction of a third phase enhances the coupling effect of alloy-based composites, providing a method for designing secondary battery electrodes with high capacity.</t>
  </si>
  <si>
    <t>Luo, Wen/E-8004-2014; liao, xiaobin/R-1791-2018; Feng, Wencong/LIC-9787-2024</t>
  </si>
  <si>
    <t>Luo, Wen/0000-0002-1732-295X; Cheng, Hanwen/0009-0001-6786-3412; Liao, Xiaobin/0000-0002-2455-832X</t>
  </si>
  <si>
    <t>10.1002/smll.202412202</t>
  </si>
  <si>
    <t>WOS:001413393100001</t>
  </si>
  <si>
    <t>Zhou, YL; Kucheyev, SO; Wan, LF</t>
  </si>
  <si>
    <t>Zhou, Yilong; Kucheyev, S. O.; Wan, Liwen F.</t>
  </si>
  <si>
    <t>First-principles elucidation of defect-mediated Li transport in hexagonal boron nitride</t>
  </si>
  <si>
    <t>PHYSICAL CHEMISTRY CHEMICAL PHYSICS</t>
  </si>
  <si>
    <t>Hexagonal boron nitride (hBN) is a promising candidate as a protective membrane or separator in Li-ion and Li-S batteries, given its excellent chemical stability, mechanical robustness, and high thermal conductivity. In addition, hBN can be functionalized by introducing defects and dopants, or be directly integrated into other active components of batteries, which further augments its appeal to the field. Here, we use first-principles simulations to evaluate the role of atomic defects in hBN in regulating the Li-ion diffusion mechanism and associated kinetics. Specifically, the following four distinct types of vacancy defects are considered: isolated single B and N vacancies, a B-N vacancy pair, and a B3N vacancy cluster. It is found that these defect sites generally favor Li intercalation and out-of-plane diffusion but slow down in-plane Li-ion diffusion due to a strong Li trapping effect at the defect sites. Such a trapping effect is, however, highly local such that it does not necessarily affect the overall Li-ion conductivity in defected hBN layers. The present systematic evaluation of the impact of atomic defects on Li ion migration and accompanied charge analysis of hBN lattice in response to Li-ion diffusion provide a mechanistic understanding of Li-ion transport behavior in defected hBN and highlight the potential of defect engineering to achieve optimal material performance.</t>
  </si>
  <si>
    <t>zhou, yilong/HPC-3191-2023</t>
  </si>
  <si>
    <t>1463-9076</t>
  </si>
  <si>
    <t>1463-9084</t>
  </si>
  <si>
    <t>FEB 12</t>
  </si>
  <si>
    <t>10.1039/d4cp03655g</t>
  </si>
  <si>
    <t>WOS:001412410500001</t>
  </si>
  <si>
    <t>Lee, SJ; Choi, JH; Hwang, I; Ryu, MH; Jung, KN; Cho, HG; Lee, JI; Park, G</t>
  </si>
  <si>
    <t>Lee, Shin-Jeong; Choi, Jeong-Hee; Hwang, Insung; Ryu, Myung-Hyun; Jung, Kyu-Nam; Cho, Hyeon-geun; Lee, Je In; Park, Gumjae</t>
  </si>
  <si>
    <t>Interfacial engineering with BN@cellulose separator to suppress dendrite growth and side reactions in aqueous zinc-ion batteries</t>
  </si>
  <si>
    <t>ELECTROCHEMISTRY COMMUNICATIONS</t>
  </si>
  <si>
    <t>The lifespan of aqueous zinc-ion batteries, which are promising alternatives to Li-ion batteries, is affected by the irreversibility of Zn anodes, primarily caused by Zn dendrite growth and side reactions such as hydrogen evolution and corrosion during cycling. This study introduces a strategy to regulate zinc ion flux between the Zn anode and aqueous electrolyte by coating boron nitride (BN) onto a cellulose separator using a simple doctor blade method. The resulting BN@cellulose separator effectively suppresses Zn dendrite growth and minimizes side reactions in aqueous electrolytes. Electrochemical evaluations demonstrate that the BN coating reduces interfacial corrosion and enhances electrochemical stability compared to a bare cellulose separator by regulating the zinc ion flux between the electrolyte and active Zn sites. Overall, use of the BN@cellulose separator improved the electrochemical performance and prolonged cycling stability. The proposed strategy marks a significant advancement toward enhancing the long-term reliability of aqueous zinc-ion batteries.</t>
  </si>
  <si>
    <t>Hwang, Insung/0009-0000-6733-7466</t>
  </si>
  <si>
    <t>1388-2481</t>
  </si>
  <si>
    <t>1873-1902</t>
  </si>
  <si>
    <t>10.1016/j.elecom.2025.107882</t>
  </si>
  <si>
    <t>WOS:001419651000001</t>
  </si>
  <si>
    <t>Pyrkova, AB; Stenina, IA; Yaroslavtsev, AB</t>
  </si>
  <si>
    <t>Pyrkova, A. B.; Stenina, I. A.; Yaroslavtsev, A. B.</t>
  </si>
  <si>
    <t>Effect of Boron Oxide on the Ionic Conductivity of the Li1.2Al0.2Zr0.1Ti1.7(PO4)3 Ceramics with a NASICON Structure</t>
  </si>
  <si>
    <t>RUSSIAN JOURNAL OF INORGANIC CHEMISTRY</t>
  </si>
  <si>
    <t>AbstractThe effect of 1-4 wt % boron oxide, which is considered to be a good sintering additive, on the morphology and ionic conductivity of Li1.2Al0.2Zr0.1Ti1.7(PO4)3 with a NASICON structure has been studied. The resulting materials have been investigated by X-ray powder diffraction, scanning electron microscopy; Raman, IR, and impedance spectroscopy; solid state 27Al, 7Li, 31P, and 11B MAS NMR. It has been shown that the introduction of B2O3 at the stage of synthesis of Li1.2Al0.2Zr0.1Ti1.7(PO4)3 leads to materials doped with boron ions. The sample containing 2% boron oxide exhibits the highest conductivity (2.9 x 10-4 S/cm) at 25 degrees C. At the same time, adding B2O3 to Li1.2Al0.2Zr0.1Ti1.7(PO4)3, where boron oxide is localized mainly at the interfaces, leads to the release of LiTiPO5 impurity and does not have a significant effect on the conductivity of the resulting samples.</t>
  </si>
  <si>
    <t>Stenina, Irina/E-3304-2014; Yaroslavtsev, Andrey/C-2070-2013</t>
  </si>
  <si>
    <t>0036-0236</t>
  </si>
  <si>
    <t>1531-8613</t>
  </si>
  <si>
    <t>10.1134/S0036023624603271</t>
  </si>
  <si>
    <t>WOS:001508271500010</t>
  </si>
  <si>
    <t>Lv, J; Wang, ZY; Zhou, YH; Yu, WH; Jia, QG</t>
  </si>
  <si>
    <t>Lv, Jian; Wang, Zhuyu; Zhou, Yihuan; Yu, Weihao; Jia, Qinggong</t>
  </si>
  <si>
    <t>Application of a cost-effective boron-based electrolyte additive in high-voltage lithium metal battery</t>
  </si>
  <si>
    <t>Due to long-term operation under high voltage, the cathode of lithium metal battery undergoes parasitic reactions with the electrolyte, resulting in non-conductive polymers that severely affect the battery's electrochemical performance and kinetics. In addition, the safety performance of the battery is seriously compromised by severe lithium deposition on the lithium metal side. The use of electrolyte additives is one of the most costeffective strategies for improvement. A low-cost boron-based additive bis(pinacolato)diboron (BDB) has been proposed in this work which has relatively high activity during battery charging and discharging. A protective cathode electrolyte interface (CEI) film was formed by BDB on the surface of NCM811 in advance to resist HF and solvent erosion. Furthermore, the solid electrolyte interface (SEI) film that BDB participates in on the lithium metal surface exhibits high ion conductivity and effectively inhibits the formation of lithium dendrites, thereby ensuring the safe operation of lithium metal batteries. The lithium metal battery utilizing BDB not only exhibits optimal electrochemical performance with a high cut-off voltage of 4.6 V, but also demonstrates potential for further development in the realms of rapid charging and discharging.</t>
  </si>
  <si>
    <t>Yu, Weihao/HGE-3275-2022; wang, zhuyu/KHZ-2534-2024</t>
  </si>
  <si>
    <t>MAR 15</t>
  </si>
  <si>
    <t>10.1016/j.est.2025.115596</t>
  </si>
  <si>
    <t>JAN 2025</t>
  </si>
  <si>
    <t>WOS:001422211800001</t>
  </si>
  <si>
    <t>Huang, LF; Zhang, ZX; Huang, S; Wang, SJ; Han, DM; Guo, H; Xiao, M; Meng, YZ</t>
  </si>
  <si>
    <t>Huang, Lingfeng; Zhang, Zexian; Huang, Sheng; Wang, Shuanjin; Han, Dongmei; Guo, Hui; Xiao, Min; Meng, Yuezhong</t>
  </si>
  <si>
    <t>Flame-retardant cross-linked sp3 boron-based single-ion conductor polymer electrolyte for high-safety lithium metal batteries</t>
  </si>
  <si>
    <t>Single ion gel polymer electrolyte has the advantages of high Li+ conductivity and dendrite mitigation. However, the addition of organic solvent makes the electrolyte flammable, posing serious safety hazards. Herein, we report a flame-retardant cross-linked sp3 boron-based single-ion gel polymer electrolyte (BSIPE). BSIPE was prepared by a simple one-step photoinitiated in situ thiol-ene click reaction. Due to the boron-based anions being immobilized in the cross-linking network, the developed BSIPE/PFN exhibits a high tLi (0.87), which can mitigate concentration polarization phenomenon and suppress the growth of lithium dendrites. BSIPE/PFN plasticized with triethyl phosphate (TEP), fluoroethylene carbonate (FEC) and LiNO3 exhibits enhanced ionic conductivity of 4.25 10 4 S cm 1 at 30 degrees C and flame retardancy. FEC and LiNO3 are conducive to form a stable solid electrolyte interphase (SEI) rich in Li3N and LiF to improve interface stability. As expected, the dendrite-free Li||BSIPE/PFN||Li symmetric cell exhibits considerable cycling life over 1500 h. BSIPE/PFN significantly boosts the performance of LFP||Li cell, which displays a capacity retention of 84.6% after 500 cycles. The BSIPE/PFN has promising applications in highsafety and high-performance lithium metal batteries. (c) 2025 Science Press and Dalian Institute of Chemical Physics, Chinese Academy of Sciences. Published by Elsevier B.V. and Science Press. All rights are reserved, including those for text and data mining, AI training, and similar technologies.</t>
  </si>
  <si>
    <t>Xiao, Min/D-5218-2015; 张, 张泽先/AAX-5411-2020; Hui, Guo/HKE-8129-2023; han, dongmei/D-5222-2015</t>
  </si>
  <si>
    <t>10.1016/j.jechem.2024.12.043</t>
  </si>
  <si>
    <t>WOS:001414453400001</t>
  </si>
  <si>
    <t>Sun, JX; Wang, SL; Li, CX; Wang, Q; Wang, DC; Sun, YY; Li, XL; Liu, HM</t>
  </si>
  <si>
    <t>Sun, Jiaxin; Wang, Shulei; Li, Chunxia; Wang, Qian; Wang, Dongchao; Sun, Yuanyuan; Li, Xiaolong; Liu, Hongmei</t>
  </si>
  <si>
    <t>Understanding the anchoring effects of metal ions and organic ligands in two-dimensional conductive metal-organic frameworks used for lithium-sulfur batteries</t>
  </si>
  <si>
    <t>COMPUTATIONAL MATERIALS SCIENCE</t>
  </si>
  <si>
    <t>High performance cathode materials are crucial for the fabrication of lithium-sulfur (Li-S) batteries which possess ultrahigh theoretical capacity and energy density. An ideal cathode of Li-S batteries should be conductive and effectively prevent the dissolution of intermediate lithium polysulfides into the electrolyte solvents. Here, we explored the two-dimensional (2D) conductive metal-organic frameworks (MOFs) with a chemical formula of M3(C6X6)2 (M = Co, Ni, Cu; X = NH, O, S) as promising anchoring materials of Li-S batteries by using firstprinciples theory. The results suggest that three hexaaminobenzene-derived M3(C6N6H6)2 nanosheets (M = Co, Ni, and Cu) can adsorb Li2Sn clusters via the Li-N and S-M interactions in a moderate binding strength, with binding energies ranging from -1.29 to -2.49 eV. For the rate-determining step of sulfur reduction reaction, Co3(C6N6H6)2 and Ni3(C6N6H6)2 exhibit lower Gibbs free energies (0.76-0.77 eV) than that of Cu3(C6N6H6)2 (1.23 eV). Furthermore, we found that organic ligands of MOFs also significantly affect the anchoring of Li2Sn clusters. The Cu3(C6O6)2 film strongly binds with Li2Sn that causes a structure decomposition, whereas the Cu3(C6S6)2 film has a weak interaction with soluble Li2Sn. Based on the results of anchoring strength, catalytic performance, and conductivity, we can conclude that Co3(C6N6H6)2 and Ni3(C6N6H6)2 films are effective sulfur host materials, which can prevent the shuttle effect and promote the reaction of sulfur reduction. These results demonstrate that both the metal atoms and organic ligands can serve as active anchoring sites, offering new insights for the design of cathodes of Li-S batteries.</t>
  </si>
  <si>
    <t>sun, Jiaxin/HKE-9267-2023</t>
  </si>
  <si>
    <t>0927-0256</t>
  </si>
  <si>
    <t>1879-0801</t>
  </si>
  <si>
    <t>FEB 20</t>
  </si>
  <si>
    <t>10.1016/j.commatsci.2025.113698</t>
  </si>
  <si>
    <t>WOS:001407295600001</t>
  </si>
  <si>
    <t>Gao, GX; Wang, XH; Liu, CS; Ye, XJ</t>
  </si>
  <si>
    <t>Gao, Guo-Xiang; Wang, Xiao-Han; Liu, Chun-Sheng; Ye, Xiao-Juan</t>
  </si>
  <si>
    <t>Penta-PBN Monolayer as a Well-Balanced Anode Material for Alkali Metal-Ion Batteries</t>
  </si>
  <si>
    <t>The development of lithium-ion batteries is a hot topic today, while sodium-ion and potassium-ion batteries are also attracting much attention due to their larger reserves compared to the increasingly scarce Li. Using first-principles calculations based on density functional theory, we investigated the performance of penta-phosphorus boron nitride (PBN) as an anode material for alkali metal-ion batteries. The low diffusion barrier of penta-PBN (0.35/0.32/0.356 eV for Li/Na/K) symbolizes excellent charge/discharge rates. Additionally, penta-PBN exhibits the same maximum theoretical capacity of 480.38 mAhg-1 for Li, Na, and K. The average open-circuit voltage of penta-PBN (0.85/0.76/0.93 V for Li/Na/K) is also within the required threshold range of 0.1-1.0 V. Moreover, penta-PBN with metal atoms fully adsorbed shows a negative lattice expansion rate on the a-axis and b-axis. More importantly, penta-PBN possesses prime wetting properties for some common commercial electrolytes (organic solvents and metal salts). Therefore, penta-PBN has great potential for application in alkali metal-ion batteries.</t>
  </si>
  <si>
    <t>Liu, Chun-Sheng/B-2841-2010; Ye, Xiao-Juan/B-4599-2010</t>
  </si>
  <si>
    <t>Liu, Chunsheng/0000-0001-8856-9581</t>
  </si>
  <si>
    <t>JAN 16</t>
  </si>
  <si>
    <t>10.1021/acs.jpcc.4c08128</t>
  </si>
  <si>
    <t>WOS:001399631000001</t>
  </si>
  <si>
    <t>Wu, RZ; Wu, S; Pan, J</t>
  </si>
  <si>
    <t>Wu, Ruizhe; Wu, Sheng; Pan, Jie</t>
  </si>
  <si>
    <t>Revealing the Principles of Confining Electroplated Lithium beneath the CVD Grown Single Layer 2D Materials</t>
  </si>
  <si>
    <t>Owing to the nanoscale thickness, excellent mechanical and chemical stabilities, 2D materials including graphene and hexagonal boron nitride have emerged as promising artificial solid electrolyte interphase (SEI) candidates for lithium metal batteries. However, whether the implementation of 2D materials is beneficial to electrochemical performance remains controversial, and the key to confining the electroplated Li beneath the 2D materials remains elusive. Here, a nanocrystalline graphene (NG) film is synthesized on high-carbon Cu and the Li plating/stripping behavior on Cu grown with different 2D materials is investigated. Interestingly, in contrast to the commonly obtained Li particles on other substrates during nucleation, a smooth Li layer is obtained on NG/Cu, leading to a compact Li layer with more stable electrochemical performance. The finite element method simulations validate that the low electrical conductivity and the high density of defects on NG film drive the fast entry of electrolytes into the NG/Cu interface and promote homogenous Li nucleation. This work reveals the principles of confining electroplated Li beneath the 2D materials, and paves the way for the applications of 2D materials in artificial SEIs and anode-free lithium metal batteries.</t>
  </si>
  <si>
    <t>Wu, Ruizhe/0000-0002-2293-5072</t>
  </si>
  <si>
    <t>10.1002/smll.202408986</t>
  </si>
  <si>
    <t>WOS:001396690000001</t>
  </si>
  <si>
    <t>Li, GY; Li, DC; Lei, M; Li, CL</t>
  </si>
  <si>
    <t>Li, Guyue; Li, Decheng; Lei, Meng; Li, Chilin</t>
  </si>
  <si>
    <t>Molecular Design of Imino Anion Acceptors Enables Long-Life Fluoride Ion Batteries</t>
  </si>
  <si>
    <t>Anion acceptors (AAs) enable to dissolve metal fluoride salts and achieve reversible fluorination and defluorination in fluoride ion batteries (FIBs). However, most reported strategies only focus on boron- and alcohol-based AAs with strong Lewis acidity and excessive hydrogen bond (HB) strength, which often leads to the uncontrollable mass loss of active materials and the inferior reduction stability of electrolyte. Although amino and imine groups possess preferable anti-reductive property, their HB strengths are apparently too weak to dissociate fluoride salts. Here a novel strategy is proposed for molecular structure design toward imino AAs by introducing double bonds and pyridine-N into the five-membered-ring of pyrrolidine. Therein the conjugation effect, inductive effect, and alpha effect are synergistically utilized to enhance the Lewis acidity of imino group. Theoretical calculations and experiments prove that 1,2,4-triazole AA retains the reduction stability in the maximum extent while increasing the HB strength of imino group. Based on this imino AA, the electrolyte achieves an unprecedented wide electrochemical stability window (5.5 V), enabling highly reversible cycling of fluorination and defluorination for CuF2||Pb full cells (&gt;300 cycles) with a Cu+-mediated two-step redox mechanism, for PbF2-Pb||PbF2-Pb symmetric cells (1600 h) with low overpotential, and for PbF2||Pb asymmetric cells with high coulombic efficiency.</t>
  </si>
  <si>
    <t>Li, Chilin/KFB-6278-2024; Li, Decheng/L-7383-2019</t>
  </si>
  <si>
    <t>10.1002/aenm.202404282</t>
  </si>
  <si>
    <t>WOS:001396674900001</t>
  </si>
  <si>
    <t>Bai, W; Xiao, L; Long, T; Wang, ZR; Wang, JL; Richard, YKK; Lu, YW</t>
  </si>
  <si>
    <t>Bai, Wei; Xiao, Lei; Long, Tao; Wang, Zhirong; Wang, Junling; Richard, Yuen Kwok Kit; Lu, Yawei</t>
  </si>
  <si>
    <t>Fire-retardant and thermally conductive polyacrylonitrile-based separators enabling the safety of lithium-ion batteries</t>
  </si>
  <si>
    <t>Lithium-ion batteries (LIBs) have broad application prospects in many fields because of their high energy density. However, the poor heat resistance of polyolefin membranes and uneven lithium deposition result in battery failure and even infamous thermal runaway behavior. To improve the intrinsic safety of batteries, fire-retardant, thermally conductive, electrospinning strategies are employed to acquire a functional polyacrylonitrile (PAN) nanofiber separator (PAN@FBN/TPP) containing modified boron nitride (FBN) and triphenyl phosphate (TPP). Compared with those of the Celgard separator, the porosity, contact angle, and electrolyte uptake of the Celgard separator are greatly improved. Moreover, the designed separator shows excellent thermal stability without shrinkage when heated at 220 degrees C. The char residue at 800 degrees C is 43.7 wt%, which is much greater than that of the Celgard separator (similar to 0.26 wt%). The maximal peak heat release rate (PHRRmax) is only 30 % that of the Celgard separator. The improvement in heat resistance laid a solid foundation for the preparation of high-safety LIBs. The advantages of a uniform pore size distribution and extremely high porosity provide abundant active sites and convenient channels for Li+ migration. The cell with the PAN@FBN/TPP separator shows excellent cycle stability and rate performance. Owing to the high heat resistance of PAN and the excellent flame-retardant capability of FBN, the LIBs presented the highest self-heating temperature (T-0) and thermal runaway temperature (T-1) and the smallest maximum temperature (T-max) and heat release rate (HRRmax) in the safety performance test; compared with those of commercial separator batteries, the above thermal safety parameters increased by 16.9 %, 6.5 %, 21.8 % and 81.5 %, respectively. Overall, this work may provide an effective way to fabricate LIBs with high thermal safety.</t>
  </si>
  <si>
    <t>; Wang, Junling/JMR-3395-2023</t>
  </si>
  <si>
    <t>YUEN, Kwok Kit Richard/0000-0002-3846-0307;</t>
  </si>
  <si>
    <t>10.1016/j.jcis.2024.12.229</t>
  </si>
  <si>
    <t>WOS:001399789400001</t>
  </si>
  <si>
    <t>Kim, Y; Kim, D; Bae, M; Chang, YJ; An, WY; Hong, HC; Hwang, SJ; Kim, D; Lee, J; Piao, YZ</t>
  </si>
  <si>
    <t>Kim, Yonghwan; Kim, Dohyeong; Bae, Minjun; Chang, Yujin; An, Won Young; Hong, Hwichan; Hwang, Seon Jae; Kim, Dongwan; Lee, Jeongyeon; Piao, Yuanzhe</t>
  </si>
  <si>
    <t>In Situ Formation of Bifunctional Interlayer on 3D Conductive Scaffold for Dendrite-Free Li Metal Batteries</t>
  </si>
  <si>
    <t>ENERGY &amp; ENVIRONMENTAL MATERIALS</t>
  </si>
  <si>
    <t>Regulating lithium (Li) plating/stripping behavior in three-dimensional (3D) conductive scaffolds is critical to stabilizing Li metal batteries (LMBs). Surface protrusions and roughness in these scaffolds can induce uneven distributions of the electric fields and ionic concentrations, forming hot spots. Hot spots may cause uncontrollable Li dendrites growth, presenting significant challenges to the cycle stability and safety of LMBs. To address these issues, we construct a Li ionic conductive-dielectric gradient bifunctional interlayer (ICDL) onto a 3D Li-injected graphene/carbon nanotube scaffold (LGCF) via in situ reaction of exfoliated hexagonal boron nitride (fhBN) and molten Li. Microscopic and spectroscopic analyses reveal that ICDL consists of fhBN-rich outer layer and inner layer enriched with Li3N and Li-boron composites (Li-B). The outer layer utilizes dielectric properties to effectively homogenize the electric field, while the inner layer ensures high Li ion conductivity. Moreover, DFT calculations indicate that ICDL can effectively adsorb Li and decrease the Li diffusion barrier, promoting enhanced Li ion transport. The modulation of Li kinetics by ICDL increases the critical length of the Li nucleus, enabling suppression of Li dendrite growth. Attributing to these advantages, the ICDL-coated LGCF (ICDL@LGCF) demonstrates impressive long-term cycle performances in both symmetric cells and full cells.</t>
  </si>
  <si>
    <t>; Lee, Jeongyeon/ISU-8885-2023; Kim, Dongwan/NLO-2940-2025; Bae, Minjun/AAC-8118-2022</t>
  </si>
  <si>
    <t>Kim, Yonghwan/0000-0002-2784-5164; Piao, Yuanzhe/0000-0002-1505-236X; Lee, Jeongyeon/0000-0002-0905-4510</t>
  </si>
  <si>
    <t>2575-0356</t>
  </si>
  <si>
    <t>10.1002/eem2.12861</t>
  </si>
  <si>
    <t>WOS:001394016700001</t>
  </si>
  <si>
    <t>Li, J; Long, YF; Li, L; Pu, F; Liao, W; Yu, XW; Liao, HX; Hu, XB</t>
  </si>
  <si>
    <t>Li, Jie; Long, Yufan; Li, Lei; Pu, Fan; Liao, Wei; Yu, Xiaowen; Liao, Hongxin; Hu, Xuebu</t>
  </si>
  <si>
    <t>Stabilizing the cathode-electrolyte interphase and enhancing Na+ kinetics by a boron-based anion receptor additive</t>
  </si>
  <si>
    <t>NEW JOURNAL OF CHEMISTRY</t>
  </si>
  <si>
    <t>Layered metal oxides (NaNi1/3Fe1/3Mn1/3O2, NFM) hold tremendous commercial potential within the domain of sodium-ion batteries. However, the irreversible phase transitions and interfacial side reactions result in the degradation of cycling performance and poor rate performance, which poses significant obstacles to their commercialization. Herein, tris(2,2,2-trifluoroethyl)borate (TTFEB) is applied as an electrolyte additive to boost the interface stability of the NFM cathode. As an anion acceptor, TTFEB exhibits strong interaction with ClO4-, and the TTFEB-ClO4- complex accumulates on the surface of NFM during the charging process and decomposes to form a thin and stable cathode-electrolyte interface (CEI), thereby improving interface stability. Meanwhile, the strong interaction between TTFEB and ClO4- promotes the dissociation of NaClO4, thereby facilitating the transfer and diffusion of Na+ and improving the rate performance of NFM. Consequently, after 200 cycles at 1C, the NFM||Na cell using the 2%TTFEB-containing electrolyte exhibits a superior capacity retention (83.63%) compared to the cell with the baseline electrolyte (73.04%). Moreover, after 400 cycles at 5C, the capacity retention of the cell with the 2%TTFEB-containing electrolyte is 13.02% higher than that with the baseline electrolyte. This study offers a new idea for enhancing the stability of the cathode-electrolyte interface through the utilization of electrolyte additives.</t>
  </si>
  <si>
    <t>; yu, xiaowen/KOC-3817-2024</t>
  </si>
  <si>
    <t>Shang, Biao/0000-0003-4545-5941;</t>
  </si>
  <si>
    <t>1144-0546</t>
  </si>
  <si>
    <t>1369-9261</t>
  </si>
  <si>
    <t>JAN 27</t>
  </si>
  <si>
    <t>10.1039/d4nj04788e</t>
  </si>
  <si>
    <t>WOS:001393023200001</t>
  </si>
  <si>
    <t>Cai, QQ; Li, GJ; Kong, DW; Xu, JJ; Cai, J; Xie, ZYT; Liu, HJ; Xing, LD; Li, WS</t>
  </si>
  <si>
    <t>Cai, Qinqin; Li, Guanjie; Kong, Dewen; Xu, Jijing; Cai, Jie; Xie, Zhangyating; Liu, Haijing; Xing, Lidan; Li, Weishan</t>
  </si>
  <si>
    <t>Synergistic effects of film-forming and film-modifying additives for enhanced all-climate performance of graphite/NMC622 pouch cells</t>
  </si>
  <si>
    <t>The increasing demand for lithium-ion batteries (LIBs) with wide temperature adaptability arises from their growing utilization in extreme environments. However, LIB performance significantly deteriorates under such conditions. Electrolyte additives have demonstrated promise in addressing this issue; however, most fail to achieve a balance in performance across all temperature ranges due to the typical offering of either high stability or low impedance by additive-derived electrode/electrolyte interphases. In this study, we propose a dualadditive strategy to overcome this trade-off by employing a Film-Forming Additive (FFA), specifically an anhydride compound, and a Film-Modifying Additive (FMA), specifically a boron-containing compound. The FFA forms a robust interphase that enhances stability against interfacial side reactions, while the FMA, possessing high electrochemical activity, modifies the FFA-derived interphase by reducing impedance and facilitating rapid Li+ de-solvation through the formation of conductive B-O bonds. This synergistic interphase combines both high stability and low impedance, enabling graphite/NMC622 pouch cells to retain 76 % capacity after 500 cycles at 25 degrees C and 77 % after 700 cycles at 55 degrees C compared to respective values of 28 % and 66 % for cells without additives. Additionally, cells with the dual additives exhibit over a 20 % improvement in discharge capacity at subzero temperatures. This dual-additive design provides a valuable framework for developing electrolytes tailored for all-climate batteries.</t>
  </si>
  <si>
    <t>; Xu, Ji-Jing/AAE-7774-2019; Li, Guanjie/NHP-0662-2025</t>
  </si>
  <si>
    <t>Xing, Lidan/0000-0002-3642-7204;</t>
  </si>
  <si>
    <t>FEB 1</t>
  </si>
  <si>
    <t>10.1016/j.cej.2024.159156</t>
  </si>
  <si>
    <t>WOS:001410423700001</t>
  </si>
  <si>
    <t>Min, BI; Wang, YR; Tanaka, M; Watanabe, T</t>
  </si>
  <si>
    <t>Min, Byeong-Il; Wang, Yiran; Tanaka, Manabu; Watanabe, Takayuki</t>
  </si>
  <si>
    <t>Synthesis of cubic-Li7La3Zr2O12 solid electrolyte for all-solid-state lithium-ion batteries via a combination process of induction thermal plasma and calcination</t>
  </si>
  <si>
    <t>JAPANESE JOURNAL OF APPLIED PHYSICS</t>
  </si>
  <si>
    <t>A combined process enabled the selective synthesis of cubic- and tetragonal-Li7La3Zr2O12 with calcination for nanoparticles synthesized by induction thermal plasma. The effect of O-2 partial pressure was investigated by adjusting O-2 content within a constant sheath gas flow for plasma-synthesized nanoparticles prepared for calcination. Low O-2 partial pressure led to spherical nanoparticles from the liquid mixture via homogeneous nucleation of ZrO2, while high O-2 partial pressure produced irregular, highly aggregated particles from a liquid-solid mixture with homogeneous nucleation of La2Zr2O7. The rapid quenching rate induced amorphous-Li7La3Zr2O12, and higher O2 promoted slight crystallization to cubic-Li7La3Zr2O12. This result includes potential for the facile production of ultra-thin cubic-Li7La3Zr2O12 films suitable for all-solid-state lithium batteries.</t>
  </si>
  <si>
    <t>Watanabe, Takayuki/0000-0002-0495-1108</t>
  </si>
  <si>
    <t>0021-4922</t>
  </si>
  <si>
    <t>1347-4065</t>
  </si>
  <si>
    <t>JAN 1</t>
  </si>
  <si>
    <t>10.35848/1347-4065/ad9e5e</t>
  </si>
  <si>
    <t>WOS:001397624100001</t>
  </si>
  <si>
    <t>Hawsawi, Z; Alzharani, A; Samarakoon, D; Abdulrahman, A; Taylor, T; Uddin, MH; Gladney, W; Wang, XQ; Khan, I</t>
  </si>
  <si>
    <t>Hawsawi, Zuhair; Alzharani, Ahmed; Samarakoon, Duminda; Abdulrahman, Amal; Taylor, Taveion; Uddin, Md. Hanif; Gladney, William; Wang, Xiao-Qian; Khan, Ishrat</t>
  </si>
  <si>
    <t>Highly Conductive Boron-Containing Electrolytes by Integrating Modeling and Experiments</t>
  </si>
  <si>
    <t>ACS OMEGA</t>
  </si>
  <si>
    <t>A highly conducting polymer electrolyte was developed, where the structure included molecular elements guided by computational modeling results. The electrolyte comprises acidic boron and basic oxygen atoms within the molecular structure. Because of the presence of the boron and oxygen atoms within the structure, it interacts with the anion and cation of the dissolved salt and functions as an ion separator by increasing the bond length between the anion and cation. Increasing the bond length weakens the electrostatic interaction between the anion and cation, resulting in a decreased level of aggregation within the electrolyte matrix and higher ionic conductance. The new electrolytes show ionic conductivity values of 10-3 S cm-1 at 25 degrees C, which are suitable for lithium-ion polymer batteries. The approach demonstrates the importance of integrating computational modeling with experimental studies to design and develop promising electrolytes for lithium-ion polymer batteries.</t>
  </si>
  <si>
    <t>Abdulrahman, Amal/GYR-3815-2022; Wang, Xiaoqian/S-4406-2016</t>
  </si>
  <si>
    <t>2470-1343</t>
  </si>
  <si>
    <t>DEC 31</t>
  </si>
  <si>
    <t>10.1021/acsomega.4c01051</t>
  </si>
  <si>
    <t>DEC 2024</t>
  </si>
  <si>
    <t>WOS:001387052600001</t>
  </si>
  <si>
    <t>Yang, HH; Yang, J; Deng, XL; Wang, MT; Zhang, N; Li, L; Li, GY; Chen, B; Zhou, MJ</t>
  </si>
  <si>
    <t>Yang, Haihua; Yang, Jie; Deng, Xianglin; Wang, Mengting; Zhang, Na; Li, Liang; Li, Gangyong; Chen, Bing; Zhou, Minjie</t>
  </si>
  <si>
    <t>Optimizing C3N5 for advanced lithium-sulfur batteries: Boron and oxygen modification in porous honeycomb frameworks</t>
  </si>
  <si>
    <t>Nitrogen-rich C3N5 has promising potential as sulfur host for the cathode of lithium-sulfur batteries (LSBs). Aiming to boost the sulfur hosting performance of C3N5, its active sites and morphology have been manipulated by constructing boron (B) and oxygen (O) atoms modified porous honeycomb-like structure of C3N5 (HB-C3N5-0.8) via a SiO2 nanospheres hard templating strategy. B atoms are incorporated into the skeleton of C3N5 by replacing C atoms and forming B-N bonds. The adscititious O atoms tend to form C-O/C--O groups. The involvement of B and O atoms enhances the electronic conductivity and increases the active sites of C3N5, thereby strengthening the immobilization and transformation of LiPSs intermediates, improving the diffusion kinetics of Li+ ions, and reducing the energy barrier of Li2S nucleation. Porous honeycomb-like structure of C3N5 can guarantee good accessibility of ample sites for hosting S8 reactant, LiPSs intermediates, and Li2S2/Li2S products, facilitate the electrolyte penetration, and buffer the volume expansion. The results indicate that the optimized HB-C3N5-0.8/S cathode demonstrates excellent sulfur reduction capability and stability, with an initial discharge capacity of 1066 mAh g- 1 at 0.2C. After 1000 charge-discharge cycles at a high current density of 2.0C, it exhibits a low decay rate of only 0.037 % per cycle. This study offers a convenient and feasible strategy for engineering the morphology and active sites of C3N5 for electrochemical application.</t>
  </si>
  <si>
    <t>Li, Gangyong/GLS-0781-2022</t>
  </si>
  <si>
    <t>10.1016/j.est.2024.115129</t>
  </si>
  <si>
    <t>WOS:001402494400001</t>
  </si>
  <si>
    <t>Wu, HM; Ma, WC; Cai, YF; Huang, X; Li, JH; Kai, X; Zhang, QH; Jia, XD</t>
  </si>
  <si>
    <t>Wu, Hao-Min; Ma, Wen-Can; Cai, Yi-Feng; Huang, Xin; Li, Jun-Heng; Kai, Xi; Zhang, Qiu-Hong; Jia, Xu-Dong</t>
  </si>
  <si>
    <t>Boroxine Crystalline Covalent Organic Frameworks Based Single-ion Quasi-solid-state Conductor in Lithium-ion Battery</t>
  </si>
  <si>
    <t>CHINESE JOURNAL OF POLYMER SCIENCE</t>
  </si>
  <si>
    <t>Solid-state electrolytes are considered to be the vital part of the next-generation solid-state batteries (SSBs), due to their high safety and long operation life span. However, the two major factors that impede the expected performance of batteries are: the easy formation of lithium dendrites due to the concentration gradient of anions, and the low ionic conductivity at room temperature, which prevents reaching ideal electrochemical performance. Single-ion quasi-solid-state electrolytes (SIQSSEs) could provide higher safety and energy density, owing to absence of anion concentration gradient and solvent, as well as good lithium-ion transport ability. The porous covalent organic frameworks (COFs) are beneficial for con-structing appropriate lithium-ion transport pathway, due to the ordered 1D channel. In addition, the boroxine COFs (COF-5) offers strong ability of withdrawing anion part of lithium salt. Last but not the least, boron atom could play the role of coordinate site due to its electron deficiency. These advantages afford an opportunity to obtain a SIQSSE with high ionic conductivity and high lithium transference number (LTN) simultaneously. The COF-5 based SIQSSEs delivered a high ionic conductivity of 6.3x10-4 Scm-1, with a high LTN of 0.92 and a wide electrochemical stable window (ESW) of 4.7 V at room temperature. The LiFePO4 (LFP)/Li cells, which was assembled with COF-5 based SIQSSE, exhibited outstanding long cycle stability, high initial capacity and favorable rate performance. The results indicated COFs could be an ideal material for single-ion solid-state electrolytes in next-generation batteries.</t>
  </si>
  <si>
    <t>Jia, Xudong/KRO-7751-2024</t>
  </si>
  <si>
    <t>0256-7679</t>
  </si>
  <si>
    <t>1439-6203</t>
  </si>
  <si>
    <t>JAN</t>
  </si>
  <si>
    <t>10.1007/s10118-025-3260-7</t>
  </si>
  <si>
    <t>WOS:001386529500001</t>
  </si>
  <si>
    <t>Cai, JZ; Zhang, X; Gou, HY; Wang, GK</t>
  </si>
  <si>
    <t>Cai, Jiazhen; Zhang, Xin; Gou, Huiyang; Wang, Gongkai</t>
  </si>
  <si>
    <t>Interface Engineering of Aluminum Foil Anode for Solid-State Lithium-Ion Batteries under Extreme Conditions</t>
  </si>
  <si>
    <t>Alloy foil anodes have garnered significant attention because of their compelling metallic characteristics and high specific capacities, while solid-state electrolytes present opportunities to enhance their reversibility. However, the interface and bulk degradation during cycling pose challenges for achieving low-pressure and high-performance solid-state batteries. In this study, we engineered a nonintrusive solid-state electrolyte rich in fluorine and boron and developed aluminum metal foils featuring a densely structured and highly lithiated interface, effectively suppressing interfacial contact loss and promoting the formation of a stable interfacial layer rich in fluorine and boron, helping to minimize fluctuations in Coulombic efficiency. With high areal cathode capacities (similar to 2.5 mAh cm-2), the low-pressure solid-state battery exhibited stable cycling performance for over 140 cycles, achieving an average Coulombic efficiency of 99.86%. Our findings provide a solid framework for designing durable electrolyte/anode interfaces in ambient-pressure, intrinsically safe alloy-foil-based solid-state batteries.</t>
  </si>
  <si>
    <t>Wang, Gongkai/O-3503-2019</t>
  </si>
  <si>
    <t>Wang, Gongkai/0000-0003-3589-9020; Cai, Jiazhen/0009-0003-4607-1779</t>
  </si>
  <si>
    <t>DEC 23</t>
  </si>
  <si>
    <t>10.1021/acsenergylett.4c03066</t>
  </si>
  <si>
    <t>WOS:001382245400001</t>
  </si>
  <si>
    <t>Bala, M; Jaiswal, N; Khan, H; Kothandaraman, R</t>
  </si>
  <si>
    <t>Bala, Megha; Jaiswal, Nandini; Khan, Harun; Kothandaraman, R.</t>
  </si>
  <si>
    <t>Boron-doped carbon felt electrode on stabilizing cycle life of soluble lead redox flow battery</t>
  </si>
  <si>
    <t>IONICS</t>
  </si>
  <si>
    <t>The commercialization of soluble lead redox flow battery (SLRFB) is obstructed due to its limited lifespan and sluggish kinetics. Enormous efforts have been made in electrolyte modification and cell engineering to improve performance; however, limited reports are available on electrode modification. In the present work, performance deterioration of SLRFB at higher current density has been improved by using a boron-doped carbon felt (B-CF) electrode at the positive side of the battery. This investigation is focused on exploring the physicochemical properties of the electrodes and the cycling performances of SLRFBs. While using a B-CF electrode instead of bare carbon felt, the SLRFB's life span is increased from 130 to 480 @ 40 mA cm-2. Even after 480 cycles of charging and discharging, the cell maintained its 956 mAh discharge capacity (or 40 mAh cm-2). The cell could operate up to an average capacity of 120 mAh cm-2 while charging at 60 mA cm-2 for 2 h.</t>
  </si>
  <si>
    <t>0947-7047</t>
  </si>
  <si>
    <t>1862-0760</t>
  </si>
  <si>
    <t>2024 DEC 20</t>
  </si>
  <si>
    <t>10.1007/s11581-024-05993-5</t>
  </si>
  <si>
    <t>WOS:001380907800001</t>
  </si>
  <si>
    <t>Terny, S; Salgado, R; Frechero, MA</t>
  </si>
  <si>
    <t>Terny, S.; Salgado, R.; Frechero, M. A.</t>
  </si>
  <si>
    <t>Boron oxide addition effect on the microstructure and conductivity of NaZr2(PO4)3 ceramic</t>
  </si>
  <si>
    <t>JOURNAL OF MATERIALS SCIENCE</t>
  </si>
  <si>
    <t>This study explored the impact of the incorporation of boron oxide into NASICON-type NaZr2(PO4)3 compounds, focusing on their structural and electrical properties. Novel B-NaZr2(PO4)3 ceramic materials were synthesized via the solid-state reaction method and sintered using both conventional and Spark Plasma Sintering (SPS) techniques. The findings revealed a remarkable two-order-of-magnitude increase in total electrical conductivity at 373 K with the addition of boron oxide, particularly when using SPS. The incorporation of boron oxide not only enhanced sample densification but also significantly reduced sintering temperatures, resulting in lower energy consumption and improved crystalline development. These advancements position B-NaZr2(PO4)3 as a highly promising candidate for sodium solid electrolytes, offering a combination of superior ionic conductivity and energy-efficient processing. This work highlights a novel approach to optimizing NASICON-type materials, with potential implications for advancing solid-state battery technologies.</t>
  </si>
  <si>
    <t>Frechero, Marisa/B-8286-2011</t>
  </si>
  <si>
    <t>Terny, Cintia/0000-0003-0830-9478</t>
  </si>
  <si>
    <t>0022-2461</t>
  </si>
  <si>
    <t>1573-4803</t>
  </si>
  <si>
    <t>10.1007/s10853-024-10551-5</t>
  </si>
  <si>
    <t>WOS:001380911500001</t>
  </si>
  <si>
    <t>Sun, S; Zhao, CZ; Liu, GY; Wang, SC; Fu, ZH; Kong, WJ; Li, JL; Chen, X; Zhao, XY; Zhang, Q</t>
  </si>
  <si>
    <t>Sun, Shuo; Zhao, Chen-Zi; Liu, Gao-Yao; Wang, Shu-Cheng; Fu, Zhong-Heng; Kong, Wei-Jin; Li, Jin-Liang; Chen, Xiang; Zhao, Xiangyu; Zhang, Qiang</t>
  </si>
  <si>
    <t>Boosting Anionic Redox Reactions of Li-Rich Cathodes through Lattice Oxygen and Li-Ion Kinetics Modulation in Working All-Solid-State Batteries</t>
  </si>
  <si>
    <t>The use of lithium-rich manganese-based oxides (LRMOs) as the cathode in all-solid-state batteries (ASSBs) holds great potential for realizing high energy density over 600 Wh kg-1. However, their implementation is significantly hindered by the sluggish kinetics and inferior reversibility of anionic redox reactions of oxygen in ASSBs. In this contribution, boron ions (B3+) doping and 3D Li2B4O7 (LBO) ionic networks construction are synchronously introduced into LRMO materials (LBO-LRMO) by mechanochemical and subsequent thermally driven diffusion method. Owing to the high binding energy of B &amp; horbar;O and high-efficiency ionic networks of nanoscale LBO complex in cathode materials, the as-prepared LBO-LRMO displays highly reversible and activated anionic redox reactions in ASSBs. The designed LBO-LRMO interwoven structure enables robust phase and LBO-LRMO|solid electrolyte interface stability during cycling (over 80% capacity retention after 2000 cycles at 1.0 C with a voltage range of 2.2-4.7 V vs Li/Li+). This contribution affords a fundamental understanding of the anionic redox reactions for LRMO in ASSBs and offers an effective strategy to realize highly activated and reversible oxygen redox reactions in LRMO-based ASSBs.</t>
  </si>
  <si>
    <t>Fu, Zhongheng/JFJ-2496-2023; Zhao, Chen-Zi/F-2110-2018; Li, Jin-Liang/LBL-0300-2024; Zhao, Xiangyu/AAO-2203-2020</t>
  </si>
  <si>
    <t>10.1002/adma.202414195</t>
  </si>
  <si>
    <t>WOS:001379719100001</t>
  </si>
  <si>
    <t>Zhao, C; Jeong, H; Hwang, I; Li, TY; Wang, Y; Bai, JM; Li, LX; Zhou, SY; Su, CC; Xu, WQ; Yang, ZZ; Almazrouei, M; Sun, CJ; Cheng, L; Xu, GL; Amine, K</t>
  </si>
  <si>
    <t>Zhao, Chen; Jeong, Heonjae; Hwang, Inhui; Li, Tianyi; Wang, Yang; Bai, Jianming; Li, Luxi; Zhou, Shiyuan; Su, Chi Cheung; Xu, Wenqian; Yang, Zhenzhen; Almazrouei, Manar; Sun, Cheng-Jun; Cheng, Lei; Xu, Gui-Liang; Amine, Khalil</t>
  </si>
  <si>
    <t>Polysulfide-incompatible additive suppresses reaction of Li-S batteries</t>
  </si>
  <si>
    <t>JOULE</t>
  </si>
  <si>
    <t>CONTEXT &amp; SCALE The ineffective electrolyte wetting and sluggish ion transport in thick tortuous S cathode dramatically hinder lithium-sulfur (Li-S) cell performance, especially under practical high S loading and lean electrolyte conditions. Meanwhile, the insufficient understanding of the relationship between solid/cathodeelectrolyte properties and cell-level behavior further limits practical Li-S battery development. To subsequently enhance the electrolyte wetting/ion transportation inside a thick S cathode and deepen the mechanism understanding, in this work, we reveal that the polysulfide-incompatible Lewis acid additive (LAA), which has long been considered unsuitable for Li-S batteries due to the chemical compatibility, can induce the in situ homogeneous interphase layer formation within the tortuous S cathode to promote ion transportation. Our conception is validated by a suite of fundamental investigations, including advanced synchrotron characterization and computational simulations. SUMMARY Rational electrolyte engineering for practical pouch cells remains elusive because the correlation between the cathode/solid-electrolyte interphase layer and cell-level reaction behavior is poorly understood. Here, by combining multiscale characterization and computational modeling, we show that-counter to the conventional perception of polysulfide-incompatible additives-the spontaneous reaction of sparingly solvated polysulfides with Lewis acid additives (LAAs) can induce in situ formation of a homogeneous interphase on thick and tortuous S cathode. Multiscale synchrotron X-ray characterization consistently affirms that such interface design could effectively eliminate the notorious problems of polysulfide shuttle and lithium corrosion and, more importantly, provide an interconnected ion transport highwayto alleviate the uneven ion transport within the tortuous S cathode. Hence, this design dramatically reduces the reaction heterogeneity of lithium-sulfur (Li-S) pouch cells under lean electrolyte conditions. This work resolves controversy around the role of polysulfide-incompatible additives in high-energy Li-S pouch cells and highlights the importance of suppressing reaction heterogeneity for practical batteries.</t>
  </si>
  <si>
    <t>Zhou, Shiyuan/AAA-7535-2019; XU, GUILIANG/F-3804-2017; Amine, Khalil/K-9344-2013; Almazrouei, Manar/KUC-9800-2024</t>
  </si>
  <si>
    <t>XU, GUI-LIANG/0000-0001-9969-883X; Hwang, In-Hui/0000-0001-8885-1552; Zhao, Chen/0000-0003-1537-7671; Almazrouei, Manar/0000-0002-3101-6748;</t>
  </si>
  <si>
    <t>2542-4351</t>
  </si>
  <si>
    <t>DEC 18</t>
  </si>
  <si>
    <t>10.1016/j.joule.2024.09.004</t>
  </si>
  <si>
    <t>WOS:001386056100001</t>
  </si>
  <si>
    <t>Chang, H; Hu, HK; Li, WY; Kang, GH; Sergeyev, VG; Liu, W; Jin, YC</t>
  </si>
  <si>
    <t>Chang, Hui; Hu, Hongkai; Li, Weiya; Kang, Guohong; Sergeyev, Vladimir G.; Liu, Wei; Jin, Yongcheng</t>
  </si>
  <si>
    <t>Synergistic anion receptor-polymer regulate electrolyte solvation structure for high-rate solid-state lithium metal batteries</t>
  </si>
  <si>
    <t>The advancement of solid-state lithium metal batteries (SSLMBs) with high rate capability possess challenges due to the relatively slow kinetics of ion transport properties and the lack of compatibility between the phases derived from solid-state electrolytes. Here, the tris(pentafluorophenyl) boron (TPFPB) is incorporated as an highly effective additive into a poly(ionic liquid)-based solid-state composite polymer electrolyte (CPE) to realize SSLMBs with enhanced high rate performance. The theoretical calculation and experimental analysis demonstrated that the TPFPB serves as an anion receptor agent and a modifier of the electrode/electrolyte interphase. In a notable advancement, the ionic conductivity, lithium transport kinetics, and electrochemical stability of CPE have been significantly enhanced. Additionally, TPFPB has demonstrated an impressive capacity to suppress undesirable side reactions with both the cathode and lithium anode. The presence of Li2O, Li2CO3 and an adequate amount of LiF derived from TPFPB in the interphase between the CPE and Li metal anode results in enhanced high-rate performance. The reasonable design enables the achievement of a considerable ion conductivity of 5.28 x 10-4 S cm- 1 (25 degrees C) and a lithium-ion transference number of 0.48 for CPE. The solid-state LiFePO4/CPE/Li batteries delivers excellent rate performance and cycle stability, with a high discharge specific capacity of 94.4 mAh g- 1 at 10 C (1 mA cm- 2) and a remarkable capacity retention of 76.5 % after 700 cycles at 8 C. Moreover, the TPFPB functionalized CPE is capable of operating in conjunction with the high-voltage LiNi0.85Co0.15Al0.05O2 cathode. The excellent performance of the as-prepared SSLMBs at a wide temperature range of -15 degrees C and 60 degrees C also verified that the effectiveness of TPFPB as additives into solid-state electrolytes.</t>
  </si>
  <si>
    <t>Sergeyev, Vladimir/HSB-6488-2023</t>
  </si>
  <si>
    <t>Jin, Yongcheng/0000-0002-9429-4489</t>
  </si>
  <si>
    <t>10.1016/j.cej.2024.158397</t>
  </si>
  <si>
    <t>WOS:001389704000001</t>
  </si>
  <si>
    <t>Poornima, BH; Vijayakumar, T</t>
  </si>
  <si>
    <t>Poornima, B. H.; Vijayakumar, T.</t>
  </si>
  <si>
    <t>N, S co-doped and boron doped Artocarpus heterophyllus wood derived activated carbon for supercapacitor application</t>
  </si>
  <si>
    <t>ELECTROCHIMICA ACTA</t>
  </si>
  <si>
    <t>N,S co-doped porous carbons show appreciable prospects for various application in energy storage devices like Li-ion batteries and ultracapacitors due to its excellent surface wettability large electrical conductivity, better surface area, cost effectiveness and enormous pseudocapacitance. Nevertheless, several synthesis procedures required the tedious, hard/soft templates assisted multiple-step method and with the assistance of or the massive use of chemical reagents, and exogenic sources of nitrogen, that make them very difficult to realize the production and application of industries. In this work, a prospective hierarchical N,S co-doped porous carbons synthesized by a sustainable method through one step carbonization and subsequent activation process by utilizing renewable Artocarpus heterophyllus wood as the primary source material with no templates and additional nitrogen source. The prepared Artocarpus heterophyllus wood derived porous carbons possess a huge specific surface area of 1094 m2 g-1 hierarchically ordered porous framework, uniform and nitrogen rich incorporation (6.9 at%). Utilizing these advanced features, a novel Artocarpus heterophyllus wood derived porous carbon-based electrode material exhibited a high specific capacitance of 1097 Fg-1 in 6 M KOH electrolyte with excellent cyclic stability. Hence, a prospective electrode material for supercapacitor applications was successfully developed by a simple synthesis route with naturally available renewable resource Artocarpus heterophyllus wood.</t>
  </si>
  <si>
    <t>0013-4686</t>
  </si>
  <si>
    <t>1873-3859</t>
  </si>
  <si>
    <t>10.1016/j.electacta.2024.145491</t>
  </si>
  <si>
    <t>WOS:001389521500001</t>
  </si>
  <si>
    <t>Ziemke, CD; Nguyen, H; Amaya-Roncancio, S; Gahl, J; Xing, YC; Heitmann, TW; Wexler, C</t>
  </si>
  <si>
    <t>Ziemke, Carson D.; Nguyen, Ha M.; Amaya-Roncancio, Sebastian; Gahl, John; Xing, Yangchuan; Heitmann, Thomas W.; Wexler, Carlos</t>
  </si>
  <si>
    <t>Formation of lattice vacancies and their effects on lithium-ion transport in LiBO2 crystals: comparative ab initio studies</t>
  </si>
  <si>
    <t>The monoclinic (m-LBO) and tetragonal (t-LBO) polymorphs of the lithium metaborate (LiBO2) material have significant potential for technological applications such as solid electrolytes and electrode coatings of lithium-ion batteries. While comparative studies of electronic, ionic, and photonic properties in these polymorphs exist, the role of lattice vacancies in lithium-ion transport in these polymorphs remains unclear. In this study, we employed density functional theory (DFT) to investigate the formation of lattice vacancies and their impacts on the lattice structure, electronic properties, and the lithium-ion migration energy barrier (Em) in both m-LBO and t-LBO. Our DFT results reveal that boron and oxygen vacancies affect the lithium-ion transport in both the polymorphs, but in different ways. While oxygen vacancies lower Em in m-LBO, they increase it in t-LBO. In contrast, boron vacancies significantly reduce Em in both m-LBO and t-LBO, leading to a remarkably enhanced ionic conductivity in both the polymorphs. This enhancement in the ionic conductivity could be due to favorable alterations in the crystal and electronic structures caused by the presence of boron vacancies. This improvement suggests a potential strategy for improving the ionic conductivity of the LiBO2 material through boron vacancy generation. For example, boron vacancies might be created in the lattice structures of the LiBO2 material using controlled neutron irradiation.</t>
  </si>
  <si>
    <t>Wexler, Carlos/0000-0002-7038-2628; Xing, Yangchuan/0000-0002-5985-3222</t>
  </si>
  <si>
    <t>JAN 21</t>
  </si>
  <si>
    <t>10.1039/d4ta05713a</t>
  </si>
  <si>
    <t>WOS:001380283000001</t>
  </si>
  <si>
    <t>Zhu, QY; Liu, YF; Shepard, LB; Bhattacharya, D; Sinnott, SB; Reinhart, WF; Cooper, VR; Kumar, R</t>
  </si>
  <si>
    <t>Zhu, Qinyu; Liu, Yifan; Shepard, Lauren B.; Bhattacharya, Debjyoti; Sinnott, Susan B.; Reinhart, Wesley F.; Cooper, Valentino R.; Kumar, Rajeev</t>
  </si>
  <si>
    <t>Using Data-Science Approaches to Unravel Insights for Enhanced Transport of Lithium Ions in Single-Ion Conducting Polymer Electrolytes</t>
  </si>
  <si>
    <t>CHEMISTRY OF MATERIALS</t>
  </si>
  <si>
    <t>Solid polymer electrolytes have yet to achieve the desired ionic conductivity (&gt;1 mS/cm) near room temperature required for many applications. This target implies the need to reduce the effective energy barriers for ion transport in polymer electrolytes to around 20 kJ/mol. In this work, we combine information extracted from existing experimental results with theoretical calculations to provide insights into ion transport in single-ion conductors (SICs) with a focus on lithium ion SICs. Through the analysis of temperature-dependent ionic conductivity data obtained from the literature, we evaluate different methods of extracting energy barriers for lithium transport. The traditional Arrhenius fit to the temperature-dependent ionic conductivity data indicates that the Meyer-Neldel rule holds for SICs. However, the values of the fitting parameters remain unphysical. Our modified approach based on recent work (Macromolecules 2023, 56, 15, 6051), which incorporates a fixed pre-exponential factor, reveals that the energy barriers exhibit temperature dependence over a wide range of temperatures. Using this approach, we identify anions leading to the energy barriers &lt;30 kJ/mol, which include trifluoromethane sulfonimide (TFSI), fluoromethane sulfonimide (FSI), and boron-based organic anions. In our efforts to design the next generation of anions, which can exhibit the energy barriers &lt;20 kJ/mol, we have performed density functional theory (DFT) based calculations to connect the chemical structures of boron-based anions via the binding energy of cation (lithium)-anion pairs with the experimentally derived effective energy barriers for ion hopping. Not only have we identified a correlation between the binding energy and the energy barriers, but we also propose a strategy to design new boron-based anions by using the correlation. This combined approach involving experiments and theoretical calculations is capable of facilitating the identification of promising new anions, which can exhibit ionic conductivity &gt;1 mS/cm near room temperature, thereby expediting the development of novel superionic single-ion conducting polymer electrolytes.</t>
  </si>
  <si>
    <t>; Sinnott, Susan/P-8523-2014; Kumar, Rajeev/Q-2255-2015; Zhu, Qinyu/IXW-6591-2023; Reinhart, Wesley/AAZ-9060-2021; Cooper, Valentino/A-2070-2012; Bhattacharya, Debjyoti/AGS-7186-2022</t>
  </si>
  <si>
    <t>bhattacharya, Debjyoti/0000-0003-3707-847X; Kumar, Rajeev/0000-0001-9494-3488; Cooper, Valentino/0000-0001-6714-4410; Zhu, Qinyu/0000-0002-2640-2214; Liu, Yifan/0000-0001-5102-0552;</t>
  </si>
  <si>
    <t>0897-4756</t>
  </si>
  <si>
    <t>1520-5002</t>
  </si>
  <si>
    <t>DEC 6</t>
  </si>
  <si>
    <t>10.1021/acs.chemmater.4c02432</t>
  </si>
  <si>
    <t>WOS:001373324500001</t>
  </si>
  <si>
    <t>Huang, R; Li, RL; Li, SB; Yang, W; Bai, Y; Wang, ZH; Sun, KN</t>
  </si>
  <si>
    <t>Huang, Rui; Li, Ruilong; Li, Shaobo; Yang, Wen; Bai, Yu; Wang, Zhenhua; Sun, Kening</t>
  </si>
  <si>
    <t>In-situ constructing 3D nanocarbon conduction conformal network on silicon anodes for high-performance sulfide-based all-solid-state batteries</t>
  </si>
  <si>
    <t>Due to swelling effects, the development of silicon anodes for lithium-ion batteries has been largely hampered by structural and interfacial instability. To implement the growing demand for higher energy density all-solid-state batteries (ASSBs), further improving the stability of the silicon anode structure is the key to breaking through the bottleneck. Here, we synthesize a silicon electrode coated by the conductive nanocarbon layer via in situ electrochemical processes. A 3D fast Li+-electron conduction conformal network composed of nanocarbon and polyvinylidene fluoride (PVDF) is constructed during cycling, expanding the active area and reducing stress concentrations, which leads to reinforced electrode kinetics and mechanical stability. Advanced focused ion beam-scanning electron microscope (FIB-SEM) and high-resolution transmission electron microscope (HRTEM) reveal that harmful phenomena such as electrode cracks, interfacial detachment, and lattice distortion are extremely suppressed, thus significantly enhancing the long-term cycling stability of ASSBs. In particular, the ASSBs assembled with a nano-metric Li1.175Nb0.645Ti0.4O3 (LNTO) coated LiCoO2 (LCO) cathode and sulfide electrolytes offer superior long-cycle stability (0.8C for 450 cycles, 80.2%) and rate performance (2C for 1340 cycles, 73.1%).</t>
  </si>
  <si>
    <t>Wang, zhenhua/KFA-8731-2024; YANG, Wen/AAL-1000-2021; Sun, kening/LYO-6367-2024; Huang, Rui/IVU-9979-2023; Li, Shaobo/K-2673-2019</t>
  </si>
  <si>
    <t>Wang, Zhenhua/0000-0003-3476-0924;</t>
  </si>
  <si>
    <t>10.1016/j.cej.2024.158154</t>
  </si>
  <si>
    <t>WOS:001374568700001</t>
  </si>
  <si>
    <t>Wang, JA; Keating, MJ; Asare, H; Biddinger, EJ; Messinger, RJ; West, WC; Jones, JP</t>
  </si>
  <si>
    <t>Wang, Jonah; Keating, Michael J.; Asare, Harrison; Biddinger, Elizabeth J.; Messinger, Robert J.; West, William C.; Jones, John-Paul</t>
  </si>
  <si>
    <t>A Fluorinated Ether Co-solvent Enables High Operating Temperature Li-ion Batteries</t>
  </si>
  <si>
    <t>JOURNAL OF THE ELECTROCHEMICAL SOCIETY</t>
  </si>
  <si>
    <t>Li-ion batteries are commonly used as electrochemical energy storage systems due to their high energy density. However, few Li-ion batteries can reliably function at elevated temperatures, which is necessary for space and defense applications. In this study, Li-ion electrolytes were prepared and investigated for use at 100 degrees C. The previously developed baseline electrolyte, 1.0 M lithium hexafluorophosphate (LiPF6) in 1:1 ethylene carbonate (EC):ethyl-methyl carbonate (v/v) with 2 wt% vinylene carbonate (VC), was altered to observe the effects of the lithium salts lithium difluoro(oxalato)borate (LiDFOB) and lithium difluorophosphate (LiDFP), and the fluorinated co-solvent 1,1,2,2-tetrafluoroethyl-2,2,3,3-tetrafluoropropyl ether (TTE). The resulting formulations showed significantly improved capacity retention at 100 degrees C in multiple cell configurations. X-ray photoelectron spectroscopy characterization of the electrodes following cycling at high temperatures with the improved electrolyte revealed the cathode-electrolyte-interface to be boron-rich, while the graphite anodes were found to have little boron but were more fluorine rich compared to the baseline anodes. Raman spectroscopy determined notable changes in solvation structure upon addition of the TTE diluent. Overall, the use of various Li salts as well as the TTE co-solvent improved specific capacity retention at 100 degrees C in Li-ion cells.</t>
  </si>
  <si>
    <t>Biddinger, Elizabeth/L-8572-2019; Messinger, Robert/M-2471-2015</t>
  </si>
  <si>
    <t>Asare, Harrison/0000-0002-7920-1192; West, William/0000-0001-6417-8930; Messinger, Robert/0000-0002-5537-3870; Jones, John-Paul/0000-0001-8654-2967</t>
  </si>
  <si>
    <t>0013-4651</t>
  </si>
  <si>
    <t>1945-7111</t>
  </si>
  <si>
    <t>DEC 3</t>
  </si>
  <si>
    <t>10.1149/1945-7111/ad9b52</t>
  </si>
  <si>
    <t>WOS:001379268400001</t>
  </si>
  <si>
    <t>Wang, HJ; Lei, CJ; Liu, TT; Meng, RJ; Liang, X</t>
  </si>
  <si>
    <t>Wang, Huijian; Lei, Chengjun; Liu, Tingting; Meng, Ruijin; Liang, Xiao</t>
  </si>
  <si>
    <t>Shielding Fluoride Ion Basicity through Diurea Coordination for Nonaqueous Fluoride Shuttle Batteries</t>
  </si>
  <si>
    <t>The strong basicity of fluoride ions leads to detrimental nucleophilic attack on organic components in the electrolytes, such as beta-hydrogen elimination reactions with organic cations and solvents, converting naked F- into corrosive and unstable bifluoride (HF2-) ions. These reactions significantly constrain the choice of suitable solvents and salts to develop electro(chemical) stable fluoride ion electrolytes. In this work, we replaced the triple water ligands typically present in industrial organic fluoride salts with dual 1,3-diphenylurea (DPU) coordination via hydrogen bonding interaction. This modification successfully suppressed the Lewis basicity of fluoride ions, providing long-term chemical stability (over 1000 hours) across a wide range of aprotic solvents, a broadened electrochemical stability window (-2.5-0.9 V vs. Ag+/Ag) and high ionic conductivity (1.7 mS cm-1) at room temperature. Additionally, the weaker hydrogen bonding in F--DPU coordination, compared to the conventional boron-based anion acceptor (AA) strategy that relies on intensive Lewis acid-base interactions, facilitates faster (de)fluorination kinetics at the electrode. The proposed room temperature fluoride ion batteries sustain improved electrochemical performance by pairing with the Pb-PbF2 anode and BiF3 or Ag cathode.</t>
  </si>
  <si>
    <t>Liang, Xiao/ABE-7626-2020</t>
  </si>
  <si>
    <t>FEB 3</t>
  </si>
  <si>
    <t>10.1002/anie.202418371</t>
  </si>
  <si>
    <t>WOS:001368039800001</t>
  </si>
  <si>
    <t>Li, JR; Su, H; Liu, Y; Zhong, Y; Wang, XL; Tu, JP</t>
  </si>
  <si>
    <t>Li, Jingru; Su, Han; Liu, Yu; Zhong, Yu; Wang, Xiuli; Tu, Jiangping</t>
  </si>
  <si>
    <t>Li Alloys in All Solid-State Lithium Batteries: A Review of Fundamentals and Applications</t>
  </si>
  <si>
    <t>ELECTROCHEMICAL ENERGY REVIEWS</t>
  </si>
  <si>
    <t>All solid-state lithium batteries (ASSLBs) overcome the safety concerns associated with traditional lithium-ion batteries and ensure the safe utilization of high-energy-density electrodes, particularly Li metal anodes with ultrahigh specific capacities. However, the practical implementation of ASSLBs is limited by the instability of the interface between the anode and solid-state electrolyte (SSE). To mitigate this, considerable research has been dedicated to achieving enhanced stability at the anode/SSE interface. Among the current strategies for enhancing interface performance, the concept of Li-alloy materials is extensively used and well functionalized in various scenarios, including Li alloys as anodes, Li-alloy interlayers and Li alloys in the anode. Despite the notable achievements of Li-alloy materials in ASSLBs, the functionality, practicality and working mechanism of Li-alloys have not been fully elucidated. This review commences by providing an exhaustive and in-depth examination of the fundamental kinetics, thermodynamics, and mechanics, highlighting Li-alloy materials. Subsequently, through a systematic interconnection of material properties and their practical applications, we undertake a comprehensive analysis of the operative principles governing Li alloys. This analytical approach allows a thorough evaluation of the viability and utility of Li alloys within the context of ASSLBs. Finally, this review concludes by succinctly summarizing the future prospects and inherent potential of Li-alloy materials for further advancing the field of ASSLBs.</t>
  </si>
  <si>
    <t>Tu, Jiangping/LBH-4562-2024; Su, Han/CAG-9375-2022</t>
  </si>
  <si>
    <t>2520-8489</t>
  </si>
  <si>
    <t>2520-8136</t>
  </si>
  <si>
    <t>DEC</t>
  </si>
  <si>
    <t>10.1007/s41918-024-00221-0</t>
  </si>
  <si>
    <t>WOS:001228660300001</t>
  </si>
  <si>
    <t>Lu, ZW; Kang, JX; Qiu, PT; Chen, XN</t>
  </si>
  <si>
    <t>Lu, Zhiwei; Kang, Jia-Xin; Qiu, Pengtao; Chen, Xuenian</t>
  </si>
  <si>
    <t>Hydridoborate-Based Solid-State Electrolytes for Sodium Metal Batteries</t>
  </si>
  <si>
    <t>Hydridoborates have emerged as promising candidates for solid-state electrolytes in sodium metal batteries owing to their high ionic conductivity, thermal/electrochemical stability, good mechanical properties, and good interface compatible with electrodes. This review provides a comprehensive analysis of the recent advancements in the development and application of Na-hydridoborate-based solid-state electrolytes. We explore the structural properties and electrochemical behaviors of various Na-hydridoborates, including NaBH4, NaB3H8, closo-borates, nido-borates, etc. Additionally, we discuss the approaches for the synthesis of hydridoborate compounds with inexpensive raw chemicals and low toxicity. This review will inspire further efforts to develop fast Na-ion conducting hydridoborate materials with favorable interfacial compatibility, to promote their applications in high-performance all-solid-state sodium metal batteries.</t>
  </si>
  <si>
    <t>; Qiu, Pengtao/ABB-5118-2021; Chen, Xuenian/C-4111-2018</t>
  </si>
  <si>
    <t>Chen, Xuenian/0000-0001-9029-1777; Qiu, Pengtao/0000-0001-8982-0803;</t>
  </si>
  <si>
    <t>10.1002/batt.202400636</t>
  </si>
  <si>
    <t>WOS:001367446100001</t>
  </si>
  <si>
    <t>Nguyen, TPT; Humphries, TD; Hagemann, H; Buckley, CE; Jensen, TR; Paskevicius, M</t>
  </si>
  <si>
    <t>Nguyen, Thi Phuong Thao; Humphries, Terry D.; Hagemann, Hans; Buckley, Craig E.; Jensen, Torben R.; Paskevicius, Mark</t>
  </si>
  <si>
    <t>Solubility of metal-boron-hydrogen compounds</t>
  </si>
  <si>
    <t>DALTON TRANSACTIONS</t>
  </si>
  <si>
    <t>Boron-hydrogen compounds are of increasing importance as electrolytes in solid state batteries, for hydrogen storage and possibly as high temperature super conductors. Solvent based methods are of increasing importance to obtain pure products, for purification of materials and also for the synthesis of novel compounds. In this context, the solubility information of several classes of metal-boron-hydrogen compounds such as borohydrides, closo-decahydridodecaborates, closo-dodecahydridododecaborates, arachno- and nido-hydridoborates in typical solvents is vital. This information is currently dispersed in the literature, hence the need to present a cohesive summary and comparison of these properties. This review collects, analyses and discusses the available data to provide inspiration for the future design of new synthesis routes and the discovery of novel materials.</t>
  </si>
  <si>
    <t>Buckley, Craig/B-6753-2013; Paskevicius, Mark/K-1638-2013; Humphries, Terry/A-2042-2014</t>
  </si>
  <si>
    <t>Buckley, Craig/0000-0002-3075-1863; Paskevicius, Mark/0000-0003-2677-3434; Humphries, Terry/0000-0003-1015-4495; Jensen, Torben Rene/0000-0002-4278-3221</t>
  </si>
  <si>
    <t>1477-9226</t>
  </si>
  <si>
    <t>1477-9234</t>
  </si>
  <si>
    <t>JAN 13</t>
  </si>
  <si>
    <t>10.1039/d4dt02256d</t>
  </si>
  <si>
    <t>NOV 2024</t>
  </si>
  <si>
    <t>WOS:001367571400001</t>
  </si>
  <si>
    <t>Song, XM; Sun, JJ; Ren, W; Wang, L; Yang, BZ; Ning, HL; Zhang, PB; Caixiang, Z; Tie, ZX; Zhang, XJ; Nuli, Y; Jin, Z</t>
  </si>
  <si>
    <t>Song, Xinmei; Sun, Jingjie; Ren, Wen; Wang, Lei; Yang, Binze; Ning, Hailong; Zhang, Pengbo; Caixiang, Zhuoma; Tie, Zuoxiu; Zhang, Xuejin; Nuli, Yanna; Jin, Zhong</t>
  </si>
  <si>
    <t>Iodine Boosted Fluoro-Organic Borate Electrolytes Enabling Fluent Ion-Conductive Solid Electrolyte Interphase for High-Performance Magnesium Metal Batteries</t>
  </si>
  <si>
    <t>Rechargeable magnesium batteries are regarded as a promising multi-valent battery system for low-cost and sustainable energy storage applications. Boron-based organic magnesium salts with terminal substituent fluorinated anions (Mg[B(ORF)4](2), R-F=fluorinated alkyl) have exhibited impressive electrochemical stability and oxidative stability. Nevertheless, their deployment is hindered by the complicated synthesis routes and the surface passivation of Mg metal anode. Herein, we report the design of an advanced electrolyte formulation comprised of tri(hexafluoroisopropyl) borate (B(HFIP)(3)) and iodine (I-2) in 1,2-dimethoxyethane (DME) solvent, which eventually convert into a Mg[B(HFIP)(4)](2)/DME-MgI2 electrolyte system upon interacting with Mg anode. The Mg anode reacts with I-2 and the electron-accepting B(HFIP)3, leading to the in situ formation of a solid-electrolyte interphase layer composed of MgF2 and MgI2 species that can facilitate fast and stable Mg plating/stripping. Compared with the pristine Mg[B(HFIP)4]2/DME electrolyte, the Mg[B(HFIP)(4)](2)/DME-MgI2 electrolyte exhibited superior electrochemical performance including an ultra-low overpotential (similar to 80 mV), high Coulombic efficiency and a long-cycling period over 1500 h. In result, the rechargeable magnesium batteries with Mg[B(HFIP)(4)](2)/DME-MgI2 electrolyte and Chevrel-phase Mo6S8 cathode show outstanding compatibility, rapid kinetics, and stable cyclability for over 1200 cycles, surpassing all previously reported boron-based electrolytes. This work introduces a promising halogen-enhancement strategy for boron-based Mg-ion electrolytes, with the overarching goal of establishing favorable solid-electrolyte interphases that are pivotal for the advancement and optimization of multi-valent secondary batteries.</t>
  </si>
  <si>
    <t>sun, jingjie/GWV-7925-2022; Zhang, Xuejin/LFR-8381-2024; Jin, Zhong/D-1742-2012; yang, binze/AAE-8591-2022</t>
  </si>
  <si>
    <t>Ren, Wen/0000-0002-1461-6717; Jin, Zhong/0000-0001-8860-8579;</t>
  </si>
  <si>
    <t>e202417450</t>
  </si>
  <si>
    <t>10.1002/anie.202417450</t>
  </si>
  <si>
    <t>WOS:001362190600001</t>
  </si>
  <si>
    <t>Du, K; Sun, C; Xuan, YM</t>
  </si>
  <si>
    <t>Du, Kang; Sun, Chen; Xuan, Yimin</t>
  </si>
  <si>
    <t>Functionalized fillers as ions relay stations enabling Li+ ordered transport in quasi-solid electrolytes for high-stability lithium metal batteries</t>
  </si>
  <si>
    <t>Quasi-solid-state lithium-metal batteries (QSLMBs) are promising candidates for next-generation battery systems due to their high energy density and enhanced safety. However, their practical application has been hindered by low ionic conductivity and the growth of lithium dendrites. To achieve ordered transport of Li* ions in quasi-solid electrolytes (QSEs), improve ionic conductivity, and homogenize Li* fluxes on the surface of the lithium metal anode (LMA), we propose a novel method. This method involves constructing ion relay stations in QSEs by introducing cyano-functionalized boron nitride nanosheets into pentaerythritol tetraacrylate (PETEA)-based polymer electrolytes. The functionalized boron nitride nanosheets promote the dissociation of lithium salts through ion-dipole interactions, optimizing the solvated structure to facilitate the orderly transport of Li* ions, resulting in an ionic conductivity of 2.5 x 10 3 S cm 1 at 30 degrees C. Notably, this strategy regulates the Li* distribution on the surface of the LMA, effectively inhibiting the growth of lithium dendrites. Li||Li symmetrical cells using this type of electrolyte maintain stability for over 2000 h at 2 mA cm 2 and 2 mAh cm 2. Additionally, with a high LiNi0.8Co0.1Mn0.1O2 (NCM811) loading of 8.5 mg cm 2, the cells exhibit excellent cycling performance, retaining a high capacity after 400 cycles. This innovative QSE design strategy represents a significant advancement towards the development of high-performance QSLMBs. (c) 2024 Science Press and Dalian Institute of Chemical Physics, Chinese Academy of Sciences. Published by Elsevier B.V. and Science Press. All rights are reserved, including those for text and data mining, AI training, and similar technologies.</t>
  </si>
  <si>
    <t>10.1016/j.jechem.2024.09.069</t>
  </si>
  <si>
    <t>WOS:001361917400001</t>
  </si>
  <si>
    <t>Zhao, LY; Dong, QY; Wang, YQ; Xue, GY; Wang, XC; Li, ZY; Shao, H; Chen, HW; Shen, YB; Chen, LW</t>
  </si>
  <si>
    <t>Zhao, Liyi; Dong, Qingyu; Wang, Yueqi; Xue, Guoyong; Wang, Xuechun; Li, Zhiyun; Shao, Hui; Chen, Hongwei; Shen, Yanbin; Chen, Liwei</t>
  </si>
  <si>
    <t>Anion Modulation: Enabling Highly Conductive Stable Polymer Electrolytes for Solid-State Li-Metal Batteries</t>
  </si>
  <si>
    <t>Solid polymer electrolytes (SPEs) are promising ionic conductors for developing high-specific-energy solid-state lithium metal batteries. However, developing SPEs with both high ionic conductivity and interfacial compatibility remains a challenge. Here, we propose a design concept of an anion-modulated polymer electrolyte (termed AMPE) for high-voltage Li metal batteries. Specifically, we design the AMPE by incorporating high-voltage-resistant and high charge density units with an anion receptor unit. The high-voltage-resistant and high charge density segments contribute to achieving a decent voltage tolerance of the polymer chains and ensure sufficient carrier ions. The anion receptor, represented by a boron-containing molecule, promotes the generation of free Li+ by dissociating anion-cation pairs. More importantly, the strong interaction between the electron-deficient B and the TFSI- in the matrix promotes the anion reduction to form a stable anion-derived mosaic-like solid electrolyte interphase on the Li-metal anode. As a result, the AMPE exhibits a high ionic conductivity of 3.80x10-4 S cm-1 and effectively suppresses lithium dendrites, enabling an all-solid-state Li|AMPE|LiCoO2 cell to achieve a cycle life of 700 cycles at an operating voltage of 4.40 V. This design concept would inspire efforts to develop high-performance SPEs for high-specific-energy solid-state lithium metal batteries.</t>
  </si>
  <si>
    <t>Shao, Hui/AFL-7477-2022</t>
  </si>
  <si>
    <t>Shao, Hui/0000-0003-2791-7217</t>
  </si>
  <si>
    <t>1433-7851</t>
  </si>
  <si>
    <t>DEC 20</t>
  </si>
  <si>
    <t>10.1002/anie.202412280</t>
  </si>
  <si>
    <t>WOS:001357989400001</t>
  </si>
  <si>
    <t>Yang, ZF; Li, WL; Zhang, JP</t>
  </si>
  <si>
    <t>Yang, Zhifang; Li, Wenliang; Zhang, Jingping</t>
  </si>
  <si>
    <t>First principles theoretical of designing sandwich-like metallic BP4 monolayer as anode for alkali metal-ion batteries</t>
  </si>
  <si>
    <t>NANOTECHNOLOGY</t>
  </si>
  <si>
    <t>Phosphorene has been widely used as anode material for batteries. However, the huge volume change during charging and discharging process, the semiconductor properties, and the high open circuit voltage limit its application. Based on this, by introducing the electron-deficient boron atoms into blue phosphorene, we proposed a P-rich sandwich-like BP4 monolayer by density functional theory calculation and particle swarm optimization. The BP4 monolayer shows good thermodynamic and dynamic stability, as well as chemical stability in O-2 atmosphere, mainly due to the strengthened P-P bond of the outer layer by the middle boron atoms adopting sp(3) hybridization. According to the band structure, the BP4 monolayer shows metallic property, which is beneficial to electron conductivity. Furthermore, compared with blue phosphorene and black phosphorene, the P-rich BP4 monolayer shows higher theoretical capacity for Li, Na, and K of 1193.90, 1119.28, and 397.97 mA h g(-1), respectively. The lattice constant of BP4 monolayer increases only 3.73% (Li), 2.52% (Na) after Li/Na fully adsorbed on the anode. More importantly, the wettability of BP4 monolayer in the electrolyte is comparable to that of graphene. These findings show that the stable sandwich-like BP4 monolayer has potential as a lightweight anode material.</t>
  </si>
  <si>
    <t>Zhang, Jingping/ABA-4179-2020; Zhang, Jingping/C-1312-2014; Yang, Zhifang/A-1690-2017; Li, Wenliang/F-2907-2014</t>
  </si>
  <si>
    <t>Zhang, Jingping/0000-0001-8004-3673; Li, Wenliang/0000-0002-0864-0358</t>
  </si>
  <si>
    <t>0957-4484</t>
  </si>
  <si>
    <t>1361-6528</t>
  </si>
  <si>
    <t>NOV 18</t>
  </si>
  <si>
    <t>10.1088/1361-6528/ad7145</t>
  </si>
  <si>
    <t>WOS:001304419200001</t>
  </si>
  <si>
    <t>Ahuja, A; Kumar, A; Alam, K; Lohani, H; Sengupta, A; Kumari, P; Thapliyal, K; Major, DT; Mitra, S</t>
  </si>
  <si>
    <t>Ahuja, Aakash; Kumar, Ajit; Alam, Khorsed; Lohani, Harshita; Sengupta, Abhinanda; Kumari, Pratima; Thapliyal, Kritika; Major, Dan T.; Mitra, Sagar</t>
  </si>
  <si>
    <t>Enhancing High-Voltage LNMO Cathode Performance in Li-Metal Batteries Via Anionic Electrolyte Additive-Integrated CEI Engineering</t>
  </si>
  <si>
    <t>An anionic-additive electrolyte system is introduced by incorporating Lithium tetrafluoroborate (LiBF4) into a conventional base electrolyte for high-voltage LiNi0.Mn-5(1).O-5(4) (LNMO) cathodes in lithium-metal batteries. At high voltages, the sacrificial oxidation of LiBF4 mitigates electrolyte degradation and forms a robust cathode electrolyte interface (CEI) enriched with boron and fluorine-based components, which protects against active material corrosion. Density Functional Theory (DFT) studies reveal that BF4- is more readily oxidized, while MD simulations validate the CEI's inorganic composition. Initial cycling with a specialized charge-discharge protocol ensures optimal use of the additive, resulting in a uniform, thin (4-6 nm) CEI on the LNMO cathode. The CEI formed in anionic-additive electrolyte system effectively suppresses transition metal dissolution and surface degradation, enhancing long-term cycling performance. The LiBF4-enhanced electrolyte also lowers overpotential and promotes more uniform Li deposition compared to the base electrolyte. At a 1 C-rate, the LNMO cathode with a Li metal anode and optimized electrolyte achieves a discharge capacity of 115 mA h g(-)(1) and an energy density of 540 Wh kg(-)(1) over 500 cycles. These findings underscore LiBF4's dual role in protecting LNMO cathodes and Li metal anodes, highlighting the critical role of additives in CEI development for advanced lithium-metal batteries.</t>
  </si>
  <si>
    <t>Major, Dan/J-8761-2014; Kumar, Ajit/AAA-2974-2021</t>
  </si>
  <si>
    <t>10.1002/adfm.202416634</t>
  </si>
  <si>
    <t>WOS:001357036100001</t>
  </si>
  <si>
    <t>Li, PG; Liu, ZT; Yang, SS; Meng, T; Peng, YT; Hu, YX; Hu, XL</t>
  </si>
  <si>
    <t>Li, Pingan; Liu, Zetong; Yang, Shanshan; Meng, Tao; Peng, Yitong; Hu, Yuxin; Hu, Xianluo</t>
  </si>
  <si>
    <t>A moisture/acid-purified and thermoregulatory separator promises hygroscopic electrolytes in lithium-ion batteries</t>
  </si>
  <si>
    <t>Organic electrolytes in lithium-ion batteries are typically sensitive to moisture, which adversely impacts their performance, safety, and lifespan. Maintaining low water content (below 20 ppm) during battery production is crucial but often increases production costs, energy consumption, and infrastructure complexity. Here we present a novel thermally conductive and acid-removal (TCAR) separator for mitigating electrolyte moisture sensitivity. This separator comprises a commercial polyethylene matrix coated with boron nitride and a zeolite layer, where the boron nitride nanosheets with high thermal conductivity enhance the uniformity of the internal thermal field and the zeolite layer removes water and hydrofluoric acid in electrolytes. As a result, the cells assembled with the TCAR separator exhibit enhanced durability against high temperatures and electrolyte moisture. Stable cycling of LiNi0.8Co0.1Mn0.1O2||graphite full cells over 200 cycles at 55 degrees C is demonstrated under harsh conditions, including electrolytes containing up to 500 ppm H2O. The TCAR design opens opportunities to develop versatile separators for safe, high-energy lithium-ion batteries.</t>
  </si>
  <si>
    <t>Hu, Xianluo/E-6442-2010; Meng, Tao/ADM-6955-2022; Yang, Shanshan/GSE-5707-2022</t>
  </si>
  <si>
    <t>NOV 15</t>
  </si>
  <si>
    <t>10.1016/j.cej.2024.157564</t>
  </si>
  <si>
    <t>WOS:001357529200001</t>
  </si>
  <si>
    <t>Al-Samet, MAMM; Kara, S; Burgaz, E</t>
  </si>
  <si>
    <t>Al-Samet, Mohammed A. M. M.; Kara, Simge; Burgaz, Engin</t>
  </si>
  <si>
    <t>Enhancement of physical and electrochemical properties of electrospun P (VdF-co-HFP) separators by incorporating magnesium borate for advanced lithium-ion batteries</t>
  </si>
  <si>
    <t>POLYMER</t>
  </si>
  <si>
    <t>In this study, fibrous membrane composites containing poly (vinylidene fluoride-co-hexafluoropropylene) P(VdFco-HFP) copolymer and various amounts of magnesium borate Mg2B2O5 were prepared via electrospinning method. The crystallization behavior, thermal stability, microstructure, porosity, liquid electrolyte uptake and electrochemical performance of electrospun membranes were investigated in detail. X-ray diffraction (XRD) and differential scanning calorimetry (DSC) show that, the crystallinity of P(VdF-co-HFP) tends to decrease with increasing amount of Mg2B2O5 particles. The electrospun membrane containing P(VdF-co-HFP) and 2.5 wt% of Mg2B2O5 demonstrates stronger anti-shrinkage properties compared to those of commercial polypropylene (PP) or pure P(VdF-co-HFP) separators at 140 degrees C. The fibrous membrane consisting of 2.5 wt% Mg2B2O5 exhibits high electrolyte uptake (381 %), low interfacial resistance and good porosity at room temperature (81 %), even after heating at 140 degrees C the porosity becomes 78 %. Moreover, Li||LiFePO4 cell using P(VdF-co-HFP) separator with 2.5 wt% of Mg2B2O5 shows better discharge capacities of 167.5 and 146.8 mAh g- 1 at 0.2 C and 5 C, respectively, compared to those of commercial PP separator which delivers only 158 and 127 mAh g- 1 at 0.2 C and 5 C, respectively. [P(VdF-co-HFP) + 2.5 wt% Mg2B2O5] separator also provides discharge capacity retention of 99.9 % after 100 cycles at 9 C, in comparison with only 87 % for polypropylene separator. Such results reveal that P (VdF-co-HFP) membrane containing 2.5 wt% Mg2B2O5 is a highly promising separator with good safety which can be used in high-performance lithium-ion batteries.</t>
  </si>
  <si>
    <t>ALSAMET, MOHAMMED/KRO-5712-2024; BURGAZ, ENGİN/HKN-9165-2023</t>
  </si>
  <si>
    <t>Burgaz, Engin/0000-0002-3953-6131;</t>
  </si>
  <si>
    <t>0032-3861</t>
  </si>
  <si>
    <t>1873-2291</t>
  </si>
  <si>
    <t>DEC 17</t>
  </si>
  <si>
    <t>10.1016/j.polymer.2024.127798</t>
  </si>
  <si>
    <t>WOS:001356060900001</t>
  </si>
  <si>
    <t>Wang, WQ; Liu, Q; Cui, Z; Zhu, JQ; Gao, ML; Zhang, LJ; Weng, FM; Zou, RJ</t>
  </si>
  <si>
    <t>Wang, Wenqing; Liu, Qian; Cui, Zhe; Zhu, Jinqi; Gao, Mengluan; Zhang, Lingjian; Weng, Fuming; Zou, Rujia</t>
  </si>
  <si>
    <t>Constructing a Functional Fast-Ion Conductor Interface for Vertically Aligned Titanium Boride Nanosheets to Achieve Superior Sodium-Ion Storage Performances</t>
  </si>
  <si>
    <t>Designing excellent anode materials to enhance the sluggish interfacial kinetics of Na+ is a key challenge in improving the electrochemical performance of sodium-ion batteries (SIBs). Herein, an ultra-thin fast-ionic conductor NaB5C coating TiB2 nanoflowers with vertically aligned nanosheet arrays to form yolk-shell TiB2@NaB5C (TBNBC) nanospheres as an anode material for SIBs. The unique structure creates direct and short ion/electron transfer pathways and reserves enough space to prevent the uneven electrochemical reactions from TiB2 nanosheets aggregation and stacking, thus ensuring the long-term cycling stability of SIBs. Additionally, the NaB5C coating with fast-ionic conductor functional interphase provides rapid Na+ transport channels and effectively reduces the Na+ de-solvation barrier, accelerating Na+ reaction kinetics. Furthermore, a homogeneous and robust solid electrolyte interphase (SEI) film including inorganic boron species and fluorine-rich inner layer is constructed on the TBNBC electrode to delocalize stress and induce a uniform Na+ flux, further promoting fast Na+ interphase reaction kinetics. Consequently, the optimized composites achieve ultrastable cycling performances of 173 mAh g(-1) over 5000 cycles at 10 A g(-1). More importantly, they also exhibit an outstanding capacity of 182.2 mAh g(-1) at -20 degrees C. This work offers opportunities for the energy storage use of transition metal borides under extreme conditions.</t>
  </si>
  <si>
    <t>; Zou, Rujia/C-8999-2014; Z, phemoocean/AAI-7530-2021</t>
  </si>
  <si>
    <t>Zou, Rujia/0000-0001-5566-5091;</t>
  </si>
  <si>
    <t>10.1002/adfm.202417457</t>
  </si>
  <si>
    <t>WOS:001355339500001</t>
  </si>
  <si>
    <t>Feng, YH; Liu, MT; Qi, WL; Liu, HL; Liu, Q; Yang, C; Tang, YW; Zhu, X; Sun, S; Li, YM; Chen, TL; Xiao, B; Ji, X; You, Y; Wang, PF</t>
  </si>
  <si>
    <t>Feng, Yi-Hu; Liu, Mengting; Qi, Wenli; Liu, Haoliang; Liu, Qiang; Yang, Chao; Tang, Yongwei; Zhu, Xu; Sun, Shuai; Li, Yuan-Meng; Chen, Tian-Ling; Xiao, Bing; Ji, Xiao; You, Ya; Wang, Peng-Fei</t>
  </si>
  <si>
    <t>Dual-Anionic Coordination Manipulation Induces Phosphorus and Boron-Rich Gradient Interphase Towards Stable and Safe Sodium Metal Batteries</t>
  </si>
  <si>
    <t>High-voltage sodium metal batteries (SMBs) present a viable pathway towards high-energy-density sodium-based batteries due to the competitive cost advantage and abundant supply of sodium resources. However, they still suffer from severe capacity decay induced by the notorious decomposition of the electrolyte under high voltage and unstable cathode/electrolyte interphase (CEI). In addition, the high reactivity of Na metal and flammable electrolytes push SMBs to their safety limits. Herein, a special dual-anion aggregated Na+ solvation structure is designed in a nonflammable trimethyl phosphate-based localized high-concentration electrolyte, and a gradient CEI enriched with phosphorus and boron compounds is formed on the cathode. This thin and stable interphase effectively suppresses the parasitic reaction, improves the interfacial stability of the cathode, and facilitates Na+ transport through the interface by the synergistic effect of multi-components, thus optimizing the cycling stability and safety of SMBs. The Na0.95Ni0.4Fe0.15Mn0.3Ti0.15O2//Na batteries employing such electrolyte provide a discharge capacity of 167.5 mAh g-1 and high retention in the capacity of 85.2 % after 800 cycles at 1 C. This approach offers a general strategy for the design of flame-retardant high-voltage electrolytes and the practical application of SMBs.</t>
  </si>
  <si>
    <t>李, 袁梦/HNI-0931-2023; You, Ya/GWD-0248-2022; Zhu, Xu/IWL-9860-2023; Wang, Peng-Fei/A-7375-2017; TANG, yongwei/LZE-5461-2025; Sun, Shuai/AAF-5625-2021; Xiao, Bing/X-2610-2019; Liu, Mengting/MAI-0837-2025</t>
  </si>
  <si>
    <t>You, Ya/0000-0002-2069-5212; Wang, Peng-Fei/0000-0001-9882-5059; Sun, Shuai/0009-0008-1240-624X; Yang, Chao/0009-0001-4009-9573; Xiao, Bing/0000-0002-6850-1966;</t>
  </si>
  <si>
    <t>JAN 15</t>
  </si>
  <si>
    <t>10.1002/anie.202415644</t>
  </si>
  <si>
    <t>WOS:001357653000001</t>
  </si>
  <si>
    <t>Pavcnik, T; Radi, M; Luzanin, O; Dedryvère, R; Tchitchekova, DS; Ponrouch, A; Bitenc, J; Dominko, R</t>
  </si>
  <si>
    <t>Pavcnik, Tjasa; Radi, Muath; Luzanin, Olivera; Dedryvere, Remi; Tchitchekova, Deyana S.; Ponrouch, Alexandre; Bitenc, Jan; Dominko, Robert</t>
  </si>
  <si>
    <t>Effect of ligand variation on Mg alkoxyborate electrolytes: Does more fluorine help?</t>
  </si>
  <si>
    <t>Mg fluorinated alkoxyborate-based electrolytes are promising candidates for rechargeable Mg batteries. In this work, we investigate a series of Mg alkoxyborates with a different degree of anion fluorination in terms of their physicochemical properties, Mg metal anode, and organic cathode electrochemical performance, as well as Mg metal/electrolyte interphase. The results underscore the significant influence of the anion fluorination degree on the transport properties of electrolytes. Notably, the anion with the lowest degree of fluorination exhibits one order of magnitude lower ionic conductivity than electrolytes with more fluorinated anions. Interestingly, the same electrolyte demonstrates the second-best electrochemical performance, with the Mg plating/stripping efficiency close to 99 %. XPS analysis of the Mg metal deposit surface reveals that the high Coulombic efficiency is associated with a high amount of boron-containing species in the metal/electrolyte interphase of the bestperforming electrolytes. Additionally, it has been noted that inorganic boron species result in a larger interfacial resistivity for Mg plating/stripping compared to boron species in an organic environment. Testing in combination with organic cathodes reveals the superior performance of the most fluorinated electrolyte in terms of cycling stability and Coulombic efficiency. The present work underlines the interplay of different phenomena affecting the overall electrochemical performance of electrolytes and strategies for the design of next-generation Mg electrolytes.</t>
  </si>
  <si>
    <t>Ponrouch, Alexandre/IWD-4879-2023; Tchitchekova, Deyana/JFK-4004-2023; Pavcnik, Tjasa/NBX-3166-2025; Dominko, Robert/K-6476-2019</t>
  </si>
  <si>
    <t>Ponrouch, Alexandre/0000-0002-8232-6324; Bitenc, Jan/0000-0002-0109-8121</t>
  </si>
  <si>
    <t>10.1016/j.jpowsour.2024.235711</t>
  </si>
  <si>
    <t>WOS:001353515600001</t>
  </si>
  <si>
    <t>Cai, KX; Li, FF; He, TW; Wang, XY; Zhao, M; Li, L</t>
  </si>
  <si>
    <t>Cai, Kexing; Li, Feifan; He, Tengwu; Wang, Xiaoyu; Zhao, Min; Li, Lei</t>
  </si>
  <si>
    <t>Tow-way regulation strategy for in-situ electropolymerization additives coordinated by double bonds and boric acid groups in lithium secondary batteries</t>
  </si>
  <si>
    <t>The stability and cycle life of the cathode material directly affect the electrochemical performance of the secondary battery, and the dendrite problem of the anode material greatly destroys its safety. To solve the above problems, here we report a small organic molecule monomer, 2,2-dimethylvinylboronic acid (DEBA) containing carbon-carbon double bonds and boric acid groups as electrolyte additive for lithium secondary battery. The unsaturated carbon-carbon double bonds in DEBA can undergo in-situ electropolymerization during the electrochemical process, forming a polymer network. The electron-deficient boron element can easily combine with the electron-rich lithium salt anion to form a B-F bond. It can promote the transport rate of Li+, alleviate the Li+ concentration gradient at the interface, and achieve uniform and dense deposition on the Li metal surface. The Li//graphite and Li//LiFePO4 half-cell experiments show that DEBA has an excellent tow-way regulation effect. This rationally designed dual-functional electrolyte additive provides a broad prospect for future electrolyte engineering.</t>
  </si>
  <si>
    <t>Zhao, Min/LQJ-8909-2024; He, Tengwu/JUE-9721-2023</t>
  </si>
  <si>
    <t>10.1016/j.cej.2024.156790</t>
  </si>
  <si>
    <t>WOS:001351326300001</t>
  </si>
  <si>
    <t>Zhang, GG; Qiu, PT; Kang, JX; Lu, ZW; Zhu, AQ; Yu, XH; Chen, XN</t>
  </si>
  <si>
    <t>Zhang, Guo-Guo; Qiu, Pengtao; Kang, Jia-Xin; Lu, Zhiwei; Zhu, An-Qi; Yu, Xiaohu; Chen, Xuenian</t>
  </si>
  <si>
    <t>Stable solid-state potassium metal batteries enabled by a KB11H142Me3NBH3 complex electrolyte</t>
  </si>
  <si>
    <t>INORGANIC CHEMISTRY FRONTIERS</t>
  </si>
  <si>
    <t>Solid-state potassium metal batteries have increasingly gained attention as promising alternatives in large-scale energy storage due to their safety and low cost. However, these batteries usually suffer from a lack of suitable K+ conducting solid electrolytes. Herein, a new KB11H142Me3NBH3 complex electrolyte with high ionic conductivity and relative stability against K metal is reported. The crystal structure was solved as a monoclinic P21/c lattice. Density functional theory (DFT) calculations confirm significantly enhanced K-ion diffusion in the structure. High K-ion conductivities of 2.63 x 10-6 S cm-1 at 25 degrees C and 3.25 x 10-4 S cm-1 at 75 degrees C are achieved, putting it among the leading K+ solid conductors. Moreover, it shows favorable interfacial stability against the K metal anode precoated with NH3B3H7. Batteries coupling the TiS2 cathode deliver long-term cycling stability. This work provides a new group of K-ion solid-state electrolytes for safe potassium metal batteries.</t>
  </si>
  <si>
    <t>Lu, Zhiwei/HRA-7748-2023; Qiu, Pengtao/ABB-5118-2021; Chen, Xuenian/C-4111-2018; Yu, Xiaohu/Y-6094-2019</t>
  </si>
  <si>
    <t>2052-1553</t>
  </si>
  <si>
    <t>10.1039/d4qi02372b</t>
  </si>
  <si>
    <t>WOS:001354663800001</t>
  </si>
  <si>
    <t>Chen, YL; Xie, ZYT; Lan, GT; Liu, YJ; He, JR; Li, Z; Wu, C; Xing, LD; Li, WS</t>
  </si>
  <si>
    <t>Chen, Yili; Xie, Zhangyating; Lan, Guangting; Liu, Yanjin; He, Jiarong; Li, Zhao; Wu, Can; Xing, Lidan; Li, Weishan</t>
  </si>
  <si>
    <t>Molecular-level designed single electrolyte additive with multifunctional groups enabling high mechanical properties/fast Li plus kinetics interphase for wide-temperature nickel-rich/graphite batteries</t>
  </si>
  <si>
    <t>High-voltage nickel-rich/graphite full-cells offer significant potential for enhancing the energy density of lithium-ion batteries (LIBs), yet rapid capacity degradation at extreme temperatures remains a critical challenge. We introduce a novel electrolyte additive, 5-(t-butyldimethylsilyloxy)-2-fluorophenylboronic acid pinacol ester (SOFPB), which incorporates multifunctional boron, phenyl-, fluorine, and siloxy groups to tackle this issue. In Li/NCM622 half-cells, 0.3 wt% SOFPB achieves a capacity retention 2.6 times that of the Baseline after 400 cycles at-30 degrees C, and maintains 78.4% and 77.5% capacity after 300 cycles at 25 degrees C and 55 degrees C, respectively, compared to 63.4% and 3.8% for the Baseline. This improvement is attributed to a robust cathode electrolyte interphase (CEI) with high lithium-ion conductivity and oxidative stability. Li/graphite half-cells with SOFPB show rapid capacity recovery at 0 degrees C and retain 99.6% and 72.4% capacity after 500 and 150 cycles at 25 degrees C and 55 degrees C, respectively, compared to 60.3% for the Baseline at 25 degrees C. This performance is due to a flexible solid electrolyte interphase (SEI) that improves lithium-ion diffusion. Furthermore, NCM622/graphite full-cells highlight the practical value of SOFPB, with retention of 91.6%/77.7%/97.7% after 200/150/50 cycles at 25 degrees C/-10 degrees C/55 degrees C, respectively, compared to 52.9%/25.2%/43.9% for the Baseline. The multifunctional design of SOFPB provides valuable insights for developing advanced electrolyte additives for high-voltage LIBs with broad climate adaptability.</t>
  </si>
  <si>
    <t>He, Jiarong/AGZ-5972-2022; chen, yili/JAZ-1293-2023</t>
  </si>
  <si>
    <t>10.1016/j.cej.2024.157218</t>
  </si>
  <si>
    <t>WOS:001350440400001</t>
  </si>
  <si>
    <t>Ma, WJ; Shao, XD; Gan, RH; Zhou, BG; Wang, Y; Zhu, BJ; Song, Y; Xiang, N; Shi, JL; Ma, C</t>
  </si>
  <si>
    <t>Ma, Wenjun; Shao, Xiaodong; Gan, Ruihui; Zhou, Bangguo; Wang, Yue; Zhu, Binji; Song, Yan; Xiang, Ning; Shi, Jingli; Ma, Chang</t>
  </si>
  <si>
    <t>Improving the rate performance of mesophase pitch fluoride by boron anion receptor for lithium/fluorinated carbon primary batteries</t>
  </si>
  <si>
    <t>APPLIED SURFACE SCIENCE</t>
  </si>
  <si>
    <t>Mesophase pitch fluoride (MPF) has emerged as a promising cathode material for lithium/fluorinated carbon primary batteries (Li/CFx) owing to its economic viability and high capacity. However, the rate performance of MPF cathodes is severely compromised by irregular LiF discharge products, which impede lithium-ion diffusion at the electrode interface and within the bulk MPF, significantly limiting the utilization of Li/CFx in high-power devices. Herein, we innovatively employ a boron-based anion receptor electrolyte additive, tri(pentafluorophenyl)borane (TPFPB), to improve the performance of MPF cathode at high-rate discharge conditions. The TPFPB initiates the reconstruction of the MPF electrode, transforming irregular discharge products into uniform boron-doped nano-spherical particles. The unique electrode architecture improves the diffusion rate of Li+ in the cathode, accelerating electrolyte infiltration at the MPF interface and boosting the electrochemical transport kinetics of Li+ ions within the MPF. As expected, the TPFPB additive enables the capacity of the Li/MPF battery to increase from 74 to 340 mA h g- 1 at 5 A g- 1. This work presents an efficient route to improved performance of MPF based-Li/CFx batteries.</t>
  </si>
  <si>
    <t>Shao, Xiaodong/MFH-9670-2025; xiang, ning/HZI-8128-2023; RuiHui, GAN/HNJ-2748-2023</t>
  </si>
  <si>
    <t>Shao, Xiaodong/0009-0004-4218-4175;</t>
  </si>
  <si>
    <t>0169-4332</t>
  </si>
  <si>
    <t>1873-5584</t>
  </si>
  <si>
    <t>FEB 15</t>
  </si>
  <si>
    <t>10.1016/j.apsusc.2024.161636</t>
  </si>
  <si>
    <t>WOS:001350490200001</t>
  </si>
  <si>
    <t>Cuevas, I; Elbouazzaoui, K; Valvo, M; Mindemark, J; Brandell, D; Edström, K</t>
  </si>
  <si>
    <t>Cuevas, Ignacio; Elbouazzaoui, Kenza; Valvo, Mario; Mindemark, Jonas; Brandell, Daniel; Edstrom, Kristina</t>
  </si>
  <si>
    <t>Boron Surface Treatment of Li7La3Zr2O12 Enabling Solid Composite Electrolytes for Li-Metal Battery Applications</t>
  </si>
  <si>
    <t>Despite being promoted as a superior Li-ion conductor, lithium lanthanum zirconium oxide (LLZO) still suffers from a number of shortcomings when employed as an active ceramic filler in composite polymer-ceramic solid electrolytes for rechargeable all-solid-state lithium metal batteries. One of the main limitations is the detrimental presence of Li2CO3 on the surface of LLZO particles, restricting Li-ion transport at the polymer-ceramic interfaces. In this work, a facile way to improve this interface is presented, by purposely engineering the LLZO particle surfaces for a better compatibility with a PEO:LiTFSI solid polymer electrolyte matrix. It is shown that a surface treatment based on immersing LLZO particles in a boric acid solution can improve the LLZO surface chemistry, resulting in an enhancement in the ionic conductivity and cation transference number of the CPE with 20 wt % of boron-treated LLZO particles compared to the analogous CPE with non-treated LLZO. Ultimately, an improved cycling performance and stability in Li//LiFePO4 cells was also demonstrated for the modified material.</t>
  </si>
  <si>
    <t>Edstrom, Kristina/LRC-6790-2024; Mindemark, Jonas/K-7691-2014</t>
  </si>
  <si>
    <t>Brandell, Daniel/0000-0002-8019-2801</t>
  </si>
  <si>
    <t>10.1002/cssc.202401304</t>
  </si>
  <si>
    <t>WOS:001357234500001</t>
  </si>
  <si>
    <t>Jang, DI; Park, YJ</t>
  </si>
  <si>
    <t>Jang, Dae Ik; Park, Yong Joon</t>
  </si>
  <si>
    <t>Modified Lithium Borate Buffer Layer for Cathode/Sulfide Electrolyte Interface Stabilization</t>
  </si>
  <si>
    <t>JOURNAL OF ELECTROCHEMICAL SCIENCE AND TECHNOLOGY</t>
  </si>
  <si>
    <t>All-solid-state rechargeable batteries, using nonflammable sulfide-based solid electrolytes, address lithium-ion battery safety issues while enhancing energy density and operating temperature range. However, the electrochemical stability limitations of sulfide electrolytes present challenges to the interface stability, particularly with oxide-based cathodes. The application of a stable coating layer is known to be effective for stabilizing the cathode/sulfide electrolyte interface. In particular, lithium borate is a promising coating material owing to its cost-effectiveness and efficiency in controlling interfacial reactions. However, lithium borate exhibits oxide characteristics, leading to a difference in the chemical potential of Li+ compared to sulfide electrolytes. This discrepancy results in an uneven distribution of Li+ ions at the interface, which hinders Li-ion migration during charge and discharge cycles. To address this issue, a lithium borate-coating layer was modified with sulfur via a gaseous reaction involving sulfur. Sulfur-modified lithium borate is expected to reduce the chemical potential difference of Li+ and enhance the electrochemical properties. To confirm the effectiveness of sulfur modification, the electrochemical properties of coated and pristine samples were compared via various analysis tools. The results confirmed that sulfur modification can further improve the effect of lithium borate coating in enhancing the rate capability and cyclic performance of a battery. Additionally, it was observed that sulfur modification further reduces interfacial resistance and considerably improves the control of side reactions.</t>
  </si>
  <si>
    <t>2093-8551</t>
  </si>
  <si>
    <t>10.33961/jecst.2024.00591</t>
  </si>
  <si>
    <t>WOS:001310198900009</t>
  </si>
  <si>
    <t>Palluzzi, M; Mannucci, G; Tsurumaki, A; Busato, M; Navarra, MA; D'Angelo, P</t>
  </si>
  <si>
    <t>Palluzzi, Matteo; Mannucci, Giorgia; Tsurumaki, Akiko; Busato, Matteo; Navarra, Maria Assunta; D'Angelo, Paola</t>
  </si>
  <si>
    <t>Insight into physico-chemical properties of oxalatoborate-based ionic liquids through combined experimental-theoretical characterization</t>
  </si>
  <si>
    <t>Ionic liquids (ILs) including oxalatoborate anions, like bis(oxalato)borate (BOB) and difluoro(oxalato)borate (DFOB) are extensively used in the battery sector as additives to promote the formation of protective layers on the surface of high-voltage cathode materials. In this work four ILs have been synthesized: N-ethoxyethyl-N-methylpiperidinium bis(oxalato)borate (PIP1,2O2BOB), N-ethoxyethyl-N-methylpiperidinium difluoro(oxalato)borate (PIP1,2O2DFOB), N-propyl-N-methylpiperidinium bis(oxalato)borate (PIP1,3BOB) and N-propyl-N-methylpiperidinium difluoro(oxalato)borate (PIP1,3DFOB) and their thermal properties have been linked to their structure. The presence of an oxygen atom in the PIP1,2O2 lateral chain suppresses crystallization of the ILs. Furthermore, PIP1,2O2DFOB shows a lower glass transition temperature than PIP1,2O2BOB. These observations have been explained using a combined molecular dynamics and density functional theory approach and an increase in the degree of freedom of the lateral chain of the cation due to the ether oxygen has been found. Comparing PIP1,2O2DFOB and PIP1,2O2BOB, a notable interaction between different domains of the anions is observed and is stronger in the DFOB case due to the charge-delocalization induced by the fluorine atoms, which generates a relatively positive charge on the boron atom. This is correlated to the weaker cation-anion attraction which hinders the glass transition of PIP1,2O2DFOB.</t>
  </si>
  <si>
    <t>; Tsurumaki, Akiko/G-7399-2016; D'Angelo, Paola/AAF-4810-2021; Busato, Matteo/AGE-4830-2022</t>
  </si>
  <si>
    <t>D'Angelo, Paola/0000-0001-5015-8410; Mannucci, Giorgia/0000-0002-6170-3522; Navarra, Maria Assunta/0000-0002-9244-878X; Palluzzi, Matteo/0000-0003-1024-7616</t>
  </si>
  <si>
    <t>10.1039/d4cp02296c</t>
  </si>
  <si>
    <t>WOS:001349902200001</t>
  </si>
  <si>
    <t>Tian, X; Shi, HL; Wang, LF; Shao, LP; Tan, LW</t>
  </si>
  <si>
    <t>Tian, Xing; Shi, Hailing; Wang, Linfeng; Shao, Lupeng; Tan, Liwen</t>
  </si>
  <si>
    <t>Calcium Alginate Fibers/Boron Nitride Composite Lithium-Ion Battery Separators with Excellent Thermal Stability and Cycling Performance</t>
  </si>
  <si>
    <t>MOLECULES</t>
  </si>
  <si>
    <t>As one of the most critical components in lithium-ion batteries (LIBs), commercial polyolefin separators suffer from drawbacks such as poor thermal stability and the inability to inhibit the growth of dendrites, which seriously threaten the safety of LIBs. In this study, we prepared calcium alginate fiber/boron nitride-compliant separators (CA@BN) through paper-making technology and the surface coating method using calcium alginate fiber and boron nitride. The CA@BN had favorable electrolyte wettability, flame retardancy, and thermal dimensional stability of the biomass fiber separator. Meanwhile, the boron nitride coating provided excellent thermal conductivity and mechanical strength for the composite separator, which inhibited the growth of lithium dendrites and enabled lithium-ion symmetric batteries to achieve more than 1000 stable and long cycles at a current density of 0.5 mA cm-2. The interwoven fiber mesh formed by the boron nitride coating and the calcium alginate provided multiple pathways for ion migration, which enhanced the storage capacity of the electrolyte, improved the interfacial compatibility between the separator and the electrode, widened the window of electrochemical stability, and enhanced ionic migration. This eco-friendly bio-based separator paves a new insight for the design of heat-resistance separators as well as the safe running of LIBs.</t>
  </si>
  <si>
    <t>Shi, Hailing/AAW-5351-2021</t>
  </si>
  <si>
    <t>Tan, Liwen/0000-0003-0440-6596</t>
  </si>
  <si>
    <t>1420-3049</t>
  </si>
  <si>
    <t>10.3390/molecules29225311</t>
  </si>
  <si>
    <t>WOS:001365522200001</t>
  </si>
  <si>
    <t>Hou, Z; Zhou, R; Liu, K; Zhu, JW; Zhang, B</t>
  </si>
  <si>
    <t>Hou, Zhen; Zhou, Rui; Liu, Kai; Zhu, Junwu; Zhang, Biao</t>
  </si>
  <si>
    <t>A CaI2-Based Electrolyte Enabled by Borate Ester Anion Receptors for Reversible Ca-Organic and Ca-Se Batteries</t>
  </si>
  <si>
    <t>Passivating solid electrolyte interphases (SEIs) in Ca metal anodes constitute a long-standing challenge, as they block Ca2+ transport and inhibit reversible Ca deposition/stripping. Current solutions focus primarily on boron/aluminum-based electrolytes to mitigate such interfacial issues by producing Ca2+-conductive species, yet the complex synthetic procedure of these salts restricts the widespread application. Moreover, whether any inorganic phases possess decent Ca2+ conductivity within SEIs remains ambiguous. Herein, we report that a commercially available CaI2-dimethoxyethane electrolyte supports reversible Ca/Ca2+ redox reactions via forming CaI2-involved SEI, inspired by our density functional theory calculations where CaI2 species is predicted to possess the lowest Ca2+ diffusion barrier among a range of inorganic phases. We further materialize this finding by introducing a serial of borate ester anion receptors, resulting in the formation of CaI2/borides hybrid SEIs with an enhanced Ca2+ conductivity. Consequently, the resultant electrolytes realize a 7-fold reduction in deposition/stripping overpotential compared to anion receptor-free one, allowing for the construction of reversible Ca-metal full cells with high-capacity selenium and organic cathodes.</t>
  </si>
  <si>
    <t>Hou, Zhen/MAH-9656-2025; Zhu, Junwu/H-2641-2015; Hou, Zhen/HKZ-1713-2023</t>
  </si>
  <si>
    <t>Hou, Zhen/0000-0002-0939-6115</t>
  </si>
  <si>
    <t>JAN 2</t>
  </si>
  <si>
    <t>10.1002/anie.202413416</t>
  </si>
  <si>
    <t>OCT 2024</t>
  </si>
  <si>
    <t>WOS:001346133800001</t>
  </si>
  <si>
    <t>Lu, ZW; Qiu, PT; Zhai, HY; Zhang, GG; Chen, XW; Lu, ZS; Wu, YY; Chen, XN</t>
  </si>
  <si>
    <t>Lu, Zhiwei; Qiu, Pengtao; Zhai, Hanyu; Zhang, Guo-Guo; Chen, Xin-Wei; Lu, Zhansheng; Wu, Yiying; Chen, Xuenian</t>
  </si>
  <si>
    <t>Facile Synthesis of Potassium Decahydrido-Monocarba-closo-Decaborate Imidazole Complex Electrolyte for All-Solid-State Potassium Metal Batteries</t>
  </si>
  <si>
    <t>All-solid-state potassium metal batteries have caught increasing interest owing to their abundance, cost-effectiveness, and high energy/power density. However, their development is generally constrained by the lack of suitable solid-state electrolytes. Herein, we report a new complex KCB9H10 &amp; sdot; 2C3H4N2, synthesized by grinding and heating the mixture of potassium decahydrido-monocarba-closo-decaborate (KCB9H10) and imidazole (C3H4N2) under mild conditions, to achieve the K-ion superionic solid-state electrolyte. The crystal structure was revealed as an orthorhombic lattice with the space group of Pna21 by FOX software. The diffusion properties for K+ in the crystal structure were calculated using the climbing image nudged elastic band (CI-NEB) method. KCB9H10 &amp; sdot; 2C3H4N2 exhibited a high ionic conductivity of 1.3x10-4 S cm-1 at 30 degrees C, four orders of magnitude higher than that of KCB9H10. This ionic conductivity is also the highest value of hydridoborate-based K+ conductors reported. Moreover, KCB9H10 &amp; sdot; 2C3H4N2 demonstrated a K+ transference number of 0.96, an electrochemical stability window of 1.2 to 3.2 V vs. K/K+, and good stability against the K metal coated by a layer of potassium imidazolate (KIm). These great performances make KCB9H10 &amp; sdot; 2C3H4N2 a promising K-ion solid-state electrolyte.</t>
  </si>
  <si>
    <t>Chen, Xuenian/C-4111-2018; Lu, Zhiwei/HRA-7748-2023; Lu (lu zhan sheng), Zhansheng/O-2223-2013; Lu, Zhansheng/O-2223-2013; Chen, Xinwei/ABN-8830-2022; Qiu, Pengtao/ABB-5118-2021</t>
  </si>
  <si>
    <t>Chen, Xuenian/0000-0001-9029-1777; Lu (lu zhan sheng), Zhansheng/0000-0001-5520-6661;</t>
  </si>
  <si>
    <t>DEC 16</t>
  </si>
  <si>
    <t>10.1002/anie.202412401</t>
  </si>
  <si>
    <t>WOS:001344162000001</t>
  </si>
  <si>
    <t>Wang, QX; Liu, FS; Qi, ZG; Qin, GH; Wang, L; He, XM</t>
  </si>
  <si>
    <t>Wang, Qingxiang; Liu, Fusheng; Qi, Zhenguo; Qin, Guohui; Wang, Li; He, Xiangming</t>
  </si>
  <si>
    <t>UV-Triggered In Situ Formation of a Robust SEI on Black Phosphorus for Advanced Energy Storage: Boosting Efficiency and Safety via Rapid Charge Integration Plasticity</t>
  </si>
  <si>
    <t>Black phosphorus (BP) emerges as a highly promising electrode material for next generation of energy-storage systems. Yet, its full potential is hindered by the instability of the solid-electrolyte interphase (SEI) and the inflammability of its liquid systems. Here a pioneering UV-induced in situ strategy is introduced for SEI construction, which leverages rapid electron supply to fracture sulfur-dihalide bonds. This technique yields internal dihalide inorganic components and an external polymer segment, with any excess organic material being purged through pores. The (E)-2-chloro-4-((3 '-chloro-4 '-hydroxyphenyl)diazinyl)phenyl acrylate (CA), with chlorine-terminated groups, is initially in situ transformed into a flame-retardant phenyl carboxylic acid (PCA), and then encapsulated within an ultrathin BP nanostructure, further nested in nitrogen (N), boron (B) co-doped carbon (C) sheets that accommodate cobalt (Co) single atoms/nanoclusters (Co-NBC). The Co-NBC@BP@PCA construct demonstrates an impressive initial Coulombic efficiency (ICE) of 99.1% and maintains exceptional stabilities in terms of mechanical, chemical, and electrochemical performancecritical for prolonged cycle and calendar life. This research sheds light on the interplay between the rapid charge supply integrated in situ plasticity (RSIP) approach and the proactive establishment of an artificial SEI layer, offering profound insights into enhancing the durability and providing a solid foundation for advancements in energy storage technology. The rapid electron supply integrated in situ plasticity (RSIP) approach is ingeniously developed to form a dihalide-rich elastic SEI. The outer in situ polymers layer, ensures mechanical robustness and flame resistance. The inorganics dominated inner layer, facilitates swift ion movement and prevents parasitic reactions. The RSIP strategy holds promise as a prototype for the advancement of enduring and secure PIBs. image</t>
  </si>
  <si>
    <t>; He, Xiangming/A-8316-2008; Wang, Qingxiang/ABI-8009-2020</t>
  </si>
  <si>
    <t>Qin, Guohui/0000-0003-4190-6151; He, Xiangming/0000-0001-7146-4097;</t>
  </si>
  <si>
    <t>10.1002/aenm.202403188</t>
  </si>
  <si>
    <t>WOS:001338257700001</t>
  </si>
  <si>
    <t>Ji, JW; Yan, S; Zhou, Z; Gu, YX; Liu, CZ; Yang, SB; Wang, D; Xue, YM; Tang, CC</t>
  </si>
  <si>
    <t>Ji, Jiawei; Yan, Song; Zhou, Zheng; Gu, Yaxin; Liu, Chaoze; Yang, Shaobo; Wang, Dong; Xue, Yanming; Tang, Chengchun</t>
  </si>
  <si>
    <t>High-surface area active boron nitride nanofiber rich in oxygen vacancies enhanced the interface stability of all-solid-state composite electrolytes</t>
  </si>
  <si>
    <t>JOURNAL OF MATERIALS SCIENCE &amp; TECHNOLOGY</t>
  </si>
  <si>
    <t>Solid electrolytes are the most promising candidate for replacing liquid electrolytes due to their safety and chemical stability advantages. However, a single inorganic or organic solid electrolyte cannot meet the requirements of commercial all-solid-state batteries (ASSBs), which motivates the composite polymer electrolyte (CPE). Herein, a CPE of boron nitride nanofiber (BNNF) with a high specific surface area, rich pore structure, and poly (ethylene oxide) (PEO) are reported. Anions strongly adsorb on the surface of BNNF through electrostatic interactions based on oxygen vacancies, promoting the dissociation of lithium salts at the two-phase interface. The three-dimensional (3D) BNNF network provides three advantages in the CPE, including (i) improving ionic conductivity through strong interaction between polymers and fillers, (ii) improving mechanical properties through weaving a robust skeleton, and (iii) improving stability through a rapid and uniform thermal dispersion pathway. Therefore, the CPE with BNNF delivers high ionic conduction of 4.21 x 10-4 S cm-1 at 60 degrees C and excellent cycling stability (plating/stripping cycles for 20 0 0 h with a low overpotential of similar to 40 mV), which results in excellent electrochemical performance of LiFePO4 (LFP) full cell assembled with CPE-5BNNF-130 0 (152.7 mAh g-1 after 200 cycles at 0.5 C, and 134.8 mAh g-1 at 2.0 C). Furthermore, when matched with high-voltage LiNi0.6 Co0.2 Mn0.2 O2 (NCM622), it also exhibits an outstanding rate capacity of 120.4 mAh g-1 at 1.0 C. This work provides insight into the BNNF composite electrolyte and promotes its practical application for ASSBs. (c) 2024 Published by Elsevier Ltd on behalf of The editorial office of Journal of Materials Science &amp; Technology.</t>
  </si>
  <si>
    <t>Gu, Yaxin/GSE-0868-2022</t>
  </si>
  <si>
    <t>1005-0302</t>
  </si>
  <si>
    <t>1941-1162</t>
  </si>
  <si>
    <t>10.1016/j.jmst.2024.07.051</t>
  </si>
  <si>
    <t>WOS:001342542500001</t>
  </si>
  <si>
    <t>Ma, LL; Tan, J; Ren, ZH; Feng, BJ; Liu, Z; Yi, PS; Cao, SC; Lu, WY; Liu, YS; Ye, CM; Ye, MX; Fang, HY; Shen, JF</t>
  </si>
  <si>
    <t>Ma, Longli; Tan, Jian; Ren, Zhouhong; Feng, Bingjian; Liu, Zhu; Yi, Pengshu; Cao, Shaochong; Lu, Wenyi; Liu, Yongshuai; Ye, Chuming; Ye, Mingxin; Fang, Huayi; Shen, Jianfeng</t>
  </si>
  <si>
    <t>Designing Bilayer Heterostructure Functional Polymer Electrolytes with Interfacial Engineering Strategy for High-Performance Lithium Metal Batteries</t>
  </si>
  <si>
    <t>The uncontrollable lithium (Li) dendrites growth and complex electrode/electrolyte interface (EEI) problems are hindering the further application of high energy density lithium metal batteries (LMBs) in practice. Herein, a bilayer heterostructure gel polymer electrolyte (BGPE) is designed by directly curing functional boron-containing monomers on the electrode surface to ensure excellent conductivity while solving the interface problems, achieving durable high voltage resistance and Li dendrites suppression. The unoccupied p-orbital boron moiety of the 3D crosslinked network in BGPE not only improves the Li+ transference number (0.78), but also enhances the interfacial stability of the Li metal and inhibits the dendrites growth by anchoring PF6- anions and regulating the uniform Li deposition, thus ensuring a long cycle for Li/BGPE/Li cells. In addition, the functional additives tris(trimethylsilyl) phosphite and tris(pentafluorophenyl)borane can preferentially oxidize and decompose to form stable B, F, and Si-rich EEIs, and effectively regulate the uniform growth of EEI. Thus, the LiNi0.5Co0.2Mn0.3O2/BGPE/Li and LiFePO4/BGPE/Li full cells exhibit stable cycling and excellent rate performance. This work provides a guiding design direction to address the EEI problems for high energy density LMBs. A bilayer heterostructure gel polymer electrolyte (BGPE) for lithium metal batteries is prepared by in-situ curing functional boron-containing monomers on the electrode surface with functional additives tris(trimethylsilyl) phosphite and tris(pentafluorophenyl)borane. The multifunctional BGPE exhibits good ionic conductivity, high safety, stable interface without dendrite formation, and improved electrochemical performances. image</t>
  </si>
  <si>
    <t>Liu, Yongshuai/MSZ-8436-2025; Fang, Yuanyuan/ABD-2759-2020</t>
  </si>
  <si>
    <t>10.1002/adfm.202414816</t>
  </si>
  <si>
    <t>WOS:001337571800001</t>
  </si>
  <si>
    <t>Xi, K; Wang, YD; Li, CZ; Lei, Y; Xu, X; Wei, L; Gao, YF</t>
  </si>
  <si>
    <t>Xi, Kang; Wang, Yongdong; Li, Chengzhe; Lei, Yue; Xu, Xin; Wei, Lai; Gao, Yunfang</t>
  </si>
  <si>
    <t>A novel strategy to improve the electrochemical properties of in-situ polymerized 1,3-dioxolane electrolyte in lithium metal batteries</t>
  </si>
  <si>
    <t>The application of solid-state electrolytes (SSEs) is anticipated to enhance the safety performance of lithium metal batteries (LMBs). However, the progress of SSEs has been hindered by the unstable electrode-electrolyte interfaces (EEIs). In this study, in-situ polymerization of 1,3-dioxolane (DOL) is employed for the preparation of SSEs, with the addition of tributyl borate (TBB) to establish stable EEIs, particularly under high-voltage conditions. On one hand, the addition of TBB promotes the dissociation of lithium salts and increases the concentration of free Li+, resulting in an increase in room temperature ionic conductivity to 1.13 x 10-4 S cm-1 and an improvement in the Li+ transference number to 0.69 for the prepared poly-DOL electrolytes (PDE-TBB). Benefiting from the enhanced Li+ transport, the Li/PDE-TBB/Li symmetric cell exhibits a cycle life exceeding 1,000 h with a low polarization voltage as low as 12 mV, and the Li/PDE-TBB/LiFePO4 cell demonstrates exceptional cyclic stability over 800 cycles at 1C, with a coulombic efficiency exceeding 99.8 % and a capacity retention of 89.6 %. On the other hand, PDE-TBB exhibits improved stability under high-voltage conditions and the capacity to establish robust boron-rich cathode electrolyte interphase (CEI) on the LiNi0.8Co0.1Mn0.1O2 (NCM811) surface, thereby enhancing the structural stability of cathode materials and ensuring exceptional cycling performance of Li/PDE-TBB/NCM811cell. This work presents a promising strategy for developing novel ether-based SSEs suitable for high-voltage lithium metal batteries.</t>
  </si>
  <si>
    <t>Xu, Xin/0000-0003-2832-5483</t>
  </si>
  <si>
    <t>A</t>
  </si>
  <si>
    <t>10.1016/j.jcis.2024.10.024</t>
  </si>
  <si>
    <t>WOS:001342009300001</t>
  </si>
  <si>
    <t>Liu, ML; Ying, YR; Liu, JW; Li, C; Hu, RZ; Liu, J; Huang, HT; Zhang, AW; Ma, LT; Ouyang, LZ; Zhu, M</t>
  </si>
  <si>
    <t>Liu, Mili; Ying, Yiran; Liu, Jiangwen; Li, Chen; Hu, Renzong; Liu, Jun; Huang, Haitao; Zhang, Anwei; Ma, Longtao; Ouyang, Liuzhang; Zhu, Min</t>
  </si>
  <si>
    <t>Catalytic Strategies Enabled Rapid Formation of Homogeneous and Mechanically Robust Inorganic-Rich Cathode Electrolyte Interface for High-Rate and High-Stability Lithium-Ion Batteries</t>
  </si>
  <si>
    <t>Lithium iron phosphate (LFP) cathode is renowned for high thermal stability and safety, making them a popular choice for lithium-ion batteries. Nevertheless, on one hand, the fast charge/discharge capability is fundamentally constrained by low electrical conductivity and anisotropic nature of sluggish lithium ion (Li+) diffusion. On the other hand, the interface and internal structural degradation occurs when subjected to high-rate condition. Herein, a multifunctional boron-doping graphene/lithium carbonate (BG/LCO) nanointerfacial layer on surface of commercial LiFePO4 particles is designed, in which the BG layer catalyzes the rapid reaction of Li2CO3-LiPF6 for homogeneous and mechanically robust inorganic LiF-rich structure across the cathode-electrolyte interphase (CEI), forms a conductive network to significantly enhance both electron and Li+ transport, and strengthens the Fe-O bonding to minimize both Fe loss and the formation of Fe-Li antisite defects. Correspondingly, the modified LFP cathode achieves a high capability of 113.2 mAh g(-1) at 10 C and extraordinary cyclic stability with 88.0% capacity retention over 1000 cycles as compared to the pristine LFP cathode with a capacity of only 94.0 mAh g(-1) and 64.6% capacity retention. It also exhibits great enhancements of 20.1% and 3.7% at higher-rate condition (room temperature/15 C) and the low temperature condition (-10 degrees C/1 C), respectively.</t>
  </si>
  <si>
    <t>liu, mili/JFK-9356-2023; Ying, Yiran/O-7320-2018; Ouyang, Liuzhang/K-8371-2012; Ma, Longtao/LSL-4693-2024; Liu, Jun/K-4045-2015; Hu, Renzong/AFR-0950-2022; Zhang, Alex/GWN-2731-2022</t>
  </si>
  <si>
    <t>Liu, Jun/0000-0002-7078-8046;</t>
  </si>
  <si>
    <t>10.1002/aenm.202403696</t>
  </si>
  <si>
    <t>WOS:001338216100001</t>
  </si>
  <si>
    <t>García-Hernández, Z; Molina-Ramírez, O; Rivera-Salinas, JE; Sifuentes-Nieves, I; González-Morones, P; Hernández-Hernández, E</t>
  </si>
  <si>
    <t>Garcia-Hernandez, Zureima; Molina-Ramirez, Oscar; Rivera-Salinas, Jorge E.; Sifuentes-Nieves, Israel; Gonzalez-Morones, Pablo; Hernandez-Hernandez, Ernesto</t>
  </si>
  <si>
    <t>Boron nitride: The key material in polymer composites for electromobility</t>
  </si>
  <si>
    <t>POLYMER COMPOSITES</t>
  </si>
  <si>
    <t>Despite the continuous development and improvement of many technologies and multifunctional materials for the electric powertrain (ePowertrain) for electric vehicles, there are still technical issues and challenges to address such as thermal management in batteries, electric motors, and power electronic devices, as most of their failures are due to poor thermal management. Consequently, conventional engineering polymer materials already used must be replaced since most of them have low thermal conductivity and are therefore limited in performance for thermal management applications. A key solution is to develop highly thermally conductive polymer composites that combine other features, such as flame-retardant, electrical insulation, and mechanical and barrier properties, by incorporating fillers into the polymer matrix. This approach has attracted intensive research efforts. In this review, we first examine the key drivers, trends, and solutions of the ePowertrain segment, emphasizing thermal management. Second, special attention is given to the state-of-the-art boron nitride (BN) polymer composites with current or potential applications in the automotive industry, especially, in batteries, electric motors, and power electronics. Third, analysis and prediction of thermal properties of BN polymer composites by finite element simulation are presented. Finally, outlooks for future research in this field are highlighted.Highlights Thermal management of batteries, electric motors and power electronics, using BN polymer composites, optimizes the functionality of electric vehicles. Cross-linked polymers with BNNSs provide resins for high power motors, film capacitors, and Li-metal battery electrolytes for electric vehicles. Mathematical modeling and life cycle analysis can predict trends and research gaps in ePowertrain applications. Boron nitride in polymer composites optimizes thermal management in ePowertrains, leading to enhanced electric vehicle performance. image</t>
  </si>
  <si>
    <t>; garcia, zureima/AAG-5445-2021; Gonzalez, Pablo/ISB-6073-2023</t>
  </si>
  <si>
    <t>Sifuentes-Nieves, Israel/0000-0002-4616-4161; Garcia Hernandez, Zureima/0000-0003-3388-2348;</t>
  </si>
  <si>
    <t>0272-8397</t>
  </si>
  <si>
    <t>1548-0569</t>
  </si>
  <si>
    <t>10.1002/pc.29106</t>
  </si>
  <si>
    <t>WOS:001331338900001</t>
  </si>
  <si>
    <t>Xu, YQ; Reinholdt, A; Antzutkin, ON; Forsyth, M; Johansson, P; Shah, FU</t>
  </si>
  <si>
    <t>Xu, Yanqi; Reinholdt, Anders; Antzutkin, Oleg N.; Forsyth, Maria; Johansson, Patrik; Shah, Faiz Ullah</t>
  </si>
  <si>
    <t>Ionic Interaction Effects on the Structure and Dynamics of Orthoborate Ionic Materials</t>
  </si>
  <si>
    <t>CRYSTAL GROWTH &amp; DESIGN</t>
  </si>
  <si>
    <t>A series of orthoborate-based ionic materials of bis(glycolato)borate ([BGB]) and bis(ethylene-1,2-dioxy)borate anions ([BEDB]) coupled with tetrabutylphosphonium ([P-4444]) and tetrabutylammonium ([N-4444]) cations have been synthesized, and their physicochemical properties are characterized. The ionic materials based on the most popular orthoborate anion, bis(oxalato)borate anion ([BOB]), which contains four carbonyl groups, are all liquid at ambient temperature, while the bis(glycolato)borate ([BGB]) anion, with two carbonyl groups, and the bis(ethylene-1,2-dioxy)borate ([BEDB]) anion, without carbonyl groups, render solids at ambient temperature. The ionic materials based on the [BGB] anion display the highest decomposition temperatures, and those based on the BEDB anion are the lowest. The [P-4444][BGB], [P-4444][BEDB], and [N-4444][BEDB] salts feature significantly wider plastic phase I temperature ranges than their analogues. FTIR spectroscopy, multinuclear (N-15, P-31, C-13, and B-11) solid-state NMR spectroscopy, and single-crystal X-ray diffraction were all used to unveil the ionic interactions and structural features, which display weaker ionic interactions for [BEDB] compared to [BGB] when bearing the same cation and present relatively higher crystallinity of [P-4444][BGB] among the ionic materials.</t>
  </si>
  <si>
    <t>Shah, Faiz Ullah/K-2172-2019; Johansson, Patrik/A-7660-2010; Forsyth, Maria/ABH-8102-2020; Reinholdt, Anders/B-9494-2015</t>
  </si>
  <si>
    <t>Johansson, Patrik/0000-0002-9907-117X; Xu, Yanqi/0000-0003-3803-2705; Shah, Faiz Ullah/0000-0003-3652-7798; Reinholdt, Anders/0000-0001-6637-8338</t>
  </si>
  <si>
    <t>1528-7483</t>
  </si>
  <si>
    <t>1528-7505</t>
  </si>
  <si>
    <t>OCT 9</t>
  </si>
  <si>
    <t>10.1021/acs.cgd.4c01030</t>
  </si>
  <si>
    <t>WOS:001335821000001</t>
  </si>
  <si>
    <t>Patranika, T; Märker, K; Paul, S; Naylor, AJ; Mindemark, J; Edström, K; Hernández, G</t>
  </si>
  <si>
    <t>Patranika, Tamara; Marker, Katharina; Paul, Subhradip; Naylor, Andrew J.; Mindemark, Jonas; Edstrom, Kristina; Hernandez, Guiomar</t>
  </si>
  <si>
    <t>Interaction of Boron-Based Cross-Linkers with Polymer Binders for Silicon Anodes in Lithium-Ion Batteries</t>
  </si>
  <si>
    <t>Intrinsic self-healing chemistries based on dynamic bonds have been shown to solve many issues in advanced applications, not the least batteries. Herein, we investigate the interactions within a polymer system containing dynamic covalent bonds as cross-linkers and their role when they are used as binders in silicon electrodes. We introduce 1,4-benzenediboronic acid (BDBA) as a cross-linking agent forming boronic ester groups and sodium tetraborate (borax) forming borate ester bonds with poly(vinyl alcohol) (PVA). Silicon electrodes with the cross-linked binders show improved electrochemical performance with a capacity of 1500 mA h g(-1) after 200 cycles compared to PVA alone featuring 1000 mA h g(-1). In contrast, another hydroxyl-containing polymer, carboxymethyl cellulose, able to form the same cross-linking functionalities, showed poorer performance with the addition of BDBA. The choice of polymer and cross-linker not only impacted the cell performance but also the electrode fabrication and morphology. The presence of cross-linkers decreased the electrode cracking of the pristine and cycled electrodes while having little effect on the solid electrolyte interphase composition. Hence, the properties of the polymeric binder system as a whole and the electrode manufacturing process have a significant impact on the cell performance. Solid-state NMR is shown to be a powerful technique to investigate the interaction between the different components and to confirm the formation of boronic ester bonds via the hydroxyl groups of PVA. Furthermore, the presence of silicon particles changes the chemical environment of the boron in BDBA favoring the formation of borate species, which are not present with PVA only, indicating interactions between BDBA and the silicon particles. Hence, PVA in combination with the boron-based cross-linkers, BDBA and borax, provide higher capacity and cycling stability than PVA alone, showing a promising approach to overcome the challenges of silicon anodes using binders with dynamic covalent bonds.</t>
  </si>
  <si>
    <t>Hernandez, Guiomar/AAD-5480-2020; Naylor, Andy/N-7964-2017; Edstrom, Kristina/LRC-6790-2024; Hernandez, Guiomar/E-4922-2015; Mindemark, Jonas/K-7691-2014; Paul, Subhradip/LFR-6288-2024</t>
  </si>
  <si>
    <t>Naylor, Andy/0000-0001-5641-7778; Marker, Katharina/0000-0002-5056-7174; Edstroem, Kristina/0000-0003-4440-2952; Patranika, Tamara/0009-0002-1073-641X; Hernandez, Guiomar/0000-0002-2004-5869; Mindemark, Jonas/0000-0002-9862-7375;</t>
  </si>
  <si>
    <t>OCT 8</t>
  </si>
  <si>
    <t>10.1021/acsapm.4c01523</t>
  </si>
  <si>
    <t>WOS:001331400000001</t>
  </si>
  <si>
    <t>Xia, QC; Kaixin, H; Ma, XX; Qiu, PT; Li, ZY; Chen, XN</t>
  </si>
  <si>
    <t>Xia, Qingchun; Kaixin, Han; Ma, Xuxiao; Qiu, Pengtao; Li, Zhiyong; Chen, Xuenian</t>
  </si>
  <si>
    <t>A tetraphenylborate-based anionic metal-organic framework as a versatile solid electrolyte for fast Li+, Na+, K+, Mg2+, Ca2+, and Zn2+ transportation</t>
  </si>
  <si>
    <t>Tetraphenylborate (BPh4-) has been widely employed in the field of electrolytes and displayed better ionic conductivities in polymer solid-state Li+ conductors. However, the fabrication of tetraphenylborate monomers into metal-organic frameworks (MOFs) and the exploration of their potential in solid-state electrolytes have never been reported. In this work, carboxylic acid functionalized lithium tetraphenylborate was purposefully synthesized and employed to construct an anionic MOF as a solid electrolyte. The counter cation Li+ was encapsulated into the anionic channel to become the free mobile charge carrier that produced a lithium-ion solid electrolyte with outstanding ion conductivity (2.75 x 10(-3) S cm(-1) at 25 degrees C), an impressively high lithium-ion transference number (t(Li)(+) = 0.89), and low activation energy (0.15 eV). Acting as a solid electrolyte, the anionic MOF-based lithium iron phosphate battery delivered an initial specific capacity of 135 mA h g(-1) and retained 95% capacity after 220 charge-discharge cycles with a coulombic efficiency close to 100%. Moreover, by exchanging the free Li+ with Na+, K+, Mg2+, Ca2+, and Zn2+, our anionic MOF is also available for other types of solid electrolytes with the corresponding conductivities all above that of the functional battery electrolyte. Our work provided a convenient and tunable route to prepare conducting MOFs for alkali metal ions, alkaline earth metal ions, and other possible metal cations of interest, which could be used in solid-state electrolytic devices in the future.</t>
  </si>
  <si>
    <t>li, zhiyong/B-3045-2015; Qiu, Pengtao/ABB-5118-2021; Chen, Xuenian/C-4111-2018</t>
  </si>
  <si>
    <t>Xia, Qingchun/0000-0002-4367-9194; Qiu, Pengtao/0000-0001-8982-0803; Chen, Xuenian/0000-0001-9029-1777; Li, Zhiyong/0000-0002-1865-864X</t>
  </si>
  <si>
    <t>10.1039/d4sc02861a</t>
  </si>
  <si>
    <t>WOS:001330173900001</t>
  </si>
  <si>
    <t>Zheng, P; Zhou, W; Mo, Y; Zheng, B; Han, MM; Zhong, Q; Yang, WW; Gao, P; Yang, LZ; Liu, JL</t>
  </si>
  <si>
    <t>Zheng, Peng; Zhou, Wang; Mo, Ying; Zheng, Biao; Han, Miaomiao; Zhong, Qin; Yang, Wenwen; Gao, Peng; Yang, Lezhi; Liu, Jilei</t>
  </si>
  <si>
    <t>Multi boron-doping effects in hard carbon toward enhanced sodium ion storage</t>
  </si>
  <si>
    <t>Hard carbon (HC) has been considered as promising anode material for sodium-ion batteries (SIBs). The optimization of hard carbon's microstructure and solid electrolyte interface (SEI) property are demonstrated effective in enhancing the Na+ storage capability, however, a one-step regulation strategy to achieve simultaneous multi-scale structures optimization is highly desirable. Herein, we have systematically investigated the effects of boron doping on hard carbon's microstructure and interface chemistry. A variety of structure characterizations show that appropriate amount of boron doping can increase the size of closed pores via rearrangement of carbon layers with improved graphitization degree, which provides more Na+ storage sites. In-situ Fourier transform infrared spectroscopy/electrochemical impedance spectroscopy (FTIR/EIS) and X-ray photoelectron spectroscopy (XPS) analysis demonstrate the presence of more BC3 and less B-C-O structures that result in enhanced ion diffusion kinetics and the formation of inorganic rich and robust SEI, which leads to facilitated charge transfer and excellent rate performance. As a result, the hard carbon anode with optimized boron doping content exhibits enhanced rate and cycling performance. In general, this work unravels the critical role of boron doping in optimizing the pore structure, interface chemistry and diffusion kinetics of hard carbon, which enables rational design of sodium-ion battery anode with enhanced Na+ storage performance. (c) 2024 Science Press and Dalian Institute of Chemical Physics, Chinese Academy of Sciences. Published by Elsevier B.V. and Science Press. All rights are reserved, including those for text and data mining, AI training, and similar technologies.</t>
  </si>
  <si>
    <t>gao, peng/JHS-8320-2023; liu, Jilei/M-9681-2016</t>
  </si>
  <si>
    <t>10.1016/j.jechem.2024.09.024</t>
  </si>
  <si>
    <t>WOS:001340278300001</t>
  </si>
  <si>
    <t>Yu, XM; Xiang, JF; Shi, QT; Li, LW; Wang, JQ; Liu, XQ; Zhang, C; Wang, ZP; Zhang, JJ; Hu, HM; Bachmatiuk, A; Trzebicka, B; Chen, J; Guo, TX; Shen, YB; Choi, J; Huang, C; Rümmeli, MH</t>
  </si>
  <si>
    <t>Yu, Xingmiao; Xiang, Jianfei; Shi, Qitao; Li, Luwen; Wang, Jiaqi; Liu, Xiangqi; Zhang, Cheng; Wang, Zhipeng; Zhang, Junjin; Hu, Huimin; Bachmatiuk, Alicja; Trzebicka, Barbara; Chen, Jin; Guo, Tianxiao; Shen, Yanbin; Choi, Jinho; Huang, Cheng; Rummeli, Mark H.</t>
  </si>
  <si>
    <t>Tailoring the Li+ Intercalation Energy of Carbon Nanocage Anodes Via Atomic Al-Doping for High-Performance Lithium-Ion Batteries</t>
  </si>
  <si>
    <t>Graphitic carbon materials are widely used in lithium-ion batteries (LIBs) due to their stability and high conductivity. However, graphite anodes have low specific capacity and degrade over time, limiting their application. To meet advanced energy storage needs, high-performance graphitic carbon materials are required. Enhancing the electrochemical performance of carbon materials can be achieved through boron and nitrogen doping and incorporating 3D structures such as carbon nanocages (CNCs). In this study, aluminum (Al) is introduced into CNC lattices via chemical vapor deposition (CVD). The hollow structure of CNCs enables fast electrolyte penetration. Density functional theory (DFT) calculations show that Al doping lowers the intercalation energy of Li+. The Al-boron (B)-nitrogen (N-doped CNC (AlBN-CNC) anode demonstrates an ultrahigh rate capacity (approximate to 300 mAh g(-1) at 10 A g(-1)) and a prolonged fast-charging lifespan (862.82 mAh g(-1) at 5 A g(-1) after 1000 cycles), surpassing the N-doped or BN-doped CNCs. Al doping improves charging kinetics and structural stability. Surprisingly, AlBN-CNCs exhibit increased capacity upon cycling due to enlarged graphitic interlayer spacing. Characterization of graphitic nanostructures confirms that Al doping effectively tailors and enhances their electrochemical properties, providing a new strategy for high-capacity, fast-charging graphitic carbon anode materials for next-generation LIBs.</t>
  </si>
  <si>
    <t>Rummeli, Mark/F-5152-2013; Zhang, Cheng/D-9787-2017; Trzebicka, Barbara/T-7330-2019; Hu, Huimin/JPQ-1259-2023</t>
  </si>
  <si>
    <t>Bachmatiuk, Alicja/0000-0002-6547-3349</t>
  </si>
  <si>
    <t>10.1002/smll.202406309</t>
  </si>
  <si>
    <t>WOS:001326958200001</t>
  </si>
  <si>
    <t>Setiadhi, D; Beypars, M; Kinaci, YE; Cavdar, K</t>
  </si>
  <si>
    <t>Setiadhi, David; Beypars, Murat; Kinaci, Yunus Emre; Cavdar, Kadir</t>
  </si>
  <si>
    <t>Comparative FEM Study of Thermal Behavior in Sheet Metal and SMC Battery Pack Cases for Electric Vehicles: Insights into Thermal Management Strategies</t>
  </si>
  <si>
    <t>JOURNAL OF THE CHINESE SOCIETY OF MECHANICAL ENGINEERS</t>
  </si>
  <si>
    <t>The electric vehicle (EV) market is rapidly expanding, necessitating the development of efficient and safe battery technologies. The material of the battery pack case is crucial, as thermal management is a primary concern due to thermal runaway risks. This paper compares sheet metal and boron nitride doped sheet molding compound (SMC) for electric vehicle battery pack cases. A verified finite element method (FEM) is used to investigate thermal behavior and potential mitigation strategies. During thermal tests, sheet metal cases conduct heat better for efficient distribution, while SMC cases limit heat spreading due to lower conductivity. In the thermal cyclic test, sheet metal cases react rapidly to temperature changes, unlike SMC cases, which have slower responses. To reduce the risk of thermal runaway, SMC materials with boron nitride doping and hybrid systems featuring microchannels are effective options. This indicates that SMC could serve as a practical substitute for EV battery packs.</t>
  </si>
  <si>
    <t>Cavdar, Kadir/A-4627-2018</t>
  </si>
  <si>
    <t>0257-9731</t>
  </si>
  <si>
    <t>WOS:001351941300006</t>
  </si>
  <si>
    <t>Park, NR; Zhang, MH; Han, B; Li, WK; Qian, K; Nguyen, H; Kumakura, S; Meng, YS</t>
  </si>
  <si>
    <t>Park, Na Ri; Zhang, Minghao; Han, Bing; Li, Weikang; Qian, Kun; Nguyen, Hongnam; Kumakura, Shinichi; Meng, Ying Shirley</t>
  </si>
  <si>
    <t>Understanding Boron Chemistry as the Surface Modification and Electrolyte Additive for Co-Free Lithium-Rich Layered Oxide</t>
  </si>
  <si>
    <t>Lithium-rich layered oxide (LRLO) stands out as a highly promising cathode material for the next generation of Li-ion batteries, owing to its exceptional lithium storage capacity. The absence of cobalt in LRLO's composition provides an additional advantage, enabling cost-effective production and thereby improving the feasibility of large-scale manufacturing. Despite these promising attributes, LRLO has encountered challenges related to poor cycling performance and severe voltage decay, impeding its practical application. In addressing these challenges, a surface modification technique involving lithium borate (LBO) is employed through a dry coating method. The LBO-coated LRLO exhibits a uniform surface layer with a thickness of 15 nm. Furthermore, the performance of LBO-coated LRLO in a full cell is synergistically enhanced when combined with lithium bis(oxalato)borate (LiBOB) as an electrolyte additive. A discharge capacity retention of 82% is achieved after 400 cycles at room temperature. These substantial improvements are attributed to the continual reaction between boron species on the LRLO cathode surface and PF6- anions in the electrolyte. This reaction generates BF4- and suppresses HF acid formation during the high voltage charging process, demonstrating LRLO's potential for practical implementation. Lithium-rich layered oxide (LRLO), modified with a 15 nm lithium borate (LBO) surface modification and using lithium bis(oxalato)borate (LiBOB) as an electrolyte additive, achieves 82% capacity retention after 400 cycles. The surface modification stabilizes the electrode-electrolyte interphase, reducing HF acid formation and enhancing cycling stability for practical Li-ion battery applications. image</t>
  </si>
  <si>
    <t>Kumakura, Shinichi/LTE-8152-2024; Qian, Kun/K-2195-2019; Li, Weikang/V-7745-2019; Meng, Shirley/I-1276-2013; Han, Bing/MVW-0919-2025</t>
  </si>
  <si>
    <t>Meng, Ying Shirley/0000-0001-8936-8845;</t>
  </si>
  <si>
    <t>10.1002/aenm.202401968</t>
  </si>
  <si>
    <t>SEP 2024</t>
  </si>
  <si>
    <t>WOS:001319671400001</t>
  </si>
  <si>
    <t>Zeng, CR; Zheng, RX; Fan, FX; Wang, XX; Tian, GL; Liu, S; Liu, PF; Wang, C; Wang, SH; Shu, CZ</t>
  </si>
  <si>
    <t>Zeng, Chenrui; Zheng, Ruixin; Fan, Fengxia; Wang, Xinxiang; Tian, Guilei; Liu, Sheng; Liu, Pengfei; Wang, Chuan; Wang, Shuhan; Shu, Chaozhu</t>
  </si>
  <si>
    <t>Phase compatible surface engineering to boost the cycling stability of single-crystalline Ni-rich cathode for high energy density lithium-ion batteries</t>
  </si>
  <si>
    <t>Nickel-rich layered oxide is a promising cathode material for the next generation lithium-ion batteries (LIBs) because of its high energy density and cost efficiency. Unfortunately, it suffers from unsatisfying electrochemical performance owing to intrinsic interfacial and structural instability, which limits its application at scale. In this work, a phase compatible TiBO3 coating layer on single crystalline LiNi0.83Co0.11Mn0.06O2 (TBO-SC-NCM) is constructed via modified solid-state chemical reaction. The coating layer serves as a protective screen to mitigate the erosion of organic electrolyte towards TBO-SC-NCM. Furthermore, both titanium ions and boron ions successfully diffuse into the TBO-SC-NCM bulk phase during the annealing process, with titanium ions being uniformly distributed while boron ions accumulating close to the surface. The formation of strong Ti-O bond effectively inhibits the bulk phase structure degradation of TBO-SC-NCM. The near-surface enriched B-O bond greatly stabilizes the surface lattice oxygen at the deeply delithiated state. Additionally, the spread of layer spacing due to the doping of heterogeneous ions ensures the rapid diffusion of Li+, thus improving the rate performance of TBO-SC-NCM. As a h cathode materials.</t>
  </si>
  <si>
    <t>Wang, Xinxiang/JPA-6230-2023; Liu, Pengfei/AAB-5969-2019; Shu, Chaozhu/AAC-2508-2019; wang, shuhan/HNJ-1164-2023</t>
  </si>
  <si>
    <t>Shu, Chaozhu/0000-0003-2120-6238;</t>
  </si>
  <si>
    <t>10.1016/j.ensm.2024.103788</t>
  </si>
  <si>
    <t>WOS:001317021100001</t>
  </si>
  <si>
    <t>Pal, M; Bhowmik, S; Nandi, M</t>
  </si>
  <si>
    <t>Pal, Manjula; Bhowmik, Soumitra; Nandi, Mahasweta</t>
  </si>
  <si>
    <t>Multifunctional B/N/O-co-doped porous spherical carbons to achieve superior capacitive performance with OER activity</t>
  </si>
  <si>
    <t>A series of B, N and O-co-doped samples, CPFP-3/1, CPFP-2/1 and CPFP-1/1, with spherical morphological features have been synthesized by carbonization of a polymer obtained by co-condensation of 1,4-phenylenediamine/formaldehyde/phloroglucinol (PFP) in the presence of tetraethyl orthosilicate. Boric acid (H3BO3) has been used here as an external doping agent to introduce B into the frameworks. To distinguish the properties of the B-doped samples from their undoped counterpart, another sample has been synthesized without the addition of H3BO3 (CPFP-1/0). The materials have been thoroughly characterized by powder X-ray diffraction, nitrogen adsorption/desorption studies, scanning electron microscopy and X-ray photoelectron spectroscopy. All the samples possess a high specific surface area and are predominantly microporous in nature. The electrochemical behaviour of the samples has been studied thoroughly using cyclic voltammetry, galvanostatic charge/discharge studies and impedance spectroscopy in 1 M H2SO4 electrolyte. The specific capacitances of all the samples are high with the values improving as the number of B-atoms (total heteroatoms) increases from CPFP-1/0 to CPFP-3/1, CPFP-2/1 and CPFP-1/1 introducing pseudocapacitive behaviour. CPFP-1/1 with 1 : 1 doping of the polymer with H3BO3 is the best performer showing a specific capacitance of 977 F g-1 at 1 A g-1 and 700 F g-1 at 30 A g-1 with a high discharge time. It has a notable specific energy density of 110 W h kg-1 at a specific power of 449 W kg-1 at 1 A g-1, performance-wise bridging the gap between supercapacitors and batteries. Additionally, beyond the potential window of supercapacitance (0-0.9 V), at higher voltage the material shows water splitting activity through the oxygen evolution reaction. B, N and O-co-doped carbon with a spherical morphology obtained from the carbonization of a polymer of 1,4-phenylenediamine/formaldehyde/phloroglucinol and boric acid shows remarkable energy storage properties along with the ability to split water.</t>
  </si>
  <si>
    <t>; Nandi, Mahasweta/AAU-3462-2020</t>
  </si>
  <si>
    <t>Nandi, Mahasweta/0000-0002-3114-4774;</t>
  </si>
  <si>
    <t>10.1039/d4nj02857k</t>
  </si>
  <si>
    <t>WOS:001314521700001</t>
  </si>
  <si>
    <t>Chen, YB; He, KY; Hao, XD; Du, J</t>
  </si>
  <si>
    <t>Chen, Yubing; He, Kunyao; Hao, Xudong; Du, Jie</t>
  </si>
  <si>
    <t>Boron-containing cross-linker assisted single-ion conducting polymer electrolytes for high-performance and dendrite-free Li-metal batteries</t>
  </si>
  <si>
    <t>Nowadays, single-ion conducting polymer electrolytes for high efficiency, stable, safe and dendrite-free Li-metal batteries are in great need to protect lithium metal anode. In this work, a boron-containing single-ion polymer electrolyte (BSPE), prepared by the copolymerization of allyl diglycol carbonate (ADC), lithium bis((trifluoromethyl)sulfonyl)amide (LiTFSI), and diisopropyl allylboronate (DPAB). The weak coordination interaction between Li+ and polar carbonate enhances Li+ transport ability. Further, the boron-containing cross-linker fixes the counter anions on the polymer backbones, limiting the movement of the anions and promoting the rapid and uniform Li+ transference. The BSPE with 3 wt% DPAB exhibits higher Li+ transference number (t(+) = 0.77) and better ionic conductivity (1.36 x 10(-4) S cm(-1) at 25 degrees C) compared with that without DPAB. The wider electrochemical window (5.6 V vs. Li+/Li), stable polarization and suppressed lithium dendrites during the plating/ stripping cycle at a current density of 0.2 mA cm(-2) for 600 h provide the metal-lithium batteries with better safety and higher efficiency. In addition, the initial discharge capacity of LiFePO4/BSPE/Li is 140.7 mAh g(-1) with 95.2 % coulombic efficiency, and the capacity retention still remains 98.7 % after 200 cycles at 0.1C. The excellent performance endows the BSPE with the potential application in high-performance lithium metal batteries.</t>
  </si>
  <si>
    <t>Du, Jie/IWM-2494-2023</t>
  </si>
  <si>
    <t>10.1016/j.polymer.2024.127576</t>
  </si>
  <si>
    <t>WOS:001308607900001</t>
  </si>
  <si>
    <t>Jacquemond, RR; van der Heijden, M; Boz, EB; Ruiz, ERC; Greco, KV; Kowalski, JA; Perales, VM; Brushett, FR; Nijmeijer, K; Boillat, P; Forner-Cuenca, A</t>
  </si>
  <si>
    <t>Jacquemond, Remy Richard; van der Heijden, Maxime; Boz, Emre Burak; Ruiz, Eric Ricardo Carreon; Greco, Katharine Virginia; Kowalski, Jeffrey Adam; Perales, Vanesa Munoz; Brushett, Fikile Richard; Nijmeijer, Kitty; Boillat, Pierre; Forner-Cuenca, Antoni</t>
  </si>
  <si>
    <t>Quantifying concentration distributions in redox flow batteries with neutron radiography</t>
  </si>
  <si>
    <t>NATURE COMMUNICATIONS</t>
  </si>
  <si>
    <t>The continued advancement of electrochemical technologies requires an increasingly detailed understanding of the microscopic processes that control their performance, inspiring the development of new multi-modal diagnostic techniques. Here, we introduce a neutron imaging approach to enable the quantification of spatial and temporal variations in species concentrations within an operating redox flow cell. Specifically, we leverage the high attenuation of redox-active organic materials (high hydrogen content) and supporting electrolytes (boron-containing) in solution and perform subtractive neutron imaging of active species and supporting electrolyte. To resolve the concentration profiles across the electrodes, we employ an in-plane imaging configuration and correlate the concentration profiles to cell performance with polarization experiments under different operating conditions. Finally, we use time-of-flight neutron imaging to deconvolute concentrations of active species and supporting electrolyte during operation. Using this approach, we evaluate the influence of cell polarity, voltage bias and flow rate on the concentration distribution within the flow cell and correlate these with the macroscopic performance, thus obtaining an unprecedented level of insight into reactive mass transport. Ultimately, this diagnostic technique can be applied to a range of (electro)chemical technologies and may accelerate the development of new materials and reactor designs. Advancing electrochemical technologies requires local information that is not available with traditional techniques. Here, the authors introduce a neutron imaging methodology to visualize concentration distributions in operando nonaqueous redox flow cells, shedding light into reactive mass transport.</t>
  </si>
  <si>
    <t>; van der Heijden, Maxime/KAM-3823-2024; Boillat, Pierre/N-9296-2016</t>
  </si>
  <si>
    <t>Jacquemond, Remy Richard/0000-0002-4788-2915; Munoz Perales, Vanesa/0000-0002-9691-918X; Carreon Ruiz, Eric Ricardo/0000-0001-9527-2890; Boz, Emre B./0000-0002-9660-5279; van der Heijden, Maxime/0000-0003-2250-4042; Brushett, Fikile/0000-0002-7361-6637;</t>
  </si>
  <si>
    <t>2041-1723</t>
  </si>
  <si>
    <t>SEP 5</t>
  </si>
  <si>
    <t>10.1038/s41467-024-50120-7</t>
  </si>
  <si>
    <t>WOS:001307964900019</t>
  </si>
  <si>
    <t>Yang, YS; Wang, XF; Zhu, JC; Tan, LL; Li, N; Chen, YF; Wang, LL; Liu, ZQ; Yao, XY; Wang, XF; Ji, X; Zhu, YJ</t>
  </si>
  <si>
    <t>Yang, Yusi; Wang, Xiaofang; Zhu, Jiacheng; Tan, Lulu; Li, Nan; Chen, Yifan; Wang, Linlin; Liu, Ziqiang; Yao, Xiayin; Wang, Xuefeng; Ji, Xiao; Zhu, Yujie</t>
  </si>
  <si>
    <t>Dilute Electrolytes with Fluorine-Free Ether Solvents for 4.5 V Lithium Metal Batteries</t>
  </si>
  <si>
    <t>The limited oxidation stability of ether solvents has posed significant challenges for their applications in high-voltage lithium metal batteries (LMBs). To tackle this issue, the prevailing strategy either adopts a high concentration of fluorinated salts or relies on highly fluorinated solvents, which will significantly increase the manufacturing cost and create severe environmental hazards. Herein, an alternative and sustainable salt engineering approach is proposed to enable the utilization of dilute electrolytes consisting of fluorine (F)-free ethers in high-voltage LMBs. The proposed 0.8 M electrolyte supports stable lithium plating-stripping with a high Coulombic efficiency of 99.47 % and effectively mitigates the metal dissolution, phase transition, and gas release issues of the LiNi0.8Co0.1Mn0.1O2 (NCM811) cathode upon charging to high voltages. Consequently, the 4.5 V high-loading Li||NCM 811 cell shows a capacity retention of 75.2 % after 300 cycles. Multimodal experimental characterizations coupled with theoretical investigations demonstrate that the boron-containing salt plays a pivotal role in forming the passivation layers on both anode and cathode. The present simple and cost-effective electrolyte design strategy offers a promising and alternative avenue for using commercially mature, environmentally benign, and low-cost F-free ethers in high-voltage LMBs. Through salt modulation, high oxidation stability can be achieved for a 0.8 M dilute electrolyte consisting of a single fluorine (F)-free ether solvent. The boron (B)-containing cathode electrolyte interphase (CEI) and solid electrolyte interphase (SEI) formed by the salt decomposition enable stable cycling of lithium metal batteries with a high-loading LiNi0.8Co0.1Mn0.1O2 (NCM811) cathode at the voltage range of 3-4.5 V. image</t>
  </si>
  <si>
    <t>Yu, Hongwei/L-3754-2017; LIU, ZIQIANG/KFQ-5060-2024; Ji, Xiao/HCH-2937-2022; Zhu, Yujie/MXK-1601-2025; Wang, Linlin/JNS-4602-2023</t>
  </si>
  <si>
    <t>yao, xia yin/0000-0002-2224-4247;</t>
  </si>
  <si>
    <t>10.1002/anie.202409193</t>
  </si>
  <si>
    <t>WOS:001302738100001</t>
  </si>
  <si>
    <t>Godbole, R; Hiwase, S; Hossain, M; Kadam, S; Wable, M; Rane, S; Mondal, S; Das, B; Banerjee, A; Ogale, S</t>
  </si>
  <si>
    <t>Godbole, Rhushikesh; Hiwase, Shweta; Hossain, Mujaffar; Kadam, Supriya; Wable, Minal; Rane, Sunit; Mondal, Sukanta; Das, Bidisa; Banerjee, Abhik; Ogale, Satishchandra</t>
  </si>
  <si>
    <t>Light element (B, N) co-doped graphitic films on copper as highly robust current collectors for anode-free Li metal battery applications</t>
  </si>
  <si>
    <t>APPLIED PHYSICS REVIEWS</t>
  </si>
  <si>
    <t>We have examined the case of light atom (B, N) doped and co-doped graphitic films grown on copper for the anode-free Li Metal Battery (AFLMB) application. For nitrogen doping, the depositions were carried out by laser ablating pure graphite (Gr) in the presence of Nitrogen (N-2) or Ammonia (NH3). In another interesting case, 5 wt. % Boron nitride (BN) was added into the graphite target itself to obtain BN-doped graphite films. It was found that the growth condition mediated film constitution and properties significantly influence the Coulombic efficiency and cycling stability of the cells when tested for AFLMB. The cycle life demonstrated by the cells of pure graphitic film (Gr) was only about 110 cycles, while the N-doped graphite films obtained using N-2 gas (N-2-Gr) exhibited stability up to about 300 cycles. Interestingly the N-doped films obtained using NH3 gas (NH3-Gr) exhibited a stability of 715 cycles and B, N co-doped graphite (BN-Gr) film resulted in an even longer cycle life of 795 cycles. Density functional theory calculations were also performed to deeply understand the interaction and binding energy of Lithium within the undoped and doped graphene sheets modeled through the addition of light elements. It was found that the binding of Li is stronger in the (B, N) co-doped graphene as compared to the N-doped graphene and undoped graphene but much weaker than the B-doped graphene. Therefore, an improved lateral Li diffusion in the (B, N) co-doped graphene is observed where the Li binding strength is optimum resulting in better cycling stability.</t>
  </si>
  <si>
    <t>; Das, Bidisa/MEO-3541-2025; Godbole, Rhushikesh/LTZ-4323-2024</t>
  </si>
  <si>
    <t>, SUKANTA MONDAL/0009-0002-9704-5741; Hiwase, Shweta/0009-0002-1040-3594; Rane, Sunit/0000-0001-9064-0578; Wable, Minal/0000-0002-0012-9977; Godbole, Rhushikesh/0000-0003-2025-6057; Das, Bidisa/0000-0001-6002-6390</t>
  </si>
  <si>
    <t>1931-9401</t>
  </si>
  <si>
    <t>10.1063/5.0208785</t>
  </si>
  <si>
    <t>WOS:001306968900003</t>
  </si>
  <si>
    <t>Fang, GH; Liu, Y; Pan, Y; Yang, HW; Wu, MX</t>
  </si>
  <si>
    <t>Fang, Guihuang; Liu, Ying; Pan, Ying; Yang, Hongwei; Wu, Maoxiang</t>
  </si>
  <si>
    <t>Boron-deficient molecules tailored inorganic-rich cathode/electrolyte interfaces for stable Li||LiFe0.2Mn0.8PO4 battery</t>
  </si>
  <si>
    <t>Tributyl borate (TBB) is among the widely used film-forming electrolyte additives in lithium-ion batteries (LIBs). It possesses the capability to produce an inorganic solid electrolyte interphase with abundant polar boron-containing compounds, functioning as a solid electrolyte interlayer (or cathode electrolyte interlayer), thus effectively isolating the electrode material from the electrolyte and averting parasitic reactions. Herein, the TBB could contribute to the formation of an inorganic solid electrolyte interphase rich in polar B-F and B-O bonds, thus enhancing the stability of the interface between the electrolyte and cathode materials. The findings demonstrate that the inclusion of 0.5 wt% TBB significantly enhances the stability of the electrode/electrolyte interface in Li &amp; Vert;LiMn0.8Fe0.2PO4 batteries. After 600 cycles, the specific capacity reaches 107.9 mAh g(-1) with a capacity retention of 86.45%. This indicates outstanding electrochemical performance and excellent cycling stability. Consequently, TBB exhibits potential as an electrolyte additive for future high-energy density lithium batteries.</t>
  </si>
  <si>
    <t>yang, hongwei/ABF-4592-2021</t>
  </si>
  <si>
    <t>10.1007/s11581-024-05792-y</t>
  </si>
  <si>
    <t>AUG 2024</t>
  </si>
  <si>
    <t>WOS:001298723800001</t>
  </si>
  <si>
    <t>Khan, H; Jaiswal, N; Nikhil, C; Rao, MSR; Kothandaraman, R</t>
  </si>
  <si>
    <t>Khan, Harun; Jaiswal, Nandini; Nikhil, C.; Rao, M. S. Ramachandra; Kothandaraman, R.</t>
  </si>
  <si>
    <t>Conformal coating of PbO2 around boron doped diamond coated carbon felt positive electrode for stable and high-capacity operation of soluble lead redox flow battery</t>
  </si>
  <si>
    <t>The commercialization of soluble lead redox flow battery (SLRFB) is challenging due to its limited cycle life, lower areal capacity, Pb dendrite formation, and positive electrode corrosion. However, improvements are made to a certain extent by employing additives chemistry in terms of electrolyte modification. One of the major problems in SLRFB is carbon corrosion at higher current densities. Therefore, electrode modification, specifically on the positive side, is required to improve the cyclability of SLRFB further. There is minimal literature on this aspect. Given this, efforts are being made to enhance the electrochemical performance of SLRFB by employing a boron doped diamond (BDD) coated carbon felt (CF) as the positive electrode. The BDD coated CF electrode possesses a high surface area (7.1 m(2)g(-1)) compared to bare CF (0.6 m(2)g(-1)), i.e., BDD creates porous morphology, which enables a high mass transfer and hence reduces concentration polarisation. BDD coating on the CF delays the OER and reduces the overpotential for PbO2 deposition/dissolution. The cell with BDD coated CF electrode is successfully cycled for &gt;300 charge/discharge cycles @ 40 mA cm(-2) with average coulombic efficiency (CE), voltage efficiency (VE) and energy efficiency (EE) of 97 %, 71 % and 69 % respectively. The EE is improved by 8 % in the presence of BDD coated CF as compared to CF electrode. SLRFB cell with BDD coated CF electrode has reached 80 mAh cm(-2) areal capacity.</t>
  </si>
  <si>
    <t>OCT 10</t>
  </si>
  <si>
    <t>10.1016/j.est.2024.113304</t>
  </si>
  <si>
    <t>WOS:001320979000001</t>
  </si>
  <si>
    <t>Kim, SH; Kim, M; Kristanto, I; Kim, WY; Ryu, K; Kim, H; Ma, KY; Heo, C; Kim, H; Kwak, SK; Meng, YS; Shin, HS; Lee, SY</t>
  </si>
  <si>
    <t>Kim, Seung-Hyeok; Kim, Minsu; Kristanto, Imanuel; Kim, Won-Yeong; Ryu, Kun; Kim, Hong-, I; Ma, Kyung Yeol; Heo, Cheol; Kim, Hyeongjoon; Kwak, Sang Kyu; Meng, Ying Shirley; Shin, Hyeon Suk; Lee, Sang-Young</t>
  </si>
  <si>
    <t>Horizontal Lithium Electrodeposition on Atomically Polarized Monolayer Hexagonal Boron Nitride</t>
  </si>
  <si>
    <t>Both uncontrolled Li dendrite growth and corrosion are major obstacles to the practical application of Li-metal batteries. Despite numerous attempts to address these challenges, effective solutions for dendrite-free reversible Li electrodeposition have remained elusive. Here, we demonstrate the horizontal Li electrodeposition on top of atomically polarized monolayer hexagonal boron nitride (hBN). Theoretical investigations revealed that the hexagonal lattice configuration and polarity of the monolayer hBN, devoid of dangling bonds, reduced the energy barrier for the surface diffusion of Li, thus facilitating reversible in-plane Li growth. Moreover, the single-atom-thick hBN deposited on a Cu current collector (monolayer hBN/Cu) facilitated the formation of an inorganic-rich, homogeneous solid electrolyte interphase layer, which enabled the uniform Li+ flux and suppressed Li corrosion. Consequently, Li-metal and anode-free full cells containing the monolayer hBN/Cu exhibited improved rate performance and cycle life. This study suggests that the monolayer hBN is a promising class of underlying seed layers to enable dendrite- and corrosion-free, horizontal Li electrodeposition for sustainable Li-metal anodes in next-generation batteries.</t>
  </si>
  <si>
    <t>; Lee, Sang/D-8784-2011; Kwak, Sang Kyu/G-6224-2010; Kristanto, Imanuel/KLE-0432-2024; Kim, Won-Yeong/IST-3148-2023; Meng, Shirley/I-1276-2013; Kwak, Sang/G-6224-2010</t>
  </si>
  <si>
    <t>Meng, Ying Shirley/0000-0001-8936-8845; KIM, HONG EE/0009-0003-4614-8369; Kwak, Sang Kyu/0000-0002-0332-1534; Ma, Kyung Yeol/0000-0003-4652-1912</t>
  </si>
  <si>
    <t>AUG 20</t>
  </si>
  <si>
    <t>10.1021/acsnano.4c05208</t>
  </si>
  <si>
    <t>WOS:001295126600001</t>
  </si>
  <si>
    <t>Su, W; Wang, DX; Li, YH; Mao, HC; Wei, BX; Xu, SY; Lu, SG; Guo, BK; Lyu, Y</t>
  </si>
  <si>
    <t>Su, Wei; Wang, Dongxiao; Li, Yuanhang; Mao, Huican; Wei, Bingxin; Xu, Shuyin; Lu, Shigang; Guo, Bingkun; Lyu, Yingchun</t>
  </si>
  <si>
    <t>Design and Reaction Mechanism of Rechargeable Lithium-Carbon Fluoride Battery</t>
  </si>
  <si>
    <t>Recharging primary batteries is of great importance for increasing the energy density of energy storage systems to power electric aircraft and beyond. Carbon fluoride (CFx) cathodes are characterized by high specific capacity and energy density (865 mAh g(-1) and 2180 Wh kg(-1), respectively). Preventing the crystallization of LiF with an intermediate and lowering the energy barrier from LiF to CFx is expected to render the Li/CFx battery reversible. In this study, taking the advantage of a high-voltage-stable all-fluorinated electrolyte containing the boron-based anion receptor tris(trimethylsilyl)borate (TMSB), a rechargeable Li/CFx battery was realized with a reversible capacity of 465.9 mAh g(-1) and an energy density of 1183.9 Wh kg(-1), approximately 53% of that in the first discharge. After the first discharge, the charge-discharge profile featured rechargeable characteristics. In situ X-ray diffraction, ex situ soft X-ray absorption spectroscopy, pair distribution function analysis, and other measurements confirmed the generation and decomposition of Li-F and C-F bonds during cycling. Density functional theory calculations and nuclear magnetic resonance spectroscopy confirmed that TMSB serves as an anion carrier through the generation of a [TMSB-F](-) complex, facilitating the conversion reactions during cycling. This study demonstrated a facile and low-cost approach for realizing high-energy-density, reversible Li/CFx batteries.</t>
  </si>
  <si>
    <t>Lyu, Yingchun/F-9893-2015; WANG, Dongxiao/ABB-1814-2020; Mao, Huican/NUQ-0091-2025; Wei, Su/GVU-1025-2022</t>
  </si>
  <si>
    <t>Lyu, Yingchun/0000-0003-3229-1175;</t>
  </si>
  <si>
    <t>10.1021/acsnano.4c08836</t>
  </si>
  <si>
    <t>WOS:001295117600001</t>
  </si>
  <si>
    <t>Yuan, ZX; Zhang, YL; Zhang, H; Zhang, SJ; Wang, D; Zhang, BT; Zhang, JJ; Cui, GL</t>
  </si>
  <si>
    <t>Yuan, Zhixiang; Zhang, Yalan; Zhang, Hao; Zhang, Shijie; Wang, Duo; Zhang, Botao; Zhang, Jianjun; Cui, Guanglei</t>
  </si>
  <si>
    <t>Bacterial Cellulose Separator with High Young's Modulus Effectively Inhibits Lithium Dendrites</t>
  </si>
  <si>
    <t>ACTA CHIMICA SINICA</t>
  </si>
  <si>
    <t>Separators play a critical role in isolating anodes and cathodes for lithium battery. However, commercialized polyolefin-based separators often suffered from poor electrolyte wettability, inferior dimentionally thermal stability, especially the low Young's modulus of polyolefin-based separators cannot effectively inhibit the growth of lithium dendrites, which limits their large-scale practical application in lithium metal batteries. Therefore, a novel separator with high Young's modulus which can be applied to lithium metal batteries is urgently needed. Bacterial cellulose is a porous, nanoscale biopolymer, which is synthesized mainly by micro-organisms such as bacillus xylosus. Compared with plant-derived cellulose, bacterial cellulose exhibits high crystallinity, high thermal stability, high electrolyte absorption, high porosity, and excellent mechanical strength. Considering the above advantages, bacterial cellulose-based bacterial cellulose separators have the potential to be effectively suited in lithium metal batteries. Herein, we demonstrate a novel kind of bacterial cellulose separator. Firstly, the structure of the prepared bacterial cellulose separator is characterized using scanning electron microscopy (SEM), atomic force microspocy (AFM) and X-ray diffraction (XRD), which shows a three-dimensional interpenetrating network structure, suggesting that it is favourable for achieving wetting of the electrolyte and providing more ionic conduction pathways. In addition, this bacterial cellulose separator with high Young's modulus, excellent dimentionally thermal stability and outstanding electrolyte wettability was prepared by a sample process. It is demonstrated that the resultant separator exhibits excellent mechanical strength (144 MPa), high Young's modulus (8.1 GPa) and superior thermal dimentionally stability (&gt;= 300 degree celsius). Meanwhile, Li/Li cells using this bacterial cellulose separator and conventional organic carbonate-based electrolyte can achieve a steady lithium plating/stripping behavior over 4000 h at a current rate of 0.52 mA center dot cm(-2) and 1.56 mAh center dot cm(-2). Such improved reliability is chiefly attributed to the high Young's modulus of bacterial cellulose separator and the formed stable solid electrolyte interphase (SEI) which rich in inorganic components such as boron oxides, LiF and Li2O. More intriguingly, this separator delivers an excellent cycling performance in LiFePO4/Li battery, stable cycling for 100 cycles with a low ca- pacity loss at 1 C. These fascinating characteristics indicate this separator is a promising material for high-energy-density lithium metal batteries.</t>
  </si>
  <si>
    <t>Zhang, Botao/H-7712-2016; Cui, Guanglei/AAS-7889-2021; /AAE-3862-2020</t>
  </si>
  <si>
    <t>0567-7351</t>
  </si>
  <si>
    <t>10.6023/A24040141</t>
  </si>
  <si>
    <t>WOS:001338843300003</t>
  </si>
  <si>
    <t>Liu, ZM; Wang, R; Yu, JY; Miao, ZR; Xu, ZJ; Ren, JG; Chen, SL; Liu, TX</t>
  </si>
  <si>
    <t>Liu, Zhanming; Wang, Rui; Yu, Jiayi; Miao, Zhengrui; Xu, Zijian; Ren, Jianguo; Chen, Suli; Liu, Tianxi</t>
  </si>
  <si>
    <t>Asymmetric fireproof gel polymer electrolyte constructed by boron-contained covalent organic framework for dendrite-free sodium metal battery</t>
  </si>
  <si>
    <t>NANO RESEARCH</t>
  </si>
  <si>
    <t>Gel polymer electrolytes (GPEs) with flexibility, easy processability, and low cost have been regarded as promising alternatives for conventional liquid electrolytes in next-generation sodium metal batteries (SMBs). However, GPEs often suffer from combustion risk and inferior interfacial compatibility toward Na metal anode, which severely limit their wide commercial applications. Here, a rational design of asymmetric fireproof GPE (AFGPE) modified with a boron-contained covalent organic framework (BCOF) on one side is developed through in-situ crosslinking polymerization process. Benefiting from the unique structure and composition, the resulting AFGPE exhibits high Na+ transference number, wide electrochemical window, excellent mechanical properties and high safety. Especially, the nanoscale BCOF layer with uniform nanochannels works as ion sieve that homogenizes Na+ flux during Na plating process, while the abundant Lewis-acid B sites can strongly capture counter anions and decrease space charge layer at anode side, thus promoting the uniform Na deposition to effectively suppress dendrite growth. Consequently, the Na/AFGPE/Na symmetric cells demonstrate remarkable cycling stability for over 1200 h at 0.1 mAcm-2, and the solid-state SMBs exhibit outstanding cycling properties and rate capability, delivering a high capacity retention of 96.4% under current density of 1 C for over 1000 cycles.</t>
  </si>
  <si>
    <t>Yu, Jiayi/LCD-4459-2024; Xu, Zijian/HHZ-7926-2022; ren, jianguo/KHY-2572-2024</t>
  </si>
  <si>
    <t>1998-0124</t>
  </si>
  <si>
    <t>1998-0000</t>
  </si>
  <si>
    <t>10.1007/s12274-024-6910-0</t>
  </si>
  <si>
    <t>WOS:001290059700001</t>
  </si>
  <si>
    <t>Zhang, DF; Ma, JB; Zhang, C; Liu, M; Yang, K; Li, YH; Cheng, X; Wang, ZQ; Wang, HQ; Lv, W; He, YB; Kang, FY</t>
  </si>
  <si>
    <t>Zhang, Danfeng; Ma, Jiabin; Zhang, Chen; Liu, Ming; Yang, Ke; Li, Yuhang; Cheng, Xing; Wang, Ziqiang; Wang, Huiqi; Lv, Wei; He, Yan-Bing; Kang, Feiyu</t>
  </si>
  <si>
    <t>A novel cathode interphase formation methodology by preferential adsorption of a borate-based electrolyte additive</t>
  </si>
  <si>
    <t>NATIONAL SCIENCE REVIEW</t>
  </si>
  <si>
    <t>The coupling of high-capacity cathodes and lithium metal anodes promises to be the next generation of high-energy-density batteries. However, the fast-structural degradations of the cathode and anode challenge their practical application. Herein, we synthesize an electrolyte additive, tris(2,2,3,3,3-pentafluoropropyl) borane (TPFPB), for ultra-stable lithium (Li) metal||Ni-rich layered oxide batteries. It can be preferentially adsorbed on the cathode surface to form a stable (B and F)-rich cathode electrolyte interface film, which greatly suppresses the electrolyte-cathode side reactions and improves the stability of the cathode. In addition, the electrophilicity of B atoms in TPFPB enhances the solubility of LiNO3 by 30 times in ester electrolyte to significantly improve the stability of the Li metal anode. Thus, the Li||Ni-rich layered oxide full batteries using TPFPB show high stability and an ultralong cycle life (up to 1500 cycles), which also present excellent performance even under high voltage (4.8 V), high areal mass loading (30 mg cm-2) and wide temperature range (-30 similar to 60 degrees C). The Li||LiNi0.9Co0.05Mn0.05O2 (NCM90) pouch cell using TPFPB with a capacity of 3.1 Ah reaches a high energy density of 420 Wh kg-1 at 0.1 C and presents outstanding cycling performance. Boron-based electrolyte additives are preferentially adsorbed on cathode surface to form a stable cathode electrolyte interface, which greatly suppresses side reactions of electrolyte with high-voltage cathode and improves their stability.</t>
  </si>
  <si>
    <t>Li, Yu/H-3048-2018; Liu, Ming/AAQ-9399-2020; Kang, Feiyu/AFH-4369-2022; Wang, Huiqi/C-2960-2017; ZHANG, Danfeng/JXN-1821-2024; He, Yanbing/AFQ-3143-2022; Lv, Wei/M-1964-2013; Zhiqiang, Wang/KEJ-2637-2024</t>
  </si>
  <si>
    <t>2095-5138</t>
  </si>
  <si>
    <t>2053-714X</t>
  </si>
  <si>
    <t>AUG 9</t>
  </si>
  <si>
    <t>nwae219</t>
  </si>
  <si>
    <t>10.1093/nsr/nwae219</t>
  </si>
  <si>
    <t>WOS:001288904200003</t>
  </si>
  <si>
    <t>Pathreeker, S; Snyder, CA; Papamokos, GV; Composto, RJ</t>
  </si>
  <si>
    <t>Pathreeker, Shreyas; Snyder, Colby A.; Papamokos, George V.; Composto, Russell J.</t>
  </si>
  <si>
    <t>The Effect of Boron Nitride Flakes on Sodium Ion Transport in PEO Electrolytes</t>
  </si>
  <si>
    <t>Improving the total ionic conductivity (sigma) of solid polymer electrolytes (SPEs) is critical to the development of solid-state sodium (Na) batteries. In this work, we investigate the effect of two-dimensional (2D), dual-Lewis hexagonal boron nitride (h-BN) filler on polymer structure and ion transport properties of P(EO)(24):Na+ and P(EO)(4):Na+ mixtures of poly(ethylene oxide) (PEO)-bis (fluorosulfonylimide) (NaFSI). Below the critical percolation concentration threshold for the h-BN flakes, X-ray diffraction and differential scanning calorimetry studies show that an increase in h-BN concentration initially induces an increase in PEO crystallinity followed by a decrease due to competing effects between heterogeneous nucleation of PEO lamellae and its spherulitic confinement, respectively. Raman spectroscopy reveals that h-BN improves NaFSI dissociation in the semi-dilute SPEs which is supported by density functional theory calculations. Our calculations suggest that PEO can almost fully dissociate a NaFSI molecule with a coordination number of 6. We propose an h-BN-assisted mechanism to explain this observation, wherein h-BN aids PEO in better matching the dissociation energy of the NaFSI salt by virtue of its dual-Lewis surface chemistry. A corresponding 4x increase in sigma is observed for the P(EO)(24):Na+ SPEs using electrochemical impedance spectroscopy. The P(EO)(4):Na+ SPEs do not show this increase, which is likely due to a significantly different local solvation environment wherein contact ion pairs and aggregates (AGGs) dominate. Our findings highlight the role of filler chemistry in the design and development of composite solid polymer electrolytes for Na batteries.</t>
  </si>
  <si>
    <t>; Papamokos, George/S-8889-2019</t>
  </si>
  <si>
    <t>Snyder, Colby/0009-0005-0956-7403; Composto, Russell/0000-0002-5906-2594; Papamokos, George/0000-0002-7671-2798; Pathreeker, Shreyas/0000-0001-7589-5345</t>
  </si>
  <si>
    <t>10.1021/acs.chemmater.4c01192</t>
  </si>
  <si>
    <t>WOS:001286270200001</t>
  </si>
  <si>
    <t>Yuan, JH; Zhang, YZ; Chen, FZ; Gu, ZR</t>
  </si>
  <si>
    <t>Yuan, Jiahui; Zhang, Yizi; Chen, Fuzhou; Gu, Zhengrong</t>
  </si>
  <si>
    <t>An overview of Joule heating in energy storage materials and applications</t>
  </si>
  <si>
    <t>JOURNAL OF MATERIALS CHEMISTRY C</t>
  </si>
  <si>
    <t>Joule heating, a fundamental process converting electrical energy into heat, can be used to prepare many materials for energy storage. This review explores the multifaceted role of Joule heating. The application of Joule heating in the preparation of graphene, graphene oxide fibers, metastable 2D materials, boron carbon nitride and carbon nanotubes, as well as optimization and regeneration of energy storage materials, is summarized. Also, we focus on various energy storage systems such as batteries, supercapacitors, electrode material recycling, solid-state electrolytes and current collectors. Additionally, this paper discusses the applications, principles, advantages, and challenges of Joule heating, aimed at enhancing the overall performance and longevity of energy storage materials. By amalgamating crucial insights from existing research, this review aims to comprehensively understand the role and significance of Joule heating in energy storage technologies for energy material applications. This review summarizes the transformative impact of Joule heating on the synthesis of energy storage materials and their applications in battery electrodes, supercapacitors, solid-state electrolytes, electrode recycling and current collectors.</t>
  </si>
  <si>
    <t>; Gu, Jimmy/N-4439-2019; Zhang, Yizi/LWK-3680-2024</t>
  </si>
  <si>
    <t>Gu, zhengrong/0000-0003-1860-2651;</t>
  </si>
  <si>
    <t>2050-7526</t>
  </si>
  <si>
    <t>2050-7534</t>
  </si>
  <si>
    <t>SEP 26</t>
  </si>
  <si>
    <t>10.1039/d4tc01736f</t>
  </si>
  <si>
    <t>WOS:001310243200001</t>
  </si>
  <si>
    <t>Dong, HL; Cui, WW; Huang, YL; Xin, C; Ding, YB</t>
  </si>
  <si>
    <t>Dong, Haolin; Cui, Weiwei; Huang, Yunlong; Xin, Chen; Ding, Yubo</t>
  </si>
  <si>
    <t>Preparation of thermally conductive polyimide/aluminum oxide/boehmite composite separators for enhancing lithium-ion battery safety and performance</t>
  </si>
  <si>
    <t>This study endeavors to enhance the safety of lithium-ion batteries (LIBs) by synthesizing a polyamide acid (PAA)/Al2O3 composite spinning solution using 4,4 '-diaminodiphenyl ether (ODA) and pyromellitic anhydride (PMDA) as monomers, and nano-Al2O3 as a thermal conductivity filler. Subsequently, the PAA/Al2O3 fiber membrane is fabricated via electrostatic spinning, followed by gradient heating imidization to produce a polyimide (PI)/Al2O3 composite membrane. This membrane is then dipped into a boron nitride (BM) slurry to ultimately yield an organic-inorganic PI/Al2O3/BM composite separator with superior flame-retardant and thermal conductivity properties. The thermal stability, flame retardancy, electrolyte wettability, mechanical integrity, and cycle rate performance of the composite membranes are rigorously evaluated. The results demonstrate that the PI/5% Al2O3/BM composite membrane exhibits the most favorable overall performance, with no shrinkage observed at 200 degrees C and no significant changes after sustained ignition for 10 s. The incorporation of the thermal conductivity Al2O3 filler significantly enhances the heat transfer properties of the composite separator. The room temperature ionic conductivity reaches 2.786 mS cm-1 after electrolyte absorption, and the initial discharge capacity of the assembled battery is 156.28 mAhg-1. Following 100 charge/discharge cycles at 0.2C, the capacity retention rate is 97.7%, and at a discharge rate of 5C, the capacity retention rate is 74.9%. Fabrication process of an organic-inorganic PI/Al2O3/BM composite separator with enhanced flame-retardant and thermal conductivity properties. image</t>
  </si>
  <si>
    <t>; Dong, Haolin/OCK-9759-2025</t>
  </si>
  <si>
    <t>Weiwei, Cui/0000-0002-8876-7454;</t>
  </si>
  <si>
    <t>OCT 20</t>
  </si>
  <si>
    <t>10.1002/app.56049</t>
  </si>
  <si>
    <t>WOS:001285649000001</t>
  </si>
  <si>
    <t>Song, CH; Chen, Z; Duan, CJ; Li, CD; Kawi, S; Li, YH</t>
  </si>
  <si>
    <t>Song, Chaohua; Chen, Zan; Duan, Cuijia; Li, Claudia; Kawi, Sibudjing; Li, Yinhui</t>
  </si>
  <si>
    <t>Polydopamine-boron nitride nanosheet composites with core-shell structures modified PMIA separator for enhanced performance of high-power lithium-ion batteries</t>
  </si>
  <si>
    <t>Current commercial polyolefin separators suffer from poor electrolyte affinity and thermal stability, which seriously affect the electrochemical performance and safety of lithium-ion batteries (LIBs). In this work, supra- molecular self-assembly by it-it stacking interaction was utilized in combination with the self-polymerization of dopamine (DA) to achieve a homogeneous cladding of poly-dopamine (PDA) functional layer on the surface of boron nitride (BN) nanosheets. PDA-BN/poly (m-phenylene m-phenylene isophalamide) (PMIA) composite separators for high- safety LIBs were synthesized using a non-solvent-induced phase separation process. The combination of PMIA and PDA-BN nanomaterials formed a hierarchical porous structure, which enhanced the porosity of PMIA separators. The excellent thermal conductivity of BN nanosheets enhanced the thermal conductivity of the PMIA separator, which facilitated the heat dissipation of the LIBs during the battery operation, and enhanced the cycling stability of the LIBs. The evidence of the results, which were assembled with PDA-BN/PMIA composite separator LiFePO4||Li 4 ||Li battery achieved a capacity retention of 95% after 100 cycles at 0.5 C high-rate cycling. In addition, the PDA-BN/PMIA composite separator did not undergo significant thermal shrinkage at 250 degrees C, which provides better safety performance than commercial PP separators. The non-solvent-induced phase separation process is not only simple but also inexpensive, and the good electrochemical performance and excellent safety of the as-prepared PDA-BN/PMIA composite separators are expected to be applied in the high-power energy field.</t>
  </si>
  <si>
    <t>Kawi, Sibudjing/AAF-3637-2019</t>
  </si>
  <si>
    <t>SEP 20</t>
  </si>
  <si>
    <t>10.1016/j.est.2024.113020</t>
  </si>
  <si>
    <t>WOS:001288063100001</t>
  </si>
  <si>
    <t>Öksüzoglu, F; Ates, S; Özkendir, OM; Çelik, G; Eker, YR; Baveghar, H; Kabatas, MABM</t>
  </si>
  <si>
    <t>Oksuzoglu, Fatih; Ates, Sule; Ozkendir, Osman Murat; Celik, Gueltekin; Eker, Yasin Ramazan; Baveghar, Hadi; Basyooni-M. Kabatas, Mohamed A.</t>
  </si>
  <si>
    <t>The Impact of Boron Compounds on the Structure and Ionic Conductivity of LATP Solid Electrolytes</t>
  </si>
  <si>
    <t>MATERIALS</t>
  </si>
  <si>
    <t>The increasing demand for safe and high-energy-density battery systems has led to intense research into solid electrolytes for rechargeable batteries. One of these solid electrolytes is the NASICON-type Li1+xAlxTi2-x(PO4)3 (LATP) material. In this study, different boron compounds (10% B2O3 doped, 10% H3BO3 doped, and 5% B2O3 + 5% H3BO3 doped) were doped at total 10 wt.% into the Ti4+ sites of an LATP solid electrolyte to investigate the structural properties and ionic conductivity of solid electrolytes using the solid-state synthesis method. Characterization of the synthesized samples was conducted using X-ray diffraction (XRD), Raman spectroscopy, scanning electron microscopy (SEM), and electrochemical impedance spectroscopy (EIS). The XRD patterns of the boron-doped LATP (LABTP) samples show that the samples have a rhombohedral phase with space group R3c together and low amounts of impurity phases. While all the LABTP samples exhibited similar ionic conductivity values of around 10-4 S cm-1, the LABTP2 sample doped with 10 wt.% H3BO3 demonstrated the highest ionic conductivity. These findings suggest that varying B3+ ion doping strategies in LATP can significantly advance the development of solid electrolytes for all-solid-state lithium-ion batteries.</t>
  </si>
  <si>
    <t>; Ozkendir, Osman/D-7183-2016; Ozkendir, Osman Murat/D-7183-2016; Basyooni-M. Kabatas, M. A./AAE-2182-2019; Eker, Yasin Ramazan/K-2514-2015; Ateş, Şule/CAJ-5749-2022; baveghar, hadi/W-1990-2017; EKER, Yasin Ramazan/X-5903-2019; -M. Kabatas, M. A. Basyooni/AAE-2182-2019; oksuzoglu, Fatih/KUC-9243-2024</t>
  </si>
  <si>
    <t>OKSUZOGLU, FATIH/0000-0003-0869-2606; Ozkendir, Osman Murat/0000-0002-0810-9938; Basyooni-M. Kabatas, M. A./0000-0001-8473-8253; Eker, Yasin Ramazan/0000-0001-7395-4364; Baveghar, Hadi/0000-0001-6713-2110; Ates, Sule/0000-0001-9324-6808;</t>
  </si>
  <si>
    <t>1996-1944</t>
  </si>
  <si>
    <t>10.3390/ma17153846</t>
  </si>
  <si>
    <t>WOS:001287160500001</t>
  </si>
  <si>
    <t>Sarigöl, Z; Özkan, G; Özkan, G</t>
  </si>
  <si>
    <t>Sarigol, Zahid; Ozkan, Gulay; Ozkan, Goksel</t>
  </si>
  <si>
    <t>Development of Boron-Containing Electrolyte Additive for Lithium-Ion Batteries</t>
  </si>
  <si>
    <t>JOURNAL OF ELECTROCHEMICAL ENERGY CONVERSION AND STORAGE</t>
  </si>
  <si>
    <t>In this study, triphenylphosphine boron trifluoride (BF3 PPh3) was synthesized to be used as an electrolyte additive in Li/LiCoO2 half-cells. Fourier-transform infrared spectroscopy, X-ray diffraction, nuclear magnetic resonance, and X-ray photoelectron spectroscopy analysis techniques were used to determine the structure and composition of the synthesized substance. The battery performance was investigated by adding certain amounts of BF3 PPh3 in 1 M LiPF6-ethylene carbonate/dimethyl carbonate/diethyl carbonate (1:1:1 by volume) electrolyte. CR2032 coin cells were assembled with the electrodes and electrolytes prepared in the laboratory. The electrochemical behaviors of the battery were investigated via cyclic voltammetry and charge-discharge tests. The addition of 0.5 wt% and 1 wt% BF3 PPh3 in the electrolyte improved the lithium-ion battery's ionic conductivity and capacity retention. The results show that BF3 PPh3 has potential applications in lithium-ion batteries.</t>
  </si>
  <si>
    <t>ozkan, gulay/Y-8119-2018; Ozkan, Gulay/Y-8119-2018; Özkan, Goksel/ABI-5851-2020</t>
  </si>
  <si>
    <t>ozkan, gulay/0000-0002-9165-5541;</t>
  </si>
  <si>
    <t>2381-6872</t>
  </si>
  <si>
    <t>2381-6910</t>
  </si>
  <si>
    <t>AUG 1</t>
  </si>
  <si>
    <t>10.1115/1.4063429</t>
  </si>
  <si>
    <t>WOS:001258267000012</t>
  </si>
  <si>
    <t>Lei, CJ; Zhou, TK; Zhang, MJ; Liu, TT; Xu, C; Wang, R; He, X; Liang, X</t>
  </si>
  <si>
    <t>Lei, Chengjun; Zhou, Tiankun; Zhang, Mingjie; Liu, Tingting; Xu, Chen; Wang, Rui; He, Xin; Liang, Xiao</t>
  </si>
  <si>
    <t>Universal Copolymerization of Crosslinked Polyether Electrolytes for All-Solid-State Lithium-Metal Batteries</t>
  </si>
  <si>
    <t>ADVANCED SCIENCE</t>
  </si>
  <si>
    <t>Solid polymer electrolytes (SPEs) are pivotal in advancing the practical implementation of all-solid-state batteries. Poly(1,3-dioxane) (PDOL)-based electrolytes have attracted significant attention due to the pseudo-high conductivity achieved through sophisticated in situ polymerization methods; however, such PDOL-based electrolytes present challenges of crystallization over time and monomers residual during processing. In this study, integrating LiTFSI and LiDFOB as a universal copolymerization strategy for developing high-performance PDOL electrolytes with a wide range of epoxy crosslinkers is proposed. It is discovered that this approach leverages the protective effects of TFSI anions on the boron active center and catalyzes polymer chain growth via crosslinking. The homogenously crosslinked (benzene-centered) PDOL electrolyte exhibits remarkable thermo-mechanical stability (up to 100 degrees C), high ion migration number (tLi+ = 0.42), a wide electrochemical window (approximate to 5.0 V vs Li+/Li), and high ionic conductivity (4.5x10-4 S cm-1). Notably, the crosslinked PDOL electrolyte is in the all-solid-state with minimal monomer/oligomer residual, exhibiting no crystallization during relaxation, delivering a robust performance in all-solid-state lithium metal batteries. A universal copolymerization strategy of polyether electrolytes is reported using softer anions (TFSI-). This approach enables efficient in situ polymerization without monomers residual, yielding crosslinked polyether electrolytes with superior electrochemical physicochemical characteristics. image</t>
  </si>
  <si>
    <t>; Liang, Xiao/ABE-7626-2020; He, Xin/LEM-9090-2024</t>
  </si>
  <si>
    <t>Lei, Chengjun/0000-0001-5090-5543; Liang, Xiao/0000-0003-4074-340X</t>
  </si>
  <si>
    <t>2198-3844</t>
  </si>
  <si>
    <t>10.1002/advs.202405482</t>
  </si>
  <si>
    <t>JUL 2024</t>
  </si>
  <si>
    <t>WOS:001278706500001</t>
  </si>
  <si>
    <t>Chen, YL; Xie, ZYT; Huang, LL; Zhan, JQ; Wei, ZQ; He, JR; Xing, LD; Li, WS</t>
  </si>
  <si>
    <t>Chen, Yili; Xie, Zhangyating; Huang, Lingling; Zhan, Jiaqi; Wei, Ziqi; He, Jiarong; Xing, Lidan; Li, Weishan</t>
  </si>
  <si>
    <t>Revolutionizing multifunctional electrolyte additive design and synthesis for high-voltage nickel-rich batteries in diverse climates</t>
  </si>
  <si>
    <t>The high-voltage LiNi0.6Co0.2Mn0.2O2 (NCM622) cathode presents a promising avenue for advancing the energy density of lithium-ion batteries. Nevertheless, current limitations primarily arise from electrolyte systems unable to meet stringent criteria, including stable performance under elevated temperatures and efficient discharge at low temperatures. In this study, we address these challenges by designing a molecular structure incorporating boron oxygen functional groups, phenyl-, and fluorine moieties to simultaneously enhance ion conductivity and thermal stability under extreme voltages. A multifunctional electrolyte additive, 3, 4, 5-trifluorophenylboronic anhydride (TFPBA), has been successfully developed via synthesis. TFPBA plays a pivotal role in promoting the formation of a hierarchical cathode electrolyte interphase (CEI) through its preferential decomposition and oxidation processes. This CEI features a mechanically stable inner layer enriched with fluorophenyl- groups, crucial for high-temperature cycling, alongside an outer layer concentrated with BxOyFz complexes that significantly improve Li+ conductivity, ensuring superior performance under low-temperature conditions and at elevated rates. Moreover, TFPBA acts as an HF scavenger within the electrolyte, mitigating corrosive effects on the cathode surface, thereby curtailing CEI reformation and the transition metal dissolution. The Li/NCM622 half cells with TFPBA exhibit impressive capacity retention rates of 92.58%, 80.09%, and 81.77% after extensive cycling at temperatures of -20 degrees C, 25 degrees C, and 55 degrees C, respectively. Moreover, NCM622/graphite full cells with TFPBA achieve a remarkable capacity retention of 97.97% after 150 cycles at room temperature. Our findings highlight the exceptional electrochemical performance of NCM622 cathodes at elevated voltages across a wide temperature range, providing valuable insights for the development of advanced electrolytes in high-demand applications.</t>
  </si>
  <si>
    <t>chen, yili/JAZ-1293-2023; He, Jiarong/AGZ-5972-2022</t>
  </si>
  <si>
    <t>Xing, Lidan/0000-0002-3642-7204</t>
  </si>
  <si>
    <t>10.1016/j.ensm.2024.103642</t>
  </si>
  <si>
    <t>WOS:001274692200001</t>
  </si>
  <si>
    <t>Zhao, LY; Dong, QY; Wang, XC; Li, ZY; Shao, H; Shen, YB; Chen, LW</t>
  </si>
  <si>
    <t>Zhao, Liyi; Dong, Qingyu; Wang, Xuechun; Li, Zhiyun; Shao, Hui; Shen, Yanbin; Chen, Liwei</t>
  </si>
  <si>
    <t>Organic Mixed Ionic-Electronic Conductors as Multi-Functional Binders for Energy-Dense Carbon-Free Solid-State Batteries</t>
  </si>
  <si>
    <t>Solid-state lithium-metal batteries are considered as one of the most promising candidates for next-generation energy storage devices with high energy density and enhanced safety. Great efforts have been made to design solid-state electrolytes with enhanced ionic conductivity and to protect the electrochemical interface of the lithium anode. However, the obstruction of ionic-electronic transport within the cathode remains as another key challenge that needs to be addressed for the practical application of solid-state batteries. Here, we prepared organic mixed ionic-electronic conductors (OMIECs) by in-situ co-polymerization of three organic monomers (boron-type crosslinker, ionic liquid, and sulfolene) in the network of poly(3,4-ethylenedioxythiophene)/poly(4-styrenesulfonate). The as-prepared OMIECs show an electronic conductivity up to 33.6 S cm-1 and ionic conductivity of 1.7x10-4 S cm-1 at 30 degrees C, and also binder functionality, providing a combined path for Li+/e- transport in cathodes and maintaining mechanical/(electro-)chemical stability. As a result, solid-state cathodes composed of 90.0 wt % active materials and only 10.0 wt % OMIECs display exceptional electrochemical characteristics at 30 degrees C, including high C-rate capabilities and prolonged cycle life. This novel design of all-in-one OMIECs for carbon-free cathodes demonstrates a promising strategy for developing multifunctional additives for high-performance solid-state batteries. The strategy of OMIECs design endows carbon-free solid-state cathodes with optimized ratio, temporally stable interface, and fast electronic/ionic transport path. Therefore, the utilization of OMIECs as a binder in solid-state cathodes results in a long cycling life, high-rate capability, and good coulomb efficiency at 30 degrees C. These advancements position the trifunctional OMIECs as a viable option for widespread commercial applications. image</t>
  </si>
  <si>
    <t>10.1002/batt.202400132</t>
  </si>
  <si>
    <t>WOS:001270706500001</t>
  </si>
  <si>
    <t>Fang, Y; Yan, YB; Wang, XY; Zhang, ZH; Tian, LB; Lu, SG; Liang, B; Yao, YB; Tan, DQ; Huang, SM; Tao, T</t>
  </si>
  <si>
    <t>Fang, Yue; Yan, Yeba; Wang, Xinying; Zhang, Zhihong; Tian, Libin; Lu, Shengguo; Liang, Bo; Yao, Yingbang; Tan, Daniel Q.; Huang, Shaoming; Tao, Tao</t>
  </si>
  <si>
    <t>Amorphous Boron Nitride Nanosheet-Based Solid State Electrolytes with High Ionic Conductivity</t>
  </si>
  <si>
    <t>Amorphous boron nitride nanosheets, with natural electrical insulation, outstanding chemical stability and mechanical properties, are introduced as a matrix to be incorporated with lithium bis (trifluoromethanesulfonyl) imide (LiTFSI) and polymer polyvinylidene fluoride-hexafluoropropylene copolymer (PVDF-HFP), for constructing a novel composite solid-state electrolyte by a simple solution-casting method. Amorphous boron nitride nanosheets are produced via a combination method of ball milling and pure water exfoliation. The obtained composite solid-state electrolyte containing 40 % (mass fraction) PVDF-HFP shows a high lithium ion conductivity (1.936x10-3 S cm-1) and lithium ion transference number (0.47), and a wide electrochemical stability window (5 V) at room temperature. The LiFePO4/Li based all solid-state battery, consisting of the composite solid electrolyte (40 % PVDF-HFP), delivers a capacity of 128.1 mAh g-1, a Coulombic efficiency of 99.79 % after 500 cycles and a capacity retention rate of 94.5 % at 1.0 C and 25 degrees C. The composite solid electrolyte (40 % PVDF-HFP) can maintain flat and stable stripping/plating plateaus for over 800 hours in symmetrical cells. The amorphous boron nitride nanosheets with high lithium ion conductivity are employed to construct solid-state electrolytes, which is important significant for the development of high energy density, high safety, and long cycle life all-solid-state lithium-ion batteries. Amorphous boron nitride nanosheets are prepared by ball milling combined with pure water exfoliation method. High ceramic content amorphous boron nitride (BN) nanosheets/polymer polyvinylidene fluoride hexafluoropropylene (PVDF-HFP) composite solid electrolyte (CSE) are prepared by solution casting method. When PVDF-HFP accounts for 40 %, the amorphous BN nanosheets/PVDF-HFP-40 % (CSE-40 %) composite electrolyte exhibits excellent electrochemical performance, thermal stability, and mechanical properties. image</t>
  </si>
  <si>
    <t>Lu, Sheng-Guo/H-2822-2016; zhang, zhihong/JBS-8388-2023; FANG, YUE/JLN-1739-2023; Huang, Shaoming/AAY-2942-2021</t>
  </si>
  <si>
    <t>huang, shaoming/0000-0003-0242-1143;</t>
  </si>
  <si>
    <t>10.1002/batt.202400121</t>
  </si>
  <si>
    <t>WOS:001271189500001</t>
  </si>
  <si>
    <t>Han, H; Liu, XR; Gao, YM; Liang, SS; Jing, Y; Li, HJ; Chen, XN</t>
  </si>
  <si>
    <t>Han, Hui; Liu, Xin-Ran; Gao, Yan-Mei; Liang, Sha-Sha; Jing, Yi; Li, Hai-Jun; Chen, Xuenian</t>
  </si>
  <si>
    <t>An Improved Method for the Synthesis of M2[B12H12] (M = Na, K) and Their Formation Mechanism</t>
  </si>
  <si>
    <t>INORGANIC CHEMISTRY</t>
  </si>
  <si>
    <t>Polyhedral boranes have potential applications in medicine and material science due to their unique structure and stability. However, tedious and low-yield synthetic methods limited their application. Herein, we have developed a facile large-scale synthetic method for M-2[B12H12] (M = Na, K) by the reaction of MBH4 with N,N-dipropylaniline borane in diglyme at 120 or 140 degrees C in up to 88% yield. The mechanistic studies indicated that intermediates, such as [B3H8](-) and [B9H14](-), were formed in the formation process of [B12H12](2-) anion, similar to previously reported. The formation of B2H6 from the N,N-dipropylaniline borane adducts is most important. The developed method avoided using toxic materials, with high yield, easily scaled up, raw materials are readily available. Additionally, the starting material, N,N-dipropylaniline, could be repeatedly used at least three times with similar yields, which is an economical way to facilitate industrial synthesis. It is believed that this method will support further application of Na-2[B12H12] and K-2[B12H12] as solid electrolytes for an all-solid-state batteries.</t>
  </si>
  <si>
    <t>Han, Hui/IUM-9559-2023; Jing, Yi/LFU-0552-2024; Chen, Xuenian/C-4111-2018</t>
  </si>
  <si>
    <t>0020-1669</t>
  </si>
  <si>
    <t>1520-510X</t>
  </si>
  <si>
    <t>JUL 16</t>
  </si>
  <si>
    <t>10.1021/acs.inorgchem.4c00945</t>
  </si>
  <si>
    <t>WOS:001270063800001</t>
  </si>
  <si>
    <t>Li, L; Ma, FQ; Chen, XM; Li, Q; He, XX; Sun, J; Jiang, RB; Lei, ZB; Liu, ZH</t>
  </si>
  <si>
    <t>Li, Ling; Ma, Fuquan; Chen, Xiumei; Li, Qi; He, Xuexia; Sun, Jie; Jiang, Ruibin; Lei, Zhibin; Liu, Zonghuai</t>
  </si>
  <si>
    <t>High-concentrated electron-deficient boron through dual-function boric acid strategy significantly enhancing reaction kinetics and stability of photoassisted Li-CO2 batteries</t>
  </si>
  <si>
    <t>Photoassisted rechargeable Li-CO2 batteries exhibit remarkable advantages in facilitating the formation/ decomposition of insulating Li2CO3, but the conventional photoelectrodes still face issues such as ineffective hole-electron separation and low electrical conductivity. Herein, the boric acid coated boron (B@BAx) composites were developed as photoelectrodes in Li-CO2 batteries. The dissolution of boric acid overlayer has shown the dual functions including the exposure of highly-concentrated electron-deficient boron as primary photocatalyst, and the high-coordination combined with TEGDME-based electrolyte for rapid solvation and desolvation of Li-ions. This defect-enriched boron photocatalyst enables to provide suitable CB/VB values, fast carrier separation, and high conductivity for remarkably promoting reaction kinetics and stability of Li-CO2 batteries on basis of the synergetic effect with dissolved boric acid. As a result, the optimized B@BA2-based photoassisted Li-CO2 battery displayed an ultrahigh energy efficiency of 97.5 % with rare voltage gap of 0.07 V, record-lowest charge voltage of 2.80 V and long-terms cycle stability for 250 h. This unique strategy could broaden applications of high-performance electron-deficient photoelectrodes.</t>
  </si>
  <si>
    <t>Jiang, Ruibin/I-8577-2014; Lei, Zhibin/J-4792-2013; Chen, Xiumei/LZH-8209-2025</t>
  </si>
  <si>
    <t>Liu, Zonghuai/0000-0003-4263-0628</t>
  </si>
  <si>
    <t>10.1016/j.ensm.2024.103634</t>
  </si>
  <si>
    <t>WOS:001273168500001</t>
  </si>
  <si>
    <t>He, Q; Liu, XX; Xiao, G; He, XH; Gong, WB; Tang, LF; Chen, Q; Zhang, QC; Yao, YG</t>
  </si>
  <si>
    <t>He, Qian; Liu, Xiongxiong; Xiao, Guang; He, Xuhua; Gong, Wenbin; Tang, Lingfei; Chen, Qi; Zhang, Qichong; Yao, Yagang</t>
  </si>
  <si>
    <t>Highly Conductive and Stable Composite Polymer Electrolyte with Boron Nitride Nanotubes for All-Solid-State Lithium Metal Batteries</t>
  </si>
  <si>
    <t>All-solid-state lithium metal batteries (ASSLMBs) have emerged as the most promising next-generation energy storage devices. However, the unsatisfactory ionic conductivity of solid electrolytes at room temperature has impeded the advancement of solid-state batteries. In this work, a multifunctional composite solid electrolyte (CSE) is developed by incorporating boron nitride nanotubes (BNNTs) into polyvinylidene fluoride-hexafluoropropylene (PVDF-HFP). BNNTs, with a high aspect ratio, trigger the dissociation of Li salts, thus generating a greater population of mobile Li+, and establishing long-distance Li+ transport pathways. PVDF-HFP/BNNT exhibits a high ionic conductivity of 8.0 x 10-4 S cm(-1) at room temperature and a Li+ transference number of 0.60. Moreover, a Li//Li symmetric cell based on PVDF-HFP/BNNT demonstrates robust cyclic performance for 3400 h at a current density of 0.2 mA cm-2. The ASSLMB formed from the assembly of PVDF-HFP/BNNT with LiFePO4 and Li exhibits a capacity retention of 93.2% after 850 cycles at 0.5C and 25 degrees C. The high-voltage all-solid-state LiCoO2/Li cell based on PVDF-HFP/BNNT also exhibits excellent cyclic performance, maintaining a capacity retention of 96.4% after 400 cycles at 1C and 25 degrees C. Furthermore, the introduction of BNNTs is shown to enhance the thermal conductivity and flame retardancy of the CSE.</t>
  </si>
  <si>
    <t>yang, xiao/KHT-9445-2024; Chen, Qi/IVH-9618-2023; Wang, Ziqi/F-7535-2011; Tang, Lingfei/KFR-4797-2024; Gong, Wenbin/AAE-1537-2020</t>
  </si>
  <si>
    <t>10.1002/smll.202403660</t>
  </si>
  <si>
    <t>WOS:001272404200001</t>
  </si>
  <si>
    <t>Ma, K; Cao, Y; Zhang, SJ; Zhang, YM; Fang, SY; Han, XP; Jin, FM; Sun, J</t>
  </si>
  <si>
    <t>Ma, Kang; Cao, Yu; Zhang, Shaojie; Zhang, Yiming; Fang, Siyu; Han, Xinpeng; Jin, Fengmin; Sun, Jie</t>
  </si>
  <si>
    <t>Exceptional Rate Performances of Li-Rich Mn-Based Cathodes Enabled by Boron-Based Additives-Driven Self-Optimized Interface</t>
  </si>
  <si>
    <t>Li-rich Mn-based cathode material (LRM), as a promising cathode for high energy density lithium batteries, suffers from severe side reactions in conventional lithium hexafluorophosphate (LiPF6)-based carbonate electrolytes, leading to unstable interfaces and poor rate performances. Herein, a boron-based additives-driven self-optimized interface strategy is presented to dissolve low ionic conductivity LiF nanoparticles at the outer cathode electrolyte interface, leading to the optimized interfacial components, as well as the enhanced Li ion migration rate in electrolytes. Being attributed to these superiorities, the LRM||Li battery delivers a high-capacity retention of 92.19% at 1C after 200 cycles and a low voltage decay of 1.08 mV/cycle. This work provides a new perspective on the rational selection of functional additives with an interfacial self-optimized characteristic to achieve a long lifespan LRM with exceptional rate performances.</t>
  </si>
  <si>
    <t>Zhang, Shaojie/AGZ-4846-2022</t>
  </si>
  <si>
    <t>JUL 12</t>
  </si>
  <si>
    <t>10.1021/acs.nanolett.4c01104</t>
  </si>
  <si>
    <t>WOS:001268681900001</t>
  </si>
  <si>
    <t>Xia, DW; Tao, L; Hou, D; Hu, AY; Sainio, S; Nordlund, D; Sun, CJ; Xiao, XH; Li, LX; Huang, HB; Lin, F</t>
  </si>
  <si>
    <t>Xia, Dawei; Tao, Lei; Hou, Dong; Hu, Anyang; Sainio, Sami; Nordlund, Dennis; Sun, Chengjun; Xiao, Xianghui; Li, Luxi; Huang, Haibo; Lin, Feng</t>
  </si>
  <si>
    <t>A Green, Fire-Retarding Ether Solvent for Sustainable High-Voltage Li-Ion Batteries at Standard Salt Concentration</t>
  </si>
  <si>
    <t>Lithium-ion batteries (LIBs) are increasingly encouraged to enhance their environmental friendliness and safety while maintaining optimal energy density and cost-effectiveness. Although various electrolytes using greener and safer glyme solvents have been reported, the low charge voltage (usually lower than 4.0 V vs Li/Li+) restricts the energy density of LIBs. Herein, tetraglyme, a less-toxic, non-volatile, and non-flammable ether solvent, is exploited to build safer and greener LIBs. It is demonstrated that ether electrolytes, at a standard salt concentration (1 m), can be reversibly cycled to 4.5 V vs Li/Li+. Anchored with Boron-rich cathode-electrolyte interphase (CEI) and mitigated current collector corrosion, the LiNi0.8Mn0.1Co0.1O2 (NMC811) cathode delivers competitive cyclability versus commercial carbonate electrolytes when charged to 4.5 V. Synchrotron spectroscopic and imaging analyses show that the tetraglyme electrolyte can sufficiently suppress the overcharge behavior associated with the high-voltage electrolyte decomposition, which is advantageous over previously reported glyme electrolytes. The new electrolyte also enables minimal transition metal dissolution and deposition. NMC811||hard carbon full cell delivers excellent cycling stability at C/3 with a high average Coulombic efficiency of 99.77%. This work reports an oxidation-resilient tetraglyme electrolyte with record-high 4.5 V stability and enlightens further applications of glyme solvents for sustainable LIBs by designing Boron-rich interphases.</t>
  </si>
  <si>
    <t>Nordlund, Dennis/A-8902-2008; HU, ANYANG/GSN-2473-2022</t>
  </si>
  <si>
    <t>Hou, Dong/0000-0002-0942-688X; Sun, Chengjun/0000-0001-9158-8337</t>
  </si>
  <si>
    <t>10.1002/aenm.202400773</t>
  </si>
  <si>
    <t>WOS:001269158500001</t>
  </si>
  <si>
    <t>Luo, SL; Ge, C; Ou, L; Zeng, FB; Wang, YY; Lu, H</t>
  </si>
  <si>
    <t>Luo, Shuliang; Ge, Cui; Ou, Lu; Zeng, Fubao; Wang, Yuying; Lu, Hai</t>
  </si>
  <si>
    <t>Construction of stable two-sided interface via the addition of phenylboric acid in Lithium-ion batteries</t>
  </si>
  <si>
    <t>Electrolyte additive engineering is one of the most useful approaches to improve the interfacial property of electrode material in Li-ion batteries (LIBs), which plays a vital role in the mass transport during the electrochemical process. Boron-based electrolyte additives have a good application prospect, however exploring new additives with lower-cost and higher efficiency is still needed. In this study, Phenyl boric acid (PBA), acting as a two-sided interface modifier, is introduced to LiNi0.5Co0.2Mn0.3O2/SiC batteries. Through both theoretical calculations and experimental measurements, it is found that PBA could be preferentially reduced on the SiC anode and induce the formation of B-rich solid electrolyte interphase (SEI), which efficiently protects the anode material from the parasitic reaction. Besides, PBA can be sacrificially oxidized before other salt/solvent decomposition, achieving a highly-reversible lithiation/delithiation process at the cathode. Benefiting from these synergistic effects, the target Si-C/Li half-cells achieve a 2.5 % improvement in average coulomb efficiency of 100 cycles, while the capacity retention rate of NCM/Li half-cells and NCM/Si-C full cells increase by 21.4 % and 15.8 %, respectively. This work provides an effective approach to ameliorating the electrode interface chemistry of LIBs employing Si-based anodes Ni-rich cathodes and another analogous battery systems.</t>
  </si>
  <si>
    <t>Luo, Shuliang/GSN-3039-2022; Lu, Hai/MFI-3034-2025</t>
  </si>
  <si>
    <t>Luo, Shuliang/0000-0002-5350-1488;</t>
  </si>
  <si>
    <t>SEP 10</t>
  </si>
  <si>
    <t>10.1016/j.electacta.2024.144684</t>
  </si>
  <si>
    <t>WOS:001267252400001</t>
  </si>
  <si>
    <t>Kim, D; Hu, X; Yu, BZ; Chen, YI</t>
  </si>
  <si>
    <t>Kim, Donggun; Hu, Xin; Yu, Baozhi; Chen, Ying Ian</t>
  </si>
  <si>
    <t>Small Additives Make Big Differences: A Review on Advanced Additives for High-Performance Solid-State Li Metal Batteries</t>
  </si>
  <si>
    <t>Solid-state lithium (Li) metal batteries, represent a significant advancement in energy storage technology, offering higher energy densities and enhanced safety over traditional Li-ion batteries. However, solid-state electrolytes (SSEs) face critical challenges such as lower ionic conductivity, poor stability at the electrode-electrolyte interface, and dendrite formation, potentially leading to short circuits and battery failure. The introduction of additives into SSEs has emerged as a transformative approach to address these challenges. A small amount of additives, encompassing a range from inorganic and organic materials to nanostructures, effectively improve ionic conductivity, drawing it nearer to that of their liquid counterparts, and strengthen mechanical properties to prevent cracking of SSEs and maintain stable interfaces. Importantly, they also play a critical role in inhibiting the growth of dendritic Li, thereby enhancing the safety and extending the lifespan of the batteries. In this review, the wide variety of additives that have been investigated, is comprehensively explored, emphasizing how they can be effectively incorporated into SSEs. By dissecting the operational mechanisms of these additives, the review hopes to provide valuable insights that can help researchers in developing more effective SSEs, leading to the creation of more efficient and reliable solid-state Li metal batteries. Solid-state Li metal batteries are believed to renovate energy storage devices; however, solid-state electrolytes (SSE) still confront numerous critical issues that must be solved. Incorporating additives in the SSE is a facile, straightforward, and feasible method to resolve the difficulties. This review introduces various additive materials for SSE and comprehensively discusses its working principles. image</t>
  </si>
  <si>
    <t>Chen, Ying/S-8795-2019; Yu, Baozhi/IST-9330-2023</t>
  </si>
  <si>
    <t>Chen, Ying Ian/0000-0002-7322-2224; Kim, Donggun/0000-0002-0164-2799</t>
  </si>
  <si>
    <t>10.1002/adma.202401625</t>
  </si>
  <si>
    <t>WOS:001261474000001</t>
  </si>
  <si>
    <t>Li, T; Chen, K; Yang, BR; Li, K; Li, B; He, M; Yang, L; Hu, AJ; Long, JP</t>
  </si>
  <si>
    <t>Li, Ting; Chen, Kai; Yang, Borui; Li, Kun; Li, Bin; He, Miao; Yang, Liu; Hu, Anjun; Long, Jianping</t>
  </si>
  <si>
    <t>In situ polymerization of 1,3-dioxolane and formation of fluorine/boron-rich interfaces enabled by film-forming additives for long-life lithium metal batteries</t>
  </si>
  <si>
    <t>In situ polymerized 1,3-dioxolane (PDOL) is widely utilized to construct solid polymer electrolytes because of its high room-temperature ionic conductivity and good compatibility with lithium metal. However, the current polymerization additives used in PDOL do not effectively contribute to the formation of a robust solid electrolyte interphase (SEI), leading to decreased cycle life. Herein, a film-forming Lewis acid, tris(hexafluoroisopropyl) borate (THB), is demonstrated not only to be a catalyst for the ring-opening polymerization of DOL, but also an additive for the formation of a stable fluorine- and boron-rich SEI to improve the interfacial stability and suppress the Li dendrite growth. Moreover, molecular dynamics simulations and experimental results demonstrate that the introduction of THB can promote the dissociation of lithium salt and release more Li+ while the boron site can effectively restrict the free movement of TFSI- anion, thus increasing Li+ transference numbers (0.76) and ensuring the long-term cycling stability of cells. By using THB-PDOL, a stable cycling of Li &amp; Vert;Li symmetric cell for 600 h at a capacity of 0.5 mA h cm(-2) can be achieved. Furthermore, employing THB-PDOL in Li &amp; Vert;LiFePO4 full cell enables a capacity retention of 98.64% after 300 cycles at 1C and a capacity retention of 95.39% after 200 cycles at a high temperature (60 degrees C). At the same time, this electrolyte is also suitable for the Li &amp; Vert;NCM523 full cell, which also achieves excellent stability of more than 180 cycles. This film-forming Lewis acid additive provides ideas for designing low-cost, high-performance PDOL-based lithium metal batteries.</t>
  </si>
  <si>
    <t>Hu, Anjun/AAS-2043-2020; Long, Jianping/AGZ-0234-2022</t>
  </si>
  <si>
    <t>, Jianping/0000-0001-7245-8991;</t>
  </si>
  <si>
    <t>JUL 31</t>
  </si>
  <si>
    <t>10.1039/d4sc02010c</t>
  </si>
  <si>
    <t>WOS:001263210100001</t>
  </si>
  <si>
    <t>Angizi, S; Alem, SAA; Torabian, M; Khalaj, M; Golberg, D; Pakdel, A</t>
  </si>
  <si>
    <t>Angizi, Shayan; Alem, Sayed Ali Ahmad; Torabian, Mahdi; Khalaj, Maryam; Golberg, Dmitri; Pakdel, Amir</t>
  </si>
  <si>
    <t>Boron Nitride-Integrated Lithium Batteries: Exploring Innovations in Longevity and Performance</t>
  </si>
  <si>
    <t>The current global warming, coupled with the growing demand for energy in our daily lives, necessitates the development of more efficient and reliable energy storage devices. Lithium batteries (LBs) are at the forefront of emerging power sources addressing these challenges. Recent studies have shown that integrating hexagonal boron nitride (h-BN) nanomaterials into LBs enhances the safety, longevity, and electrochemical performance of all LB components, including electrodes, electrolytes, and separators, thereby suggesting their potential value in advancing eco-friendly energy solutions. This review provides an overview of the most recent applications of h-BN nanomaterials in LBs. It begins with an informative introduction to h-BN nanomaterials and their relevant properties in the context of LB applications. Subsequently, it addresses the challenges posed by h-BN and discusses existing strategies to overcome these limitations, offering valuable insights into the potential of BN nanomaterials. The review then proceeds to outline the functions of h-BN in LB components, emphasizing the molecular-level mechanisms responsible for performance improvements. Finally, the review concludes by presenting the current challenges and prospects of integrating h-BN nanomaterials into battery research. Integrating h-BN into lithium batteries enhances safety, longevity, and mechanical integrity of battery components by mitigating dendritic growth and side reactions. Its high ionic and thermal conductivities improve lithium transference and heat management, enhancing performance and reliability. image</t>
  </si>
  <si>
    <t>Angizi, Shayan/AAZ-9659-2020; Golberg, Dmitri/I-5597-2019; Alem, Sayed/AAK-2822-2021; Pakdel, Amir/I-8405-2014; GOLBERG, Dmitri/H-2776-2011</t>
  </si>
  <si>
    <t>Pakdel, Amir/0000-0001-5852-0808; GOLBERG, Dmitri/0000-0003-2298-6539</t>
  </si>
  <si>
    <t>10.1002/eem2.12777</t>
  </si>
  <si>
    <t>WOS:001259471300001</t>
  </si>
  <si>
    <t>Wang, LF; Wang, YR; Yang, J; Quan, FY; Wang, BB; Shao, LP; Tan, LW; Tian, X; Xia, YZ</t>
  </si>
  <si>
    <t>Wang, Linfeng; Wang, Yanru; Yang, Ju; Quan, Fengyu; Wang, Bingbing; Shao, Lupeng; Tan, Liwen; Tian, Xing; Xia, Yanzhi</t>
  </si>
  <si>
    <t>An eco-friendly and flame-retardant bio-based fibers separator with fast lithium-ion transport towards high-safety lithium-ion batteries</t>
  </si>
  <si>
    <t>As one of the most important parts in lithium-ion batteries (LIBs), commercial polyolefin separators suffer from inherent drawbacks such as thermal-dimensional shrinkage, poor electrolyte wettability, and environmental pollution. In this study, a green bio-based composite separator with good flame retardancy and high ion conductivity is designed by a facile paper-making process and subsequently borate salts crosslinking, which consists of marine-derived calcium alginate fibers bridge and land-derived cellulose micro-fibers filler. The composite separator reveals a multi-hierarchical porous structure and homogeneous boron crosslinking, and consequently has a superior liquid electrolyte wettability and high strength. Impressively, the composite separator delivers better flame retardancy and higher lithium-ion transference number (t(Li+) = 0.4) and ion conductivity (sigma = 1.53 mS cm(-1)) compared with the commercial polypropylene separator, attributing to the abundant polar groups upon the fibers and the incorporation of sp3 Boron. As a result, the LIBs equipped with composite separator demonstrate excellent interface stability and rate capability. More importantly, the LIBs exhibit greater security at the elevated temperature of 140 degrees C. Additionally, the composite separator shows a potential degradation in natural environments. This eco-friendly bio-based separator paves a new insight for the design of heat-resistance separator as well as the safe running of LIBs.</t>
  </si>
  <si>
    <t>SEP 1</t>
  </si>
  <si>
    <t>10.1016/j.jpowsour.2024.234950</t>
  </si>
  <si>
    <t>JUN 2024</t>
  </si>
  <si>
    <t>WOS:001347220800001</t>
  </si>
  <si>
    <t>Yan, JX; Li, JQ; Fang, WQ; Gao, YH; Qin, ZS; Sun, MW; Zhang, Y; Zhang, N; Liu, XH; Chen, G</t>
  </si>
  <si>
    <t>Yan, Jiaxing; Li, Jiaqi; Fang, Wenqiang; Gao, Yuanhang; Qin, Zuosu; Sun, Mingwei; Zhang, Ying; Zhang, Ning; Liu, Xiaohe; Chen, Gen</t>
  </si>
  <si>
    <t>Sustainable release of borate- and nitrate- electrolyte additives via metal-organic frameworks nanocapsules for stable lithium metal batteries</t>
  </si>
  <si>
    <t>Constructing robust electrolyte interphase through inorganic electrolyte additives is an effective strategy to improve the electrochemical performance of lithium metal batteries (LMBs). However, the limited solubility of such additives in electrolyte hinders their further application. Herein, we apply metal-organic frameworks (MOFs) as nanocapsules to sustainably release lithium nitrate (LiNO3) 3 ) and a novel salt of potassium tetraborate (K2B4O5(OH)4). 2 B 4 O 5 (OH) 4 ). LiNO3 3 is inclined to undergo reduction on lithium anode to form a nitride-rich solid electrolyte interphase (SEI) layer; while K2B4O5(OH)4 2 B 4 O 5 (OH) 4 preferentially decomposes on high-voltage cathodes to create a boron- rich cathode electrolyte interphase (CEI) layer. Although both salts exhibit poor solubility in commercial carbonate electrolyte, they can be continuously consumed on the electrode surface and concurrently replenished from the nanocapsules during long-term cycling process. As a result, a compact lithium deposition is achieved and the dissolution of transition metals is restrained. Upon the sacrifice of LiNO3 3 and K2B4O5(OH)4, 2 B 4 O 5 (OH) 4 , the lifespan of LMBs is remarkbly improved. The Li||LiNi0.5Co0.2Mn0.3 0.5 Co 0.2 Mn 0.3 (NCM523) cells at 4.3 V and Li||LiNi0.6Co0.2Mn0.2 0.6 Co 0.2 Mn 0.2 (NCM622) cells at 4.4 V can respectively deliver high capacity retentions of 87 % and 80.1 % for 200 cycles.</t>
  </si>
  <si>
    <t>Gao, Yuanhang/HIK-0238-2022; CHEN, GEN/K-9436-2014; Zhang, Ning/NRX-7342-2025</t>
  </si>
  <si>
    <t>CHEN, GEN/0000-0003-3504-3572;</t>
  </si>
  <si>
    <t>10.1016/j.cej.2024.153104</t>
  </si>
  <si>
    <t>WOS:001333658800001</t>
  </si>
  <si>
    <t>Lohani, H; Duncan, DT; Qin, XP; Kumari, P; Kar, M; Sengupta, A; Ahuja, A; Bhowmik, A; Mitra, S</t>
  </si>
  <si>
    <t>Lohani, Harshita; Duncan, Dale T.; Qin, Xueping; Kumari, Pratima; Kar, Mega; Sengupta, Abhinanda; Ahuja, Aakash; Bhowmik, Arghya; Mitra, Sagar</t>
  </si>
  <si>
    <t>Fluorine Rich Borate Salt Anion Based Electrolyte for High Voltage Sodium Metal Battery Development</t>
  </si>
  <si>
    <t>This study demonstrates the enhanced performance in high-voltage sodium full cells using a novel electrolyte composition featuring a highly fluorinated borate ester anion (1 M Na[B(hfip)4].3DME) in a binary carbonate mixture (EC:EMC), compared to a conventional electrolyte (1 M Na[PF6] EC:EMC). The prolonged cycling performance of sodium metal battery employing high voltage cathodes (NVPF@C@CNT and NFMO) is attributed to uniform and dense sodium deposition along with the formation of fluorine and boron-rich solid electrolyte interphase (SEI) on the sodium metal anode. Simultaneously, a robust cathode electrolyte interphase (CEI) is formed on the cathode side due to the improved electrochemical stability window and superior aluminum passivation of the novel electrolyte. The CEIs on high-voltage cathodes are discovered to be abundant in C-F, B-O, and B-F components, which contributes to long-term cycling stability by effectively suppressing undesirable side reactions and mitigating electrolyte decomposition. The participation of DME in the primary solvation shell coupled with the comparatively weaker interaction between Na+ and [B(hfip)4]- in the secondary solvation shell, provides additional confirmation of labile desolvation. This, in turn, supports the active participation of the anion in the formation of fluorine and boron-rich interphases on both the anode and cathode. In this work, a novel electrolyte composition featuring fluorine-rich borate ester anion is demonstrated in a sodium full cell with high-voltage fluorophosphate and oxide-based cathodes and sodium metal anode. The participation of anion in the formation of fluorine and boron-rich interphases is desirable for prolonged cycling of the metal battery. The research underscores the potential to investigate similar weakly coordinating anions sharing similar properties, aiming ultimately to improve the long-term cycling performance of high-voltage sodium metal batteries. image</t>
  </si>
  <si>
    <t>QIN, Xueping/L-9131-2018; Bhowmik, Arghya/R-2404-2016; Kar, Mega/AAB-7357-2020</t>
  </si>
  <si>
    <t>10.1002/smll.202311157</t>
  </si>
  <si>
    <t>WOS:001248813300001</t>
  </si>
  <si>
    <t>Lu, XH; Wei, JS; Lin, HX; Li, Y; Li, YY</t>
  </si>
  <si>
    <t>Lu, Xihui; Wei, Jinshan; Lin, Hexing; Li, Yi; Li, Ya-yun</t>
  </si>
  <si>
    <t>Boron Regulated Fe Single-Atom Structures for Electrocatalytic Nitrate Reduction to Ammonia</t>
  </si>
  <si>
    <t>ACS APPLIED NANO MATERIALS</t>
  </si>
  <si>
    <t>Electrocatalytic reduction of nitrate (NO3RR) to ammonia offers a promising approach for mitigating the environmental impact of NO3-, while simultaneously enabling the synthesis of NH3 under ambient conditions. Recently, single-atom catalysts (SACs) have been proven to have attractive activity on NO3RR, and better catalysts with enhanced activity and stability are still in demand. Here, we report the efficient boosting of NH3 production via the NO3RR using boron-doped Fe SAC (Fe-BCN). Fe-BCN is a normal 12-hedral nanoparticle with a size of 500 nm. The NH3 Faradaic efficiency of Fe-BCN reached 97.48%, with a high ammonia production rate of 2.17 mg cm(-2) h(-1), in an alkaline electrolyte environment at an electrode potential of -0.3 V vs reversible hydrogen electrode. Density functional theory calculations revealed the strategy of introduced B regulating the intermediate adsorption on Fe-BCN, which enhanced the NO3RR activity. Furthermore, leveraging the high NO3RR activity of Fe-BCN, a nitrate-zinc battery with a power density of 0.90 mW cm(-2) was constructed by using Fe-BCN as the cathode and zinc as the anode, respectively. This research demonstrates the broad prospects of Fe-BCN in the NO3RR and provides insights for high-performance Fe SAC electrode materials.</t>
  </si>
  <si>
    <t>Wei, Jinshan/ABD-5804-2021; li, yifan/GSD-1563-2022; Li, xinyi/HJG-4670-2022</t>
  </si>
  <si>
    <t>Wei, Jinshan/0000-0002-1696-5507;</t>
  </si>
  <si>
    <t>2574-0970</t>
  </si>
  <si>
    <t>JUN 13</t>
  </si>
  <si>
    <t>10.1021/acsanm.4c02221</t>
  </si>
  <si>
    <t>WOS:001247403900001</t>
  </si>
  <si>
    <t>Chen, XW; Kang, JX; Fan, ZH; Zhang, N; Zhang, WY; Zhang, GG; Zhu, AQ; Lu, ZW; Qiu, PT; Wu, YY; Chen, XN</t>
  </si>
  <si>
    <t>Chen, Xin-Wei; Kang, Jia-Xin; Fan, Zi-Heng; Zhang, Na; Zhang, Wan-Yu; Zhang, Guo-Guo; Zhu, An-Qi; Lu, Zhi-Wei; Qiu, Pengtao; Wu, Yiying; Chen, Xuenian</t>
  </si>
  <si>
    <t>Sodium Octahydridotriborate as a Solid Electrolyte with Excellent Stability Against Sodium-Metal Anode</t>
  </si>
  <si>
    <t>Solid-state sodium metal batteries have been extensively investigated because of their potential to improve safety, cost-effectiveness, and energy density. The development of such batteries urgently required a solid-state electrolyte with fast Na-ion conduction and favorable interfacial compatibility. Herein, the progress on developing the NaB3H8 solid-state electrolytes is reported, which show a liquid-like ionic conductivity of 0.05 S cm(-1) at 56 degrees C with an activation energy of 0.35 eV after an order-disorder phase transformation, matching or surpassing the best single-anion hydridoborate conductors investigated up to now. The steady polarization voltage and significantly decreased resistance are achieved in the symmetric Na/NaB3H8/Na cell, indicating the great electrochemical stability and favorable interfacial contact with the Na metal of NaB3H8. Furthermore, a Na/NaB3H8/TiS2 battery, the first high-rate (up to 1 C) solid-state sodium metal battery using the single-anion hydridoborate electrolyte, is demonstrated, which exhibits superior rate capability (168.2 mAh g(-1) at 0.1 C and 141.2 mAh g(-1) at 1 C) and long-term cycling stability (70.9% capacity retention at 1 C after 300 cycles) at 30 degrees C. This work may present a new possibility to solve the interfacial limitations and find a new group of solid-state electrolytes for high-performance sodium metal batteries.</t>
  </si>
  <si>
    <t>Chen, Xuenian/C-4111-2018; Qiu, Pengtao/ABB-5118-2021</t>
  </si>
  <si>
    <t>Qiu, Pengtao/0000-0001-8982-0803;</t>
  </si>
  <si>
    <t>10.1002/smll.202401439</t>
  </si>
  <si>
    <t>WOS:001239923400001</t>
  </si>
  <si>
    <t>Zhou, MT; Hadjichristidis, N</t>
  </si>
  <si>
    <t>Zhou, Mingtao; Hadjichristidis, Nikos</t>
  </si>
  <si>
    <t>Boron-Catalyzed C1 Copolymerization of Arsonium and Sulfoxonium Ylides toward Unrepresented Structures and Fluorescence Properties</t>
  </si>
  <si>
    <t>The first synthesis of well-defined poly(methylene-co-1,1-diphenylpropenenylene) (C1-co-C1'), equivalent to poly(ethylene-co-diphenylbutadiene) copolymers was accomplished by C1 copolymerization of novel diphenylpropenyl triphenyl arsonium ylides (Ph(2)AY) and dimethylsulfoxonium methylide (Me2SY) using B-thexylborepane as initiator. All polymerization conditions, including feed ratio, temperature, and reaction time, were optimized. A series of photoluminescent poly(ethylene-co-diphenylbutadiene)s were synthesized at different feed ratios, opening a new synthetic horizon for poly(ethylene-co-disubstitutedbutadiene) copolymers. Notably, a new C1 segment, arising from a double bond rearrangement, was confirmed by NMR, resulting in an unprecedented two-monomer three-structure random terpolymer. An unexpected red-shift phenomenon in the fluorescence spectra was observed with increasing the ratio of Ph(2)AY in the copolymer. This shift is attributed to the aggregation of diphenylbutadiene segment, similar to through-space conjugation (TSC), likely induced by a decrease in the crystallinity of copolymers. Furthermore, another disubstituted allylic triphenyl arsonium ylides, (E)-2-phenylbutenyl triphenyl arsonium ylide (MePhAY) was also synthesized and investigated. These additional compounds expand the knowledge and the potential applications of such copolymerization techniques in advanced materials.</t>
  </si>
  <si>
    <t>Zhou, Mingtao/MIT-7701-2025</t>
  </si>
  <si>
    <t>10.1002/anie.202403527</t>
  </si>
  <si>
    <t>WOS:001237670500001</t>
  </si>
  <si>
    <t>Bari, GAKMR; Jeong, JH</t>
  </si>
  <si>
    <t>Bari, Gazi A. K. M. Rafiqul; Jeong, Jae-Ho</t>
  </si>
  <si>
    <t>Potential of Carbon Aerogels in Energy: Design, Characteristics, and Applications</t>
  </si>
  <si>
    <t>GELS</t>
  </si>
  <si>
    <t>In energy applications, the use of materials with hierarchical porous structures and large surface areas is essential for efficient charge storage. These structures facilitate rapid electron and ion transport, resulting in high power density and quick charge/discharge capabilities. Carbon-based materials are extensively utilized due to their tunable properties, including pore sizes ranging from ultra- to macropores and surface polarity. Incorporating heteroatoms such as nitrogen, oxygen, sulfur, phosphorus, and boron modifies the carbon structure, enhancing electrocatalytic properties and overall performance. A hierarchical pore structure is necessary for optimal performance, as it ensures efficient access to the material's core. The microstructure of carbon materials significantly impacts energy storage, with factors like polyaromatic condensation, crystallite structure, and interlayer distance playing crucial roles. Carbon aerogels, derived from the carbonization of organic gels, feature a sponge-like structure with large surface area and high porosity, making them suitable for energy storage. Their open pore structure supports fast ion transfer, leading to high energy and power densities. Challenges include maintaining mechanical or structural integrity, multifunctional features, and scalability. This review provides an overview of the current progress in carbon-based aerogels for energy applications, discussing their properties, development strategies, and limitations, and offering significant guidance for future research requirements.</t>
  </si>
  <si>
    <t>Jeong, Jaeho/AAS-3139-2020; A. K. M. RAFIQUL BARI, GAZI/JWA-2641-2024; A K M RAFIQUL BARI, GAZI/JWA-2641-2024</t>
  </si>
  <si>
    <t>Jeong, Jae-Ho/0000-0002-1797-2565; A K M RAFIQUL BARI, GAZI/0000-0002-5704-7577</t>
  </si>
  <si>
    <t>2310-2861</t>
  </si>
  <si>
    <t>JUN</t>
  </si>
  <si>
    <t>10.3390/gels10060389</t>
  </si>
  <si>
    <t>WOS:001256148600001</t>
  </si>
  <si>
    <t>Ling, ZX; Wu, LY; Xiang, YX; Dong, WD; Qin, LJ; Qi, XD; Hu, CG; Zhang, XG</t>
  </si>
  <si>
    <t>Ling, Zhenxiao; Wu, Langyuan; Xiang, Yuxuan; Dong, Wendi; Qin, Lunjie; Qi, Xiaodong; Hu, Chaogen; Zhang, Xiaogang</t>
  </si>
  <si>
    <t>Improving the electrochemical performance of an anionic redox P3-type layered oxide cathode by the synergistic effect by sodium metaborate coating and boron doping</t>
  </si>
  <si>
    <t>The lattice oxygen redox (LOR) reaction, known for its potential to augment the capacity of layered transition metal oxides in sodium-ion batteries (SIBs), has attracted widespread attention. However, the utilization of the LOR reaction often leads to irreversible release of lattice oxygen, causing damage to the crystal structure and deterioration in electrochemical performance, thereby impeding its practical application. Here, we demonstrate a method to significantly enhance the electrochemical performance of P3-type Na0.6Li0.2Mn0.8O2 cathodes by concurrently applying surface NaBO2 coatings and boron doping. We reveal that the NaBO2 coating efficiently mitigates electrolyte corrosion and side reactions on the electrode surface. In addition, boron doping enhances the involvement of manganese in the redox process, thereby boosting capacity, while inhibiting the irreversible Li migration, thereby stabilizing the crystal structure of the material. The synergistic effect of surface NaBO2 coating and bulk phase boron doping enables 6%B-NLMO to exhibit improved electrochemical performance, achieving a discharge capacity of 98.7 mA h g-1 and 95.8% retention after 100 cycles at 20 mA g-1. This synergistic strategy, employing multiple modification techniques, offers a potential way to improve the performance of anion redox cathode materials. Surface NaBO2 coating and bulk phase boron doping effectively inhibit side reactions on the electrode surface, enhance the participation of manganese in the redox process, and mitigate the irreversible migration of lithium.</t>
  </si>
  <si>
    <t>; Yuxuan, Xiang/AAN-3399-2021; Zhang, Xiaogang/G-8896-2013</t>
  </si>
  <si>
    <t>Zhang, Xiaogang/0000-0003-4464-672X;</t>
  </si>
  <si>
    <t>10.1039/d4ta01913j</t>
  </si>
  <si>
    <t>MAY 2024</t>
  </si>
  <si>
    <t>WOS:001248723300001</t>
  </si>
  <si>
    <t>Song, BY; Xiong, XS; Peng, Y; Liu, X; Gao, WJ; Wang, T; Wang, FX; Ma, Y; Zhong, YR; Cheng, XB; Zhu, Z; He, JR; Wu, YP</t>
  </si>
  <si>
    <t>Song, Bingyan; Xiong, Xiaosong; Peng, Yi; Liu, Xi; Gao, Wanjie; Wang, Tao; Wang, Faxing; Ma, Yuan; Zhong, Yiren; Cheng, Xin-Bing; Zhu, Zhi; He, Jiarui; Wu, Yuping</t>
  </si>
  <si>
    <t>Review of Electrolyte Additives for Secondary Sodium Batteries</t>
  </si>
  <si>
    <t>As the energy storage sector gains prominence, sodium batteries have garnered attention due to their affordability and the abundance of raw materials. Among the methods aimed at enhancing sodium battery performance, electrolyte additives are notably cost-effective. Despite typically comprising no more than 5% of the components, these additives play a crucial role in improving battery cycle life and overall functionality. This review begins by analyzing the factors propelling the development of sodium batteries and the diverse roles of additives, extensively examines the roles of common functional groups (fluorine(F)-containing, sulfonyl, sulfoxide, phosphate ester, nitrogenous, boron, silyl groups, etc.) in additives. Furthermore, it categorizes the latest functional electrolyte additives into five distinct types. Lastly, the review provides an overview of the potential for designing additives that are both sustainable and efficient. This comprehensive review aims to be a valuable resource for informing the strategic selection and enhancement of electrolyte additives, thereby facilitating future progress in the field. Electrolyte additives are key for better secondary sodium battery performance and durability, revolving around safety and stability. Advanced additives with different functional groups help tackle challenges like expensive salts, unstable electrodes, and isolated functions. Three key aspects for better additives are: compatible functional groups, multifunctionality, and eco-friendly characteristic, vital for next-generation batteries. image</t>
  </si>
  <si>
    <t>Wu, Yuping/H-1593-2011; liu, xi/KFS-8293-2024; Cheng, Xin-Bing/F-8448-2014; Wang, Tao/GON-7000-2022; He, Jiarui/AAF-7206-2020; Peng, Yi/JNE-3692-2023; Wang, Faxing/L-1439-2015; Ma, Yuan/AAD-3076-2022; xiong, xiaosong/HLH-2925-2023</t>
  </si>
  <si>
    <t>Wu, Yuping/0000-0002-0833-1205; Song, Bingyan/0009-0002-5486-0340; Peng, Yi/0000-0001-7205-1200; Wang, Faxing/0000-0002-1134-885X;</t>
  </si>
  <si>
    <t>10.1002/aenm.202401407</t>
  </si>
  <si>
    <t>WOS:001227675100001</t>
  </si>
  <si>
    <t>Sun, Q; Luo, SH; Huang, R; Yan, SX; Lin, XP</t>
  </si>
  <si>
    <t>Sun, Qi; Luo, Shaohua; Huang, Rui; Yan, Shengxue; Lin, Xiaoping</t>
  </si>
  <si>
    <t>Recent progress of magnesium electrolytes for rechargeable magnesium batteries</t>
  </si>
  <si>
    <t>COORDINATION CHEMISTRY REVIEWS</t>
  </si>
  <si>
    <t>Magnesium batteries have attracted considerable interest due to their favorable characteristics, such as a low redox potential (-2.356 V vs. the standard hydrogen electrode (SHE)), a substantial volumetric energy density (3833 mAh cm- 3), and the widespread availability of magnesium resources on Earth. This facilitates the commercial production of magnesium batteries for widespread applications. Nonetheless, The progression of magnesium battery technology faces hindrances from the creation of a passivated film at the interface between the magnesium anode and electrolyte, along with the slow diffusion kinetics of Mg2+. Accordingly, exploring magnesium electrolytes is regarded as a viable approach to address the previously mentioned obstacles. This review presents a comprehensive overview of recent advancements in magnesium electrolytes, encompassing organic Grignard reagents and their derived systems, magnesium-aluminum-chloride complex (MACC) systems, boron-based systems, and molten salt systems. Specifically, it systematically examines various promising strategies for magnesium electrolytes, primarily focusing on improving the efficient reversible Mg deposition/ stripping within the electrolyte. Ultimately, the present state of electrolyte advancement is concisely outlined, and the prospective directions of magnesium battery evolution are delineated. This brief review aims to furnish researchers with insights into the prevailing challenges and inspire researchers to formulate magnesium electrolytes suitable for commercial applications.</t>
  </si>
  <si>
    <t>0010-8545</t>
  </si>
  <si>
    <t>1873-3840</t>
  </si>
  <si>
    <t>10.1016/j.ccr.2024.215956</t>
  </si>
  <si>
    <t>WOS:001343605800001</t>
  </si>
  <si>
    <t>Yang, M; Feng, F; Guo, JH; Wang, R; Yu, JY; Ren, JG; Ma, ZF; Chen, SL; Liu, TX</t>
  </si>
  <si>
    <t>Yang, Meng; Feng, Fan; Guo, Junhong; Wang, Rui; Yu, Jiayi; Ren, Jianguo; Ma, Zi-Feng; Chen, Suli; Liu, Tianxi</t>
  </si>
  <si>
    <t>Anion trapping-coupling strategy driven asymmetric nonflammable gel electrolyte for high performance sodium batteries</t>
  </si>
  <si>
    <t>Gel polymer electrolytes, promising electrolyte candidates for advanced sodium metal batteries (SMBs), suffer from the great challenges of combustion risk and inferior interfacial stability caused by poor mechanical properties and low Na + selectivity. Herein, we proposed a rational anion trapping -coupling strategy to build a mechanically robust asymmetric nonflammable composite gel electrolyte (AS-NFCGE) by introducing in -situ coupled boron nitride nanosheets (BNNs) on glass fiber matrix embedded with synchronous polymerized flameretardant polymer. Theoretical calculations, finite -element simulations, and experimental tests prove that the high coupling BNNs with anion trapping effect constructed asymmetric structure can significantly accelerate selective Na + migration kinetics, enhance mechanical properties of AS-NFCGE and endow a similar single -ion conducting behavior to homogenize ion -distribution at the anode side, thus improving interfacial stability and suppressing dendrite growth to achieve ultra -stable SMBs. Specifically, the AS-NFGE delivers high ionic conductivity and Na + transference number (0.73) together with excellent flam-retardant. Consequently, the dendrite -free Na/Na symmetric cell exhibits considerable cycling life for over 3000 h at 0.1 mA cm -2 with low overvoltage. Applications of the AS-NFCGE in SMBs further demonstrate the excellent electrochemical performances, and no thermal runaway and no electrolyte leakage occur for pouch cells using AS-NFCGE. This strategy provides new insight into the development of safe and high-energy SMBs and the beyond.</t>
  </si>
  <si>
    <t>Yu, Jiayi/LCD-4459-2024; Guo, Junhong/O-6316-2017; Feng, Fan/AAH-2619-2021; Jianguo, Ren/AAS-3527-2020</t>
  </si>
  <si>
    <t>10.1016/j.ensm.2024.103492</t>
  </si>
  <si>
    <t>WOS:001243046400001</t>
  </si>
  <si>
    <t>Ji, JW; Liu, CZ; Zhou, Z; Yan, S; Yang, SB; Li, XR; Wang, ZH; Xue, YM; Tang, CC</t>
  </si>
  <si>
    <t>Ji, Jiawei; Liu, Chaoze; Zhou, Zheng; Yan, Song; Yang, Shaobo; Li, Xinran; Wang, Zihao; Xue, Yanming; Tang, Chengchun</t>
  </si>
  <si>
    <t>Uniform Boron Nitride Nanospheres with Reactive Surface Defects for Composite Solid-State Electrolytes</t>
  </si>
  <si>
    <t>Low ionic conductivity, oxidation potential, and poor lithium stability limit the applications of solid polymer electrolyte (SPE) in advanced energy storage systems. Combining functional inorganic materials and flexible polymers is crucial for achieving high ionic conductivity and exceptional rate performance in all-solid-state batteries (ASSBs). Herein, uniform boron nitride nanosphere (BNSPH) with reactive surface defects was prepared through an improved chemical vapor deposition method with high-temperature ammonia immobilization treatment and was introduced to the poly(ethylene oxide) (PEO)-based SPE. Homogeneously dispersed nanostructures reduce the polymer's crystallinity, facilitating the movement of polymer chain segments and significantly improving the composite electrolyte's ionic conductivity. The interaction between BNSPH and the PEO chain enhances the structural stability of the composite polymer electrolyte (CPE) under high voltage, and the oxygen vacancies on the BNSPH surface immobilize TFSI-, promoting the transfer of more dissociated Li+ through the PEO chain. In addition, the excellent thermal conductivity enhances the interface stability and effectively avoids the growth of lithium dendrites. The CPE-5% exhibits an ionic conductivity of 3.86 x 10(-4) S cm(-1) and high voltage stability at 60 degrees C. Therefore, the assembled Li|CPE-5%|Li cell exhibited stable plating/stripping for 2000 h with a small polarization voltage. Furthermore, Li/LFP batteries incorporating CPE-5% exhibit remarkable rate performance (87.8 mA h g(-1) at 2.0 C) and outstanding cycle stability (157.4 mA h g(-1) after 150 cycles at 0.5 C and 60 degrees C). Furthermore, the NCM622/Li assembled with CPE-5% could achieve an excellent lifespan. This study confirms the feasibility of this application and inspire the application of defect-rich BNSPH in SPEs.</t>
  </si>
  <si>
    <t>Xue, Yanming/G-5603-2018</t>
  </si>
  <si>
    <t>Xue, Yanming/0000-0003-1061-229X</t>
  </si>
  <si>
    <t>MAY 16</t>
  </si>
  <si>
    <t>10.1021/acsanm.4c01757</t>
  </si>
  <si>
    <t>WOS:001227292700001</t>
  </si>
  <si>
    <t>Mercer, MP; Bhandari, A; Peng, C; Dziedzic, J; Skylaris, CK; Kramer, D</t>
  </si>
  <si>
    <t>Mercer, Michael P.; Bhandari, Arihant; Peng, Chao; Dziedzic, Jacek; Skylaris, Chris K.; Kramer, Denis</t>
  </si>
  <si>
    <t>Tuning the work function of graphite nanoparticles via edge termination</t>
  </si>
  <si>
    <t>Graphite nanoparticles are important in energy materials applications such as lithium-ion batteries (LIBs), supercapacitors and as catalyst supports. Tuning the work function of the nanoparticles allows local control of lithiation behaviour in LIBs, and the potential of zero charge of electrocatalysts and supercapacitors. Using large scale density functional theory (DFT) calculations, we find that the surface termination of multilayer graphene nanoparticles can substantially modify the work function. Calculations in vacuum and in electrolyte show that manipulating the edge termination substantially modifies the potential not only around the edge, but also on the basal plane. Termination with hydrogen or oxygen completely reverses the potential distribution surrounding the basal plane and edges. The trends can be explained based on the work function differences of the edges dependent on termination, and that of the basal plane. Electronic equilibration between different surfaces at the nanoscale allows manipulation of the work function. We demonstrate a link between the area of the graphite basal plane via changing the nanoparticle size, and the work function. We expect that these insights can be utilised for local control of electrochemical functions of graphite nanoparticles prepared under oxidising or reducing conditions.</t>
  </si>
  <si>
    <t>; Kramer, Denis/E-1819-2011; Bhandari, Arihant/ITU-9462-2023; Dziedzic, Jacek/F-3752-2012; Kramer, Denis/KEH-6184-2024</t>
  </si>
  <si>
    <t>Skylaris, Chris-Kriton/0000-0003-0258-3433; Kramer, Denis/0000-0003-0605-1047; Bhandari, Arihant/0000-0002-2914-9402; Dziedzic, Jacek/0000-0003-4786-372X;</t>
  </si>
  <si>
    <t>JUN 6</t>
  </si>
  <si>
    <t>10.1039/d4cp01079e</t>
  </si>
  <si>
    <t>WOS:001232937100001</t>
  </si>
  <si>
    <t>Tian, SC; Cao, YM; Dong, LP; Shi, P; Li, RQ; Jin, Y; Tu, YM; Du, CC; Ren, ZQ; Zhou, ZY</t>
  </si>
  <si>
    <t>Tian, Shichao; Cao, Youmin; Dong, Liping; Shi, Pei; Li, Ruiqi; Jin, Yu; Tu, Yuming; Du, Chencan; Ren, Zhongqi; Zhou, Zhiyong</t>
  </si>
  <si>
    <t>Selective recovery of lithium from spent LiFePO4 powders with electrochemical method</t>
  </si>
  <si>
    <t>JOURNAL OF ENVIRONMENTAL CHEMICAL ENGINEERING</t>
  </si>
  <si>
    <t>In recent years, with the flourishing of new energy vehicles, the lithium iron phosphate (LFP) batteries are vigorously developed due to their low cost and high stability. Meanwhile, it leads to an increase in large-scale retirement of batteries. Therefore, it is crucial to develop a green and efficient recycling method. In this work, an indirect electrochemical oxidation has been proposed for selective leaching of Li ions. An electrochemical system using boron -doped diamond electrode (BDD) with high oxygen evolution potential as anode and RuO 2 /Ti as cathode has been built to generate oxidizing species and enhance the oxidative reaction contact for an indirect oxidation of LFP. The operating conditions were optimized to a current density of 110 mA/cm 2 , Na 2 SO 4 electrolyte concentration of 0.225 M, pH of 1.7, solid -liquid ratio of 16 g/L. The leaching efficiency of Li ions reached up to 95.53 % and the leaching efficiency of Fe ions was less than 0.01 % at room temperature. A purity of lithium carbonate product of 99.93 % was obtained after precipitation of the leaching solution. This proposed method could realize efficient and rapid selective leaching of Li and Fe ions by indirect oxidation, realizing selective leaching and significantly reducing the usage of acid.</t>
  </si>
  <si>
    <t>dong, liping/HLH-5961-2023; Zhou, Zhiyong/J-3322-2012</t>
  </si>
  <si>
    <t>2213-2929</t>
  </si>
  <si>
    <t>2213-3437</t>
  </si>
  <si>
    <t>10.1016/j.jece.2024.112871</t>
  </si>
  <si>
    <t>WOS:001241675600001</t>
  </si>
  <si>
    <t>Zhang, WJ; Sun, TJ; Ma, T; Hao, WQ; Zha, ZT; Cheng, M; Tao, ZL</t>
  </si>
  <si>
    <t>Zhang, Weijia; Sun, Tianjiang; Ma, Tao; Hao, Wenqiang; Zha, Zhengtai; Cheng, Min; Tao, Zhanliang</t>
  </si>
  <si>
    <t>Dynamically constructing robust cathode-electrolyte-interphase on nickel-rich cathode by organic boron additive for high-performance lithium-ion batteries</t>
  </si>
  <si>
    <t>Nickel-rich ternary cathode materials LiNi0.8Co0.1Mn0.1O2 (NCM811) have attracted broad attention due to their high voltage and high energy density for lithium-ion batteries. However, rapid capacity decay due to unstable particle surface inhibit the application. Artificial cathode electrolyte interface (CEI) is undoubtedly a more effective and simpler way to solve this issue. Here, stable and highly conductive in situ CEI is designed using a low-cost organic boron additive isopropoxy-4,4,5,5-tetramethyl-1,3,2-dioxaborolane (ITD). Higher occupied molecular orbital energy endows ITD ability to participate in forming CEI. ITD-contained CEI can reduce nickel dissolving, resulting in a lower self-discharge rate, which is benefit from the uniform and stable CEI on the NCM811 surface. As expected, ITD-based CEI can restrain NCM811crystal cracking in Li||NCM811 half batteries, improving capacity retention from 29.4 % to 93.0 % after 200 cycles at 1C (1C = 200 mA g(-1)). It is worth mentioning that ITD-derived CEI is conducive to ion migration, which improve the rate capacity retention from 91.5 % to 95.5 %.</t>
  </si>
  <si>
    <t>Sun, Tianjiang/ITT-8439-2023</t>
  </si>
  <si>
    <t>10.1016/j.cej.2024.151946</t>
  </si>
  <si>
    <t>WOS:001239316300001</t>
  </si>
  <si>
    <t>Leon, NJ; Ilic, S; Xie, XW; Jeong, H; Yang, ZZ; Wang, BN; Spotte-Smith, EWC; Stern, C; Hahn, N; Zavadil, K; Cheng, L; Persson, KA; Connell, JG; Liao, C</t>
  </si>
  <si>
    <t>Leon, Noel J.; Ilic, Stefan; Xie, Xiaowei; Jeong, Heonjae; Yang, Zhenzhen; Wang, Bingning; Spotte-Smith, Evan Walter Clark; Stern, Charlotte; Hahn, Nathan; Zavadil, Kevin; Cheng, Lei; Persson, Kristin A.; Connell, Justin G.; Liao, Chen</t>
  </si>
  <si>
    <t>Design Principles and Routes for Calcium Alkoxyaluminate Electrolytes</t>
  </si>
  <si>
    <t>Multivalent-ion battery technologies are increasingly attractive options for meeting diverse energy storage needs. Calcium ion batteries (CIB) are particularly appealing candidates for their earthly abundance, high theoretical volumetric energy density, and relative safety advantages. At present, only a few Ca-ion electrolyte systems are reported to reversibly plate at room temperature: for example, aluminates and borates, including Ca[TPFA](2), where [TPFA](-) = [Al(OC(CF3)(3))(4)](-) and Ca[B(hfip)(4)](2), [B(hfip)(4)](2)(-) = [B(OCH(CF3)(2))(4)](-). Analyzing the structure of these salts reveals a common theme: the prevalent use of a weakly coordinating anion (WCA) consisting of a tetracoordinate aluminum/boron (Al/B) center with fluorinated alkoxides. Leveraging the concept of theory-aided design, we report an innovative, one-pot synthesis of two new calcium-ion electrolyte salts (Ca[Al(tftb)(4)](2), Ca[Al(hftb)(4)](2)) and two reported salts (Ca[Al(hfip)(4)](2) and Ca[TPFA](2)) where hfip = (-OCH(CF3)(2)), tftb = (-OC(CF3)(Me)(2)), hftb = (-OC(CF3)(2)(Me)), [TPFA](-) = [Al(OC(CF3)(3))(4)](-). We also reveal the dependence of Coulombic efficiency on their inherent propensity for cation-anion coordination.</t>
  </si>
  <si>
    <t>Connell, Justin/AAZ-9638-2020; Ilic, Stefan/JGM-5043-2023; Spotte-Smith, Evan/KIK-8950-2024; liao, chen/E-3755-2012; Cheng, Lei/JYQ-4726-2024; Jeong, Heonjae/HGE-1837-2022; Persson, Kristin/ABE-6343-2020; Leon, Noel/HGE-5861-2022</t>
  </si>
  <si>
    <t>Connell, Justin/0000-0002-2979-2131; Zavadil, Kevin/0000-0002-3791-424X; Xie, Xiaowei/0000-0001-5618-8768; Spotte-Smith, Evan/0000-0003-1554-197X; Jeong, Heonjae/0000-0003-4452-049X; Ilic, Stefan/0000-0002-6305-4001; Yang, Zhenzhen/0000-0002-1073-3799; Stern, Charlotte/0000-0002-9491-289X;</t>
  </si>
  <si>
    <t>10.1021/acs.jpclett.4c00969</t>
  </si>
  <si>
    <t>WOS:001225109700001</t>
  </si>
  <si>
    <t>Park, J; Yim, T</t>
  </si>
  <si>
    <t>Park, Juhwi; Yim, Taeeun</t>
  </si>
  <si>
    <t>Boron- and calcium-interspersed cathode-electrolyte interphases on Ni-rich layered oxide cathodes for advanced performance lithium-ion batteries</t>
  </si>
  <si>
    <t>Although Ni-rich layered oxides (Ni-rich NCM) have become the preferred cathode materials in the electric vehicle market, their unsustainable cycling behavior arising from the extremely high reactivity at the interface has become a formidable challenge. To alleviate this problem, we propose modifying the cathode-electrolyte interphase (CEI) of Ni-rich L-NCM cathodes by incorporating B/Ca functional groups. Dual-functionalized CEI layers are prepared by heating boric acid (H 3 BO 3 ) and calcium oxide (CaO) in a one-step process. Islands of Band Ca-functionalized CEI layer are observed at the Ni-rich L-NCM cathode, and the thickness is controlled to approximately 2.4 nm. The B-functional group not only lowers the concentration of residual lithium but also compensates for the longer Li + migration distance by providing a desirable pathway based on ion-hopping sites. The Ca functional groups increase the mechanical rigidity of the Ni-rich L-NCM cathode, which inhibits the appearance of microcracks. In terms of its cycling behavior, the capacity retention of the cell with the B/Caincorporated Ni-rich L-NCM cathode improves markedly (72.4%), whereas the bare Ni-rich L-NCM material only retains 44.3% of its capacity after 100 cycles.</t>
  </si>
  <si>
    <t>10.1016/j.apsusc.2024.160195</t>
  </si>
  <si>
    <t>WOS:001238715400001</t>
  </si>
  <si>
    <t>Pach, GF; Adhikari, PR; Quinn, J; Wang, C; Singh, A; Verma, A; Colclasure, A; Kim, JH; Teeter, G; Veith, GM; Neale, NR; Carroll, GM</t>
  </si>
  <si>
    <t>Pach, Gregory F.; Adhikari, Pashupati R.; Quinn, Joseph; Wang, Chongmin; Singh, Avtar; Verma, Ankit; Colclasure, Andrew; Kim, Jae Ho; Teeter, Glenn; Veith, Gabriel M.; Neale, Nathan R.; Carroll, Gerard M.</t>
  </si>
  <si>
    <t>Boron-Silicon Alloy Nanoparticles as a Promising New Material in Lithium-Ion Battery Anodes</t>
  </si>
  <si>
    <t>Silicon's potential as a lithium-ion battery (LIB) anode is hindered by the reactivity of the lithium silicide (LixSi) interface. This study introduces an innovative approach by alloying silicon with boron, creating boron/silicon (BSi) nanoparticles synthesized via plasma-enhanced chemical vapor deposition. These nanoparticles exhibit altered electronic structures as evidenced by optical, structural, and chemical analysis. Integrated into LIB anodes, BSi demonstrates outstanding cycle stability, surpassing 1000 lithiation and delithiation cycles with minimal capacity fade or impedance growth. Detailed electrochemical and microscopic characterization reveal very little SEI growth through 1000 cycles, which suggests that electrolyte degradation is virtually nonexistent. This unconventional strategy offers a promising avenue for high-performance LIB anodes with the potential for rapid scale-up, marking a significant advancement in silicon anode technology.</t>
  </si>
  <si>
    <t>Carroll, Mike/KII-2845-2024; Wang, Chongmin/ABE-8457-2020; Kim, Jae Ho/N-7305-2017</t>
  </si>
  <si>
    <t>Verma, Ankit/0000-0002-7610-8574; Adhikari, PhD, Pashupati R./0000-0003-4886-5794; wang, chongmin/0000-0003-3327-0958; Kim, Jae Ho/0000-0002-9591-1178; Pach, Gregory/0000-0002-5062-735X; Veith, Gabriel/0000-0002-5186-4461; Colclasure, Andrew/0000-0002-9574-5106</t>
  </si>
  <si>
    <t>MAY 2</t>
  </si>
  <si>
    <t>10.1021/acsenergylett.4c00856</t>
  </si>
  <si>
    <t>WOS:001225157200001</t>
  </si>
  <si>
    <t>Zhai, R; Li, H; Wang, X; Wang, J; Li, ZQ; Guo, XY; Wang, RF; Liu, Y; Chen, KZ; Yang, J; Yu, DD; Teng, C; Ma, XY</t>
  </si>
  <si>
    <t>Zhai, Rui; Li, Hao; Wang, Xue; Wang, Jie; Li, Zequn; Guo, Xueyuan; Wang, Rongfang; Liu, Yong; Chen, Kezheng; Yang, Jie; Yu, Dandan; Teng, Chao; Ma, Xiaoyan</t>
  </si>
  <si>
    <t>Bioinspired OH-BNNS/aramid fiber separator with high mechanical and temperature-tolerant properties for lithium metal batteries</t>
  </si>
  <si>
    <t>Battery separator is considered as an important component to avoid direct contact between cathode and anode. The development of separators with high mechanical properties and excellent thermal stability remains a key challenge. Here, free-standing hydroxylated boron nitride nanosheet (OH-BNNS)/aramid nanofiber (ANF) nanocomposite separators with nacre-like structure were prepared by combining high modulus ANF with OH-BNNS through sol-gel conversion process. The OH-BNNS/ANF separator with 20 wt% OH-BNNS loading offers benefits of excellent mechanical properties (strength: 114.86 +/- 3.47 MPa, modulus: 3.66 +/- 0.29 GPa), high decomposition temperature (507.8 degrees C) as well as better electrolyte wettability (contact angle &lt;5 degrees) compared with commercial polypropylene (PP) separator. A layered structure formed by the overlapped OH-BNNS and ANF contributes to constructing uniform lithium-ion transport channels and suppressing the growth of lithium dendrites. Meanwhile, even under the aging condition of 120 degrees C, the battery with 20 wt% OH-BNNS/ANF separator still maintains stable electrochemical performance and shows high thermal stability. As expected, the Li/lithium titanate (Li/LTO) battery using 20 wt% OH-BNNS/ANF as the separator achieves a capacity of 172.7 mAh g(-1) with a high discharge capacity retention of 96.5 % after 500 cycles, revealing the long-term cycle stability.</t>
  </si>
  <si>
    <t>Li, Zequn/N-5117-2019; Zhai, Rui/A-8059-2013; Yu, Dandan/T-6641-2019; Liu, Yong/AAD-7155-2020</t>
  </si>
  <si>
    <t>JUL 15</t>
  </si>
  <si>
    <t>10.1016/j.jallcom.2024.174600</t>
  </si>
  <si>
    <t>APR 2024</t>
  </si>
  <si>
    <t>WOS:001236498700001</t>
  </si>
  <si>
    <t>Ouyang, DX; Wang, K; Guan, J; Wang, ZR</t>
  </si>
  <si>
    <t>Ouyang, Dongxu; Wang, Kuo; Guan, Jun; Wang, Zhirong</t>
  </si>
  <si>
    <t>Liquid non-aqueous electrolytes for high-voltage and high-safety lithium-ion cells: A review</t>
  </si>
  <si>
    <t>High-voltage high-safety electrolytes have been proven to be an efficient approach to improve the electrochemical and safety performance of lithium-ion cells under high voltages; therefore, a comprehensive review concerning the research status of liquid non-aqueous high-voltage high-safety electrolytes is presented in this work. Considering the constituents of liquid non-aqueous electrolytes for lithium-ion cells, this review is compromised of three parts. Firstly, typical salts for lithium-ion cells are introduced. The combination among multiple salts, that could overcome each other's defects has been verified to enable high-voltage and high-safety cells. Secondly, representative high-voltage high-safety solvents including high-concentration electrolytes (localized high-concentration electrolytes), fluorinated solvents, ether solvents, nitrile solvents, sulfone solvents, ionic liquids are discussed respectively. Modifying the structure of traditional solvents and mixing several promising solvents to build new electrolyte systems are revealed to effectively improve the characteristics of cells at high voltage. Finally, this review demonstrates the additives for high-voltage high-safety cells, exampled by fluorinated ones, vulcanization ones, nitrile ones, phosphate ester-based ones, and boron-based ones. Although the content of additives within the electrolyte is minor, the existence of an efficient additive could efficaciously inhibit the decomposition of solvents at high voltage and generate robust protective electrode/electrolyte interface layers, consequently enhancing the high-voltage performance of cells.</t>
  </si>
  <si>
    <t>WANG, KUO/LLK-1976-2024</t>
  </si>
  <si>
    <t>10.1016/j.jpowsour.2024.234550</t>
  </si>
  <si>
    <t>WOS:001235007400001</t>
  </si>
  <si>
    <t>Dang, YZ; Xu, Z; Wu, YR; Zheng, RG; Wang, ZY; Lin, XP; Liu, YG; Li, ZY; Sun, K; Chen, DF; Wang, D</t>
  </si>
  <si>
    <t>Dang, Yuzhen; Xu, Zhe; Wu, Yurong; Zheng, Runguo; Wang, Zhiyuan; Lin, Xiaopin; Liu, Yanguo; Li, Zheng-Yao; Sun, Kai; Chen, Dongfeng; Wang, Dan</t>
  </si>
  <si>
    <t>Boron-doped high-entropy oxide toward high-rate and long-cycle layered cathodes for wide-temperature sodium-ion batteries</t>
  </si>
  <si>
    <t>O3-type layered metal oxides hold great promise for sodium-ion batteries cathodes owing to their energy density advantage. However, the severe irreversible phase transition and sluggish Na' diffusion kinetics pose significant challenges to achieve high-performance layered cathodes. Herein, a boron-doped O3-type high entropy oxide Na(Fe0.2Co0.15Cu0.05Ni0.2Mn0.2Ti0.2)B0.02O2 (NFCCNMT-B0.02) is designed and the covalent B-O bonds with high entropy configuration ensure a robust layered structure. The obtained cathode NFCCNMT-B0.02 exhibits impressive cycling performance (capacity retention of 95% and 82% after 100 cycles and 300 cycles at 1 and 10 C, respectively) and outstanding rate capability (capacity of 83 mAh g-1 at 10 C). Furthermore, the NFCCNMT-B0.02 demonstrates a superior wide-temperature performance, maintaining the same capacity level (113.4 mAh g-1@-20 degrees C, 121 mAh g-1@25 degrees C, and 119 mAh g-1@60 degrees C) and superior cycle stability (90% capacity retention after 100 cycles at 1 C at -20 degrees C). The high-entropy configuration design with boron doping strategy contributes to the excellent sodium-ion storage performance. The high-entropy configuration design effectively suppresses irreversible phase transitions accompanied by small volume changes (DV = 0.65 &amp; Aring;3). B ions doping expands the Na layer distance and enlarges the P3 phase region, thereby enhancing Na' diffusion kinetics. This work offers valuable insights into design of high-performance layered cathodes for sodium-ion batteries operating across a wide temperature. (c) 2024 Science Press and Dalian Institute of Chemical Physics, Chinese Academy of Sciences. Published by ELSEVIER B.V. and Science Press. All rights reserved.</t>
  </si>
  <si>
    <t>Li, Zheng-Yao/M-1517-2017</t>
  </si>
  <si>
    <t>Li, Zheng-Yao/0000-0002-0149-5864</t>
  </si>
  <si>
    <t>10.1016/j.jechem.2024.03.055</t>
  </si>
  <si>
    <t>WOS:001233882600001</t>
  </si>
  <si>
    <t>Cheng, ZX; Xiang, JW; Yuan, LX; Liao, YQ; Zhang, Y; Xu, XN; Ji, HJ; Huang, YH</t>
  </si>
  <si>
    <t>Cheng, Zexiao; Xiang, Jingwei; Yuan, Lixia; Liao, Yaqi; Zhang, Yi; Xu, Xiaoning; Ji, Haijin; Huang, Yunhui</t>
  </si>
  <si>
    <t>Multifunctional Additive Enables a 5H PEO Solid Electrolyte for High-Performance Lithium Metal Batteries</t>
  </si>
  <si>
    <t>The solid-state battery with a lithium metal anode is a promising candidate for next-generation batteries with improved energy density and safety. However, the current polymer electrolytes still cannot fulfill the demands of solid-state batteries. In this work, we propose a 5H poly(ethylene oxide) (PEO) electrolyte via introducing a multifunctional additive of tris(pentafluorophenyl)borane (TPFPB) for high-performance lithium metal batteries. The addition of TPFPB improves the ionic conductivity from 6.08 x 10(-5) to 1.54 x 10(-4) S cm(-1) via reducing the crystallinity of the PEO electrolyte and enhances the lithium-ion transference number from 0.19 to 0.53 via anion trapping due to its Lewis acid nature. Furthermore, the fluorine and boron segments from TPFPB can optimize the composition of the solid-electrolyte interphase and cathode-electrolyte interphase, providing a high electrochemical stability window over 4.6 V of the PEO electrolyte along with significantly improved interface stability. At last, TPFPB can ensure improved safety through a self-extinguishing effect. As a result, the 5H electrolyte enables the Li/Li symmetric cells to achieve a stable cycle over 2200 h at the current density of 0.2 mA cm(-2) with a capacity of 0.2 mA h cm(-2); the LiFePO4/Li full cells with a high LFP loading of 8 mg cm(-2) exhibits decay-free capacity of 140 mA h g(-1) (99% capacity retention) after 100 cycles; and the NCM811/Li cells exhibit a high capacity of 160 mA h g(-1) after 50 cycles at 0.5 C. This work presents an innovative approach to utilizing a 5H electrolyte for high-performance solid-state lithium batteries.</t>
  </si>
  <si>
    <t>Wang, Zhaohui/O-3251-2019; xiang, jingwei/LTD-7431-2024; Huang, Yunhui/L-6536-2019</t>
  </si>
  <si>
    <t>APR 22</t>
  </si>
  <si>
    <t>10.1021/acsami.4c02031</t>
  </si>
  <si>
    <t>WOS:001241360100001</t>
  </si>
  <si>
    <t>Li, JH; Fan, ZQ; Guo, J; Zheng, JY; Xie, WT; Fang, Z; Yan, CX; Wang, RZ; Chen, HR; He, HX; Kasera, AA; Zeng, RH</t>
  </si>
  <si>
    <t>Li, Jianhui; Fan, Ziqiang; Guo, Juan; Zheng, Junyang; Xie, Wentao; Fang, Zhou; Yan, Chenxi; Wang, Rongzheng; Chen, Houru; He, Haoxuan; Kasera, Alice A.; Zeng, Ronghua</t>
  </si>
  <si>
    <t>Insights into the efficient roles of boron-containing additives for Li-ion batteries</t>
  </si>
  <si>
    <t>SURFACES AND INTERFACES</t>
  </si>
  <si>
    <t>Adding electrolyte additives are widely recognized as a cost-effective and efficient way to enhance the functionality of electrode-electrolyte interfaces, resulting in improved electrochemical performance of lithium-ion batteries (LIBs). Boron-containing compounds typically exhibit one or more of the following effects, including the ability to form a stable electrode-electrolyte interface, promote the dissociation of LiPF6, reduce LiF deposition and the content of HF, and inhibit O2 evolution in the cathode at high voltages. Therefore, boroncontaining compounds have attracted considerable attention as additives in various types of electrolytes. Here, we present a comprehensive review of the latest advancements and progress made in the field of boroncontaining additives for LIBs. Specifically, we discuss five representative types of boron-containing electrolyte additives, including organic borates, lithium salt-based boron compounds, boroxine, boranes, and other minor additives, and focus on the improvements of the electrode-electrolyte interfaces and electrochemical performance in LIBs. Furthermore, we present future research directions for the advancement of boron-containing compounds as functional electrolyte additives. The objective of this review is to offer a thorough evaluation of the present research status in this particular field, serving as both a fundamental reference for understanding the existing landscape and a practical guide for selecting appropriate additives for real-world applications.</t>
  </si>
  <si>
    <t>Wan, Rongzheng/GXA-0979-2022; He, Haoxuan/P-2278-2019</t>
  </si>
  <si>
    <t>2468-0230</t>
  </si>
  <si>
    <t>10.1016/j.surfin.2024.104309</t>
  </si>
  <si>
    <t>WOS:001298857000001</t>
  </si>
  <si>
    <t>Duan, PH; Yu, JL; Liu, QS; Wu, G; Wang, XL; Wang, YZ</t>
  </si>
  <si>
    <t>Duan, Ping-Hui; Yu, Jia-Ling; Liu, Qing-Song; Wu, Gang; Wang, Xiu-Li; Wang, Yu-Zhong</t>
  </si>
  <si>
    <t>Dynamic Anion Enables Self-Healing Single-Ion Conductor Polymer Electrolyte for Lithium-Metal Batteries</t>
  </si>
  <si>
    <t>Lithium-metal batteries (LMBs) are regarded as a promising option for high-energy-density storage systems. However, lithium dendrite growth in LMBs can damage electrolytes and cause short circuits, which severely limits the practical application of LMBs. It is highly desired to develop an advanced polymer electrolyte with self-healing capability and the ability to inhibit the growth of lithium dendrites for enhancing safety and prolonging the cycle life of the LMBs. Herein, sp3 boron-based single-ion conductor polymer electrolytes (B-SIPEs) with excellent self-healing capability and interfacial stability are constructed. The rapid bond exchange reactions of dynamic borate anions enable B-SIPE to fast self-heal in mild conditions, with a high self-healing efficiency of 87% within 30 min at an ambient temperature. In particular, B-SIPE displays a high Li+ transference number (0.88) and excellent lithium dendrite inhibition ability. The Li|B-SIPE|Li cells exhibit a stable overpotential over 2000 h without short-circuit. Additionally, the LiFePO4||Li cells with B-SIPE exhibit superior long-term cycling performance, with 93.5% capacity retention for 500 cycles. Significantly, B-SIPE is capable of self-healing the fracture in LiFePO4||Li cells and recovering the battery performance. These results demonstrate that the advanced self-healing single-ion conductor polymer electrolytes effectively promote the reliability and safety of LMBs. A novel charge-delocalized sp3 boron-based lithium salt, lithium bis(5-Aminosalicylic acid) borate (LiB5AB), is developed as a two-in-one anion building block to construct a self-healing single-ion conductor polymer electrolyte (B-SIPE16). This innovative electrolyte exhibits high self-healing efficiency, good lithium-ion conduction, and excellent inhibition of lithium dendrite growth. image</t>
  </si>
  <si>
    <t>Wu, Gang/D-6166-2011; Wang, Yuzhong/AEO-7973-2022; Yu, Jialing/LFV-4213-2024</t>
  </si>
  <si>
    <t>10.1002/adfm.202402065</t>
  </si>
  <si>
    <t>WOS:001205053800001</t>
  </si>
  <si>
    <t>Ho, KE; Liu, YF; Hwang, DK; Zarrin, H</t>
  </si>
  <si>
    <t>Ho, Kane; Liu, Yifan; Hwang, Dae Kun; Zarrin, Hadis</t>
  </si>
  <si>
    <t>Boron Nitride Nanosheet-Based Gel Polymer Electrolytes for Stable Lithium Metal Batteries</t>
  </si>
  <si>
    <t>In order to address the safety concerns of conventional carbonate liquid electrolytes in lithium (Li) batteries, porous gel polymer electrolytes (GPEs) can encapsulate the solution while providing good electrolyte-electrode contact. In this work, a GPE is designed and fabricated with multifunctional exfoliated two-dimensional (2D) hexagonal boron nitride nanosheets (BNs), leading to improved thermal stability, ionic conductivity, Li+ transference number, mechanical strength, and dendrite-suppressing properties for Li metal batteries. Through phase inversion, a high porosity and electrolyte uptake are achieved while maintaining a stable film structure. Utilizing a binary polymer mixture of polyvinylidene fluoride (PVDF) and poly(ethylene oxide) (PEO) doped with exfoliated BN flakes, the final BN-GPE at 3.6 wt % BN can effectively suppress dendrite growth through multiple charge/discharge cycles with a high ionic conductivity of 3.03 x 10(-3) S/cm at ambient conditions while showing a high Li transference number of 0.60. The Li metal battery cell performance with this GPE demonstrates a strong initial capacity at 82.9 mAh/g at 0.5C and improves capacity over the undoped GPE by 22% after 45 cycles.</t>
  </si>
  <si>
    <t>Zarrin, Hadis/0000-0002-6364-3447</t>
  </si>
  <si>
    <t>APR 18</t>
  </si>
  <si>
    <t>10.1021/acsanm.4c01121</t>
  </si>
  <si>
    <t>WOS:001226324200001</t>
  </si>
  <si>
    <t>Ready, AD; Nelson, YA; Pomares, DFT; Spokoyny, AM</t>
  </si>
  <si>
    <t>Ready, Austin D.; Nelson, Yessica A.; Pomares, Daniel F. Torres; Spokoyny, Alexander M.</t>
  </si>
  <si>
    <t>Redox-Active Boron Clusters</t>
  </si>
  <si>
    <t>ACCOUNTS OF CHEMICAL RESEARCH</t>
  </si>
  <si>
    <t>n this Account, we discuss our group's research over the past decade on a class of functionalized boron clusters with tunable chemical and physical properties, with an emphasis on accessing and controlling their redox behavior. These clusters can be thought of as three-dimensional aromatic systems that have distinct redox behavior and photophysical properties compared to their two-dimensional organic counterparts. Specifically, our lab has studied the highly tunable, multielectron redox behavior of B-12(OR)(12) clusters and applied these molecules in various settings. We first discuss the spectroscopic and electrochemical characterization of B-12(OR)(12) clusters in various oxidation states, followed by their use as catholytes and/or anolytes in redox flow batteries and chemical dopants in conjugated polymers. Additionally, the high oxidizing potential and visible light-absorbing nature of fluoroaryl-functionalized B-12(OR)(12) clusters have been leveraged by our group to generate weakly coordinating, photoexcitable species that can promote photooxidation chemistry. We have further translated these solution-phase studies of B-12(OR)(12) clusters to the solid state by using the precursor [B-12(OH)(12)](2-) cluster as a robust building block for hybrid metal oxide materials. Specifically, we have shown that the boron cluster can act as a thermally stable cross-linking material, which enhances electron transport between metal oxide nanoparticles. We applied this structural motif to create TiO2- and WO3-containing materials that showed promising properties as photocatalysts and electroactive materials for supercapacitors. Building on this concept, we later discovered that B-12(OCH3)(12), the smallest of the B-12(OR)(12) family, could retain its redox behavior in the solid state, a previously unseen phenomenon. We successfully harnessed this unique behavior for solid-state energy storage by implementing this boron cluster as a cathode-active material in a Li-ion prototype cell device. Recently, our group has also explored how to tune the redox properties of clusters other than B-12(OR)(12) species by synthesizing a library of vertex-differentiated clusters containing both B-OR and B-halogen groups. Due to the additive qualities of different functional groups on the cluster, these species allow access to a region of electrochemical potentials previously inaccessible by fully substituted closo-dodecaborate alkoxy-based derivatives. Lastly, we discuss our research into smaller-sized redox-active polyhedral boranes (B-6- and B-10-based cluster cores). Interestingly, these clusters show significantly less redox stability and reversibility than their dodecaborate-based counterparts. While exploring the functionalization of closo-hexaborate to create fully substituted derivates (i.e., [B6R6Hfac](-)), we observed unique oxidative decomposition pathways for this cluster system. Consequently, we leveraged this oxidative instability to generate useful alkyl boronate esters via selective chemical oxidation. We further explored a closo-decaborate cluster as a platform to access electrophilic [B10H13](+) species capable of directly borylating arene compounds with unique regioselectivity. Upon chemical oxidation of the arylated decaborate clusters, we successfully synthesized various aryl boronate esters, establishing the generality of the oxidative cluster deconstruction concept. Overall, our work shows that boron clusters are an appealing class of redox-active molecules, and this fundamental and understudied property can be leveraged for constructing novel materials with tunable physical and electrochemical properties, as well as producing unique chemical reagents for small molecule synthesis.</t>
  </si>
  <si>
    <t>; Spokoyny, Alexander/V-3526-2019</t>
  </si>
  <si>
    <t>Nelson, Yessica/0000-0002-7744-051X; , Daniel Torres Pomares/0009-0007-7908-8648;</t>
  </si>
  <si>
    <t>0001-4842</t>
  </si>
  <si>
    <t>1520-4898</t>
  </si>
  <si>
    <t>10.1021/acs.accounts.4c00040</t>
  </si>
  <si>
    <t>WOS:001203969200001</t>
  </si>
  <si>
    <t>Liu, XT; Zhou, CM; Qi, HK; Wang, F; Huang, G; Li, K; Na, ZL</t>
  </si>
  <si>
    <t>Liu, Xiaoting; Zhou, Chenming; Qi, Houkai; Wang, Fang; Huang, Gang; Li, Kai; Na, Zhaolin</t>
  </si>
  <si>
    <t>An Innovative Concept of Membrane-Free Redox Flow Batteries with Near-Zero Contact Distance Between Electrodes</t>
  </si>
  <si>
    <t>Given that the ion-exchange membrane takes up more than 30% of redox flow battery (RFB) cost, considerable cost reduction is anticipated with the membrane-free design. However, eliminating the membrane/separator would expose the membrane-free RFBs to a higher risk of short-circuits, and the dendrite growth may aggravate this issue. The current strategy based on expanding distances between electrodes is proposed to address short-circuit issues. Nevertheless, this approach would decrease the energy efficiency (EE) and could not restrain dendrite growth fundamentally. Herein, an inexpensive and electron-insulating boron nitride nanosheets (BNNSs)-Nylon hybrid interlayer (BN/Nylon) is developed for general membrane-free RFBs to achieve near-zero distance contact between electrodes. And the Lewis acid sites (B atoms) in BNNS can interact with the Lewis base anions in electrolytes, enabling a reduced Pb2+concentration gradient. Additionally, the ultrahigh thermal conductivity and mechanical strength of BNNSs promote the uniform plating/stripping process of Pb and PbO2. Compared with conventional soluble lead RFBs, introducing BN/Nylon interlayers boosts EE by approximate to 38.2% at 25 mA cm-2, and extends the cycle life to 100 cycles. This innovative strategy premieres the application of the BN/Nylon interlayer concept, offering a novel perspective for the development of general membrane-free RFBs. An inexpensive and electron-insulating boron nitride nanosheets (BNNSs)-Nylon hybrid interlayer (BN/Nylon) is for general membrane-free RFBs to achieve near-zero contact distance between electrodes with reduced polarization loss, enabling low overpotential and improved energy efficiency. Furthermore, benefiting from the excellent thermal conductivity and abundant active sites of BNNSs, the uniform plating/stripping process of Pb and PbO2 can be achieved. image</t>
  </si>
  <si>
    <t>Li, Kai/JVN-2899-2024; Wang, Fang/B-1923-2016</t>
  </si>
  <si>
    <t>10.1002/smll.202310845</t>
  </si>
  <si>
    <t>WOS:001198757300001</t>
  </si>
  <si>
    <t>Park, SJ; Choi, YJ; Cheon, J; Kim, H; Lee, JW; Yim, T; Kim, KJ</t>
  </si>
  <si>
    <t>Park, Sung Joon; Choi, Yun Jeong; Cheon, Jaemun; Kim, Hyungjun; Lee, Jong-Won; Yim, Taeeun; Kim, Ki Jae</t>
  </si>
  <si>
    <t>A sacrificial separator facilitating in situ creation of a durable CEI layer and tailoring lithium dendrites for practical lithium metal batteries</t>
  </si>
  <si>
    <t>A Li metal anode and NCM811 cathode are used to realize practical Li metal batteries (LMBs) with a high energy density. However, during repeated charging-discharging processes, the concurrent occurrence of two adverse effects, i.e., uncontrollable Li dendrite formation and the structural collapse of the Ni-rich cathode, results in severe degradation of the electrochemical performance of LMBs. To tackle these challenges, we propose an interface-targeting separator, which is prepared by anchoring tributyl borate (TBB) onto a polyethylene (PE) separator. The TBB-PE separator can facilitate the robust formation of a cathode-electrolyte interface (CEI) while suppressing the uncontrollable formation and growth of Li dendrites. The TBB-PE separator can tightly hold the anions of the dissociated Li salts, thereby facilitating the transport of Li+ and ultimately suppressing the formation and growth of dendritic Li. Concurrently, the TBB-PE separator forms a robust and uniform boron-rich CEI layer, thereby preventing the occurrence of electrolyte decomposition at the NCM811 cathode. Therefore, these distinctive characteristics of the TBB-PE separator allow enhanced cycling performance in the resulting LMBs assembled with Li metal and NCM811 in a carbonate electrolyte.</t>
  </si>
  <si>
    <t>; Kim, Soo-Hyun/D-1577-2019; Kim, Min/AAZ-9598-2021</t>
  </si>
  <si>
    <t>Park, Sung Joon/0000-0002-9568-7698;</t>
  </si>
  <si>
    <t>MAY 14</t>
  </si>
  <si>
    <t>10.1039/d4ta01234h</t>
  </si>
  <si>
    <t>WOS:001204196100001</t>
  </si>
  <si>
    <t>Saminathan, A; Amudhasagar, D; Elumalai, S; Joseph, PL; Subashchandrabose, R; Krishnasamy, S</t>
  </si>
  <si>
    <t>Saminathan, Aadheeshwaran; Amudhasagar, Devadharshini; Elumalai, Soundarrajan; Joseph, Prettencia Leonard; Subashchandrabose, Raghu; Krishnasamy, Sankaranarayanan</t>
  </si>
  <si>
    <t>Understanding the Electrochemical Performance of Spongy C-F Derivative Chains as an Effective Anion Trapping Composite Matrix for Li-Ion Batteries</t>
  </si>
  <si>
    <t>Recently, the rapid growth of Li-ion battery (LIB) technologies requires the exploit of highly porous, thermally, and electrochemically stable composite polymer electrolyte (CPE) membranes. Herein, a novel spongy asymmetric composite matrix composed of poly(vinylidene fluoride cohexafluoropropylene), cellulose, and boron nitride was designed via a spinning cum immersion precipitation route. Notably, the fabricated PCBN-CPE membrane displays a high surface porosity, good electrolyte uptake, better mechanical stability, and excellent thermal stability. The fabricated membrane, assembled with a LiFePO4 parallel to Li electrochemical cell, exhibits splendid cycling stability, with a primary specific discharge capacity of 154.1 mAh g(-1) and a capacity retention of 73.8% after 250 cycles at 0.2 C. In addition, the composite polymer electrolyte renders an excellent Li-ion transference number (0.86) at room temperature. Interestingly, the density functional results elucidate that the existence of boron nitrides on the porous matrix can effectively trap anions (PF6-) and, thereby, reduce the growth of Li dendrites. Therefore, the present work affords a fabulous approach for high-performance Li-ion battery (LIB) application.</t>
  </si>
  <si>
    <t>chandrabose, Raghu/K-4885-2014</t>
  </si>
  <si>
    <t>APR 3</t>
  </si>
  <si>
    <t>10.1021/acssuschemeng.3c06945</t>
  </si>
  <si>
    <t>WOS:001196475300001</t>
  </si>
  <si>
    <t>Tan, SS; Xu, J; Deng, RR; Zhao, QN; Xu, CH; Huang, GS; Wang, JF; Pan, FS</t>
  </si>
  <si>
    <t>Tan, Shuangshuang; Xu, Jie; Deng, Rongrui; Zhao, Qiannan; Xu, Chaohe; Huang, Guangsheng; Wang, Jingfeng; Pan, Fusheng</t>
  </si>
  <si>
    <t>A perspective on the key factors of safety for rechargeable magnesium batteries</t>
  </si>
  <si>
    <t>Rechargeable Mg batteries (RMBs) have become one of the best subsitutes for lithium -ion batteries due to the high volumetric capacity, abundant resources, and uniform plating behavior of Mg metal anode. However, the safety hazard induced by the formation of high-modulue Mg dendrites under a high current density (10 mA cm -1 ) was still revealed in recent years. It has forced researchers to re-examine the safety of RMBs. In this review, the intrinsic safety factors of key components in RMBs, such as uneven plating, pitting and flammability of Mg anode, heat release and crystalline water decomposition of cathode, strong corrosion, low oxidition stability and flammability of electrolytes, and so forth, are systematacially summarized. Their origins, formation mechanisms, and possible safety hazards are deeply discussed. To develop high-performance Mg anode, current strategies including designing artificial SEI, threedimensional substrates, and Mg alloys are summarized. For practical electrolytes, the configurations of boron -centered anions and simple Mg salts and the functionalized solvent with high boiling point and low flammability are suggested to comprehensively design. In addition, the future study should more focus on the investigation on the thermal runaway and decomposition of cathode materials and separators. This review aims to provide fundamental insights into the relationship between electrochemistry and safety, further promoting the sustainable development of RMBs. (c) 2024 Science Press and Dalian Institute of Chemical Physics, Chinese Academy of Sciences. Published by ELSEVIER B.V. and Science Press. All rights reserved.</t>
  </si>
  <si>
    <t>; chaohe, xu/B-6493-2011; qiannan, Zhao/AAK-6553-2020; Pan, Fusheng/E-1885-2018</t>
  </si>
  <si>
    <t>Deng, Rongrui/0009-0006-8532-3766;</t>
  </si>
  <si>
    <t>10.1016/j.jechem.2024.03.015</t>
  </si>
  <si>
    <t>WOS:001218636400001</t>
  </si>
  <si>
    <t>Taherkhani, F; Minofar, B</t>
  </si>
  <si>
    <t>Taherkhani, Farid; Minofar, Babak</t>
  </si>
  <si>
    <t>The Impact of Chemical Modifications on The Ionic Conductivity of Ionic Liquid Encapsulated in Carbon Nanotubes, Potential Application in Aluminum Ion Battery</t>
  </si>
  <si>
    <t>CHEMICAL PHYSICS</t>
  </si>
  <si>
    <t>The transport and thermodynamic properties of 1-ethyl-3methyl imidazolium hexafluorophosphate ([EMIM] [PF6]) ionic liquid encapsulated in carbon nanotubes or graphite represent a significant challenge in the development of Aluminum-ion batteries. To achieve high energy density in Aluminum-ion batteries, it is explored the use of ionic liquid solvents as electrolytes to enhance the ionic conductivity of the ionic liquid when encapsulated in carbon nanotubes as electrodes. The doping effects of sulfur and boron atoms in single-walled carbon nanotubes (SWCNTs) have been investigated to determine their impact on the ionic transfer number of the ionic liquid encapsulated in SWCNTs. The Green -Kubo formalism has been employed to calculate the ionic transfer number and electrical conductivity of the ionic liquid when encapsulated in SWCNTs doped with sulfur and boron atoms. The results obtained using the Green -Kubo formalism indicate that sulfur doping in SWCNTs, particularly in those with a larger radius, serves as a selective porous electrode material, significantly enhancing the electrical conductivity of the confined ionic liquid. Furthermore, the radial distribution function between the carbon alkyl groups in the ionic liquid and the carbon wall of the carbon nanotube, which is doped with sulfur and boron atoms, demonstrates that the doping effect does not alter the radial distribution function. The GreenKubo result obtained for the electrical conductivity of the ([EMIM][PF6]) ionic liquid demonstrates excellent agreement with the experimental data.</t>
  </si>
  <si>
    <t>; Minofar, Babak/I-4326-2012</t>
  </si>
  <si>
    <t>Taherkhani, Farid/0000-0003-2433-4964;</t>
  </si>
  <si>
    <t>0301-0104</t>
  </si>
  <si>
    <t>1873-4421</t>
  </si>
  <si>
    <t>JUN 1</t>
  </si>
  <si>
    <t>10.1016/j.chemphys.2024.112278</t>
  </si>
  <si>
    <t>MAR 2024</t>
  </si>
  <si>
    <t>WOS:001221395800001</t>
  </si>
  <si>
    <t>Berthou, W; Legallais, M; Bousquet, B; Motto-Ros, V; Le Cras, F</t>
  </si>
  <si>
    <t>Berthou, William; Legallais, Maxime; Bousquet, Bruno; Motto-Ros, Vincent; Le Cras, Frederic</t>
  </si>
  <si>
    <t>Characterization of lithium phosphorus oxide thin film libraries by laser-induced breakdown spectroscopy imaging: A step towards high-throughput quantitative analyses</t>
  </si>
  <si>
    <t>SPECTROCHIMICA ACTA PART B-ATOMIC SPECTROSCOPY</t>
  </si>
  <si>
    <t>Elemental analysis is a challenge for the development of High Throughput Experimentation (HTE) on thin film materials, and an even greater one when it comes to screening lithium-containing battery materials. In this regard, Laser-Induced Breakdown Spectroscopy has been evaluated here for the quantitative analysis of lithium in libraries of Li 2.3 PO 3.65 amorphous solid electrolyte films. The LIBS analysis of multiple samples with the same composition, but with thicknesses ranging from 50 to 700 nm, has revealed a linear trend in the intensity ratio of the Li I 610.35 nm and P I 214.91 nm emission lines, opening the way to rapid quantitative analysis of material libraries. The sensitivity of the technique finally allowed the detection of the Li I 670.79 nm emission line for film thicknesses down to 4 nm, corresponding to 0.2% of the ablated volume, or about 0.15 pg of Li.</t>
  </si>
  <si>
    <t>Bousquet, Bruno/MBG-8209-2025; LE CRAS, Frédéric/G-6492-2011; LE CRAS, Frederic/G-6492-2011</t>
  </si>
  <si>
    <t>LE CRAS, Frederic/0000-0003-3436-8279; Legallais, Maxime/0000-0002-7773-7479</t>
  </si>
  <si>
    <t>0584-8547</t>
  </si>
  <si>
    <t>1873-3565</t>
  </si>
  <si>
    <t>10.1016/j.sab.2024.106906</t>
  </si>
  <si>
    <t>WOS:001224413200001</t>
  </si>
  <si>
    <t>Bai, YF; Cai, B; Wang, LY; Gao, Y; Li, XS; Yang, XJ; Lü, W</t>
  </si>
  <si>
    <t>Bai, Yafeng; Cai, Bin; Wang, Liying; Gao, Yang; Li, Xuesong; Yang, Xijia; Lu, Wei</t>
  </si>
  <si>
    <t>Aqueous hybrid iron-ion battery capacitors with ultra-long cycle life</t>
  </si>
  <si>
    <t>With the over-exploitation of lithium resources, there is a tendency to find a new metal-ion energy storage device to replace lithium -ion batteries. In recent years, Fe -ion energy storage devices are acknowledged for their low cost, abundant resources, and safe characteristics, but their full potential has yet to be widely explored. Herein, we propose a new hybrid iron-ion battery capacitor (H-IIBC) energy storage device. The H-IIBC device prepared with nano flower-like activated carbon (FAC) as the cathode material, high-purity iron sheet as the anode material, and 1 M FeSO 4 + NH 4 Cl aqueous solution as the electrolyte. After atomic molecular dynamics simulations and ex situ characterization analysis, ion adsorption/desorption occurs on the surface of the FAC cathode during the charging/discharging process, accompanied by the redox of iron ions. The stripping/deposition of iron occurs at the high-purity iron anode. With the charging/discharging process, the reaction at the anode favors the interconversion between Fe 2+ and Fe 3+ which requires less energy, thus ensuring that the high purity iron will not be depleted. Thus, the specific capacitance of prepared H-IIBC could reach 644 mF g -1 (399 mF cm -2 ) at a current density of 1 mA cm -2 in the voltage window of 0-1 V and shows ultra -high cycling stability at 3,000 cycles test. This economical, long-life and safe H-IIBC is expected to realize great potential in the field of energy storage in the near future.</t>
  </si>
  <si>
    <t>Bai, Yafeng/NLN-5089-2025; Gao, Yang/HPD-1122-2023</t>
  </si>
  <si>
    <t>MAY 1</t>
  </si>
  <si>
    <t>10.1016/j.cej.2024.150586</t>
  </si>
  <si>
    <t>WOS:001217812500001</t>
  </si>
  <si>
    <t>Wu, DC; Li, JY; Zhao, YY; Wang, A; Zhang, GY; Jiang, JC; Fan, MM; Sun, K</t>
  </si>
  <si>
    <t>Wu, Dichao; Li, Jiayuan; Zhao, Yuying; Wang, Ao; Zhang, Gaoyue; Jiang, Jianchun; Fan, Mengmeng; Sun, Kang</t>
  </si>
  <si>
    <t>Lignin-derived carbon with pyridine N-B doping and a nanosandwich structure for high and stable lithium storage</t>
  </si>
  <si>
    <t>CARBON ENERGY</t>
  </si>
  <si>
    <t>Biomass-derived carbon is a promising electrode material in energy storage devices. However, how to improve its low capacity and stability, and slow diffusion kinetics during lithium storage remains a challenge. In this research, we propose a self-assembly-template method to prepare B, N codoped porous carbon (BN-C) with a nanosandwich structure and abundant pyridinic N-B species. The nanosandwich structure can increase powder density and cycle stability by constructing a stable solid electrolyte interphase film, shortening the Li+ diffusion pathway, and accommodating volume expansion during repeated charging/discharging. The abundant pyridinic N-B species can simultaneously promote the adsorption/desorption of Li+/PF6- and reduce the diffusion barrier. The BN-C electrode showed a high lithium-ion storage capacity of above 1140 mAh g-1 at 0.05 A g-1 and superior stability (96.5% retained after 2000 cycles). Moreover, owing to the synergistic effect of the nanosandwich structure and pyridinic N-B species, the assembled symmetrical BN-C//BN-C full cell shows a high energy density of 234.7 W h kg-1, high power density of 39.38 kW kg-1, and excellent cycling stability, superior to most of the other cells reported in the literature. As the density functional theory simulation demonstrated, pyridinic N-B shows enhanced adsorption activity for Li+ and PF6-, which promotes an increase in the capacity of the anode and cathode, respectively. Meanwhile, the relatively lower diffusion barrier of pyridinic N-B promotes Li+ migration, resulting in good rate performance. Therefore, this study provides a new approach for the synergistic modulation of a nanostructure and an active site simultaneously to fabricate the carbon electrode material in energy storage devices. B, N codoped porous carbon (BN-C) with a nanosandwich structure and abundant pyridinic N-B species was prepared using the self-assembly-template method. Owing to the synergistic effect of the nanostructure and pyridinic N-B sites, the assembled symmetrical BN-C//BN-C full cell shows high capacity and ultralong cycling stability, superior to most of the other cells reported in the literature. image</t>
  </si>
  <si>
    <t>; wang, ao/HJG-5888-2022; Fan, Mengmeng/KVZ-2041-2024; Li, Jonathon/HDM-5024-2022</t>
  </si>
  <si>
    <t>Wang, Ao/0000-0001-6143-6172; Fan, Mengmeng/0000-0002-4226-9142; Zhao, Yuying/0000-0002-1267-7903;</t>
  </si>
  <si>
    <t>2637-9368</t>
  </si>
  <si>
    <t>10.1002/cey2.511</t>
  </si>
  <si>
    <t>WOS:001188991900001</t>
  </si>
  <si>
    <t>Song, QQ; Zhang, YT; Liang, JL; Liu, S; Zhu, J; Yan, XB</t>
  </si>
  <si>
    <t>Song, Qianqian; Zhang, Yunting; Liang, Jianli; Liu, Si; Zhu, Jian; Yan, Xingbin</t>
  </si>
  <si>
    <t>Boron nitride nanofibers enhanced composite PEO-based solid-state polymer electrolytes for lithium metal batteries</t>
  </si>
  <si>
    <t>Polyethylene oxide (PEO)-based solid-state polymer electrolytes (SPEs) are limited by their poor cyclic stability and inferior ionic conductivity for applicating in high-safety, long-cycling and high-energy-density lithium metal batteries. Herein, porous boron nitride nanofibers (BNNFs) are filled into PEO-based SPE, which significantly suppresses Li dendrites growth and enhances the electrochemical performance of Li metal battery. BNNFs with high porosity have more active sites to connect with PEO, which can effectively reduce the crystallinity of the PEO matrix and enhance its ionic conductivity. Moreover, owing to the hardness and good stability of BNNFs, BNNFs/PEO/LiTFSI electrolyte exhibits a wider electrochemical window, better mechanical property and higher thermal stability compared with PEO/LiTFSI electrolyte. Consequently, the Li symmetric cell composed of 1% BNNFs/PEO/LiTFSI performs good cyclic stability ( &gt; 1800 h), and the Li||1% BNNFs/PEO/LiTFSI||LFP full battery shows obviously improved performances in charge-discharge polarization voltage, discharge specific capacity, rate performance and cyclic stability than the Li||PEO/LiTFSI||LFP battery. (c) 2024 Published by Elsevier B.V. on behalf of Chinese Chemical Society and Institute of Materia Medica, Chinese Academy of Medical Sciences.</t>
  </si>
  <si>
    <t>Liang, Jianli/P-2080-2019; Zhu, Jian/H-7329-2014; Yan, Xingbin/AAX-9096-2021; Song, Qianqian/N-6072-2015</t>
  </si>
  <si>
    <t>LIANG, Jianli/0000-0002-8893-7767;</t>
  </si>
  <si>
    <t>10.1016/j.cclet.2023.108797</t>
  </si>
  <si>
    <t>WOS:001216978100001</t>
  </si>
  <si>
    <t>Zeng, QH; Liu, Y; Wujieti, B; Li, ZF; Chen, AQ; Guan, JZ; Wang, HH; Jiang, YC; Zhou, HH; Cui, W; Wang, S; Zhang, LY</t>
  </si>
  <si>
    <t>Zeng, Qinghui; Liu, Yu; Wujieti, Baerlike; Li, Zhenfeng; Chen, Anqi; Guan, Jiazhu; Wang, Honghao; Jiang, Yuchen; Zhou, Henghui; Cui, Wei; Wang, Shi; Zhang, Liaoyun</t>
  </si>
  <si>
    <t>Rapid ion conduction enabled by synergism of oriented liquid crystals and Electron-Deficient boron atoms in multiblock copolymer electrolyte for advanced Solid-State Lithium-Ion battery</t>
  </si>
  <si>
    <t>Liquid crystals (LCs) with characteristics of self-orientation have exhibited superiorities in construction of ordered ion channels for rapid Li-ion transport. Herein, reversible addition-fragmentation chain transfer (RAFT) polymerization is employed to synthesize a unique type of boron-containing LCs based ABCBA type multiblock copolymers for the first time. The composite block copolymer electrolytes (BCPEs) are fabricated by introducing the copolymer electrolytes into glass fiber separator via solution-casting method. Noteworthily, LCs can not only provide ordered ion channels for efficient ion conduction, but also ameliorate the mechanical strength. Meanwhile, the nitrile groups with high polarity from LCs are able to further facilitate lithium salt dissociation and reinforce electrochemical stability of the system. Crucially, boron elements with electron deficiency can anchor anions and adsorb impurities to endow BCPEs with boosted ion transport capability and sufficient electrochemical stability. Consequently, the well-designed electrolyte shows high ionic conductivity of 1.13 x 10-4 S cm-1 (30 degrees C), and broadened electrochemical stability window of 4.85 V. Impressively, the assembled Li/ LiFePO4 cells and even Li/LiMnxFe1-xPO4 high-voltage cells exhibit remarkable performances. This work provides a synthetic strategy of structure-controlled polymer electrolyte matrix and illustrates that the BCPEs are definitely a category of satisfactory electrolyte candidate for high-performance solid-state lithium-ion batteries.</t>
  </si>
  <si>
    <t>zhang, yuhang/ISS-5685-2023; Carrot-Zhang, Jian/K-8618-2019</t>
  </si>
  <si>
    <t>Wujieti, Baerlike/0009-0003-8634-1454</t>
  </si>
  <si>
    <t>10.1016/j.cej.2024.150298</t>
  </si>
  <si>
    <t>WOS:001221372200001</t>
  </si>
  <si>
    <t>Zhang, L; Li, PJ; Zhang, DM; Pei, CY; Sun, B; Ni, SB</t>
  </si>
  <si>
    <t>Zhang, Le; Li, Pengju; Zhang, Dongmei; Pei, Cunyuan; Sun, Bing; Ni, Shibing</t>
  </si>
  <si>
    <t>Lithium difluoro(oxalate)borate as an efficient and multifunctional additive for extended cycling life of LiFePO4 cathodes</t>
  </si>
  <si>
    <t>Reasonable design of cathode-electrolyte interface (CEI) with high electrochemical stability and high ionic conductivity is crucial for improving the electrochemical performance of cathode materials. Herein, lithium difluoro(oxalate)borate (LiDFOB) is used as an efficient electrolyte additive to form a robust, dense, and conductive CEI on LiFePO4 cathode, which significantly enhances the rate capability and cycling stability. Specifically, the introduction of LiDFOB promotes the formation of a fluoride (F)- and boron (B)-rich CEI, effectively enhancing ion transport kinetics. Simultaneously, the generated CEI exhibits excellent stability, efficiently suppressing the continuous decomposition of the electrolyte and structural damage of LiFePO4 cathode over prolonged cycling. Consequently, the LiFePO4 cathode with LiDFOB additive exhibits a highly reversible capacity of 133.4 mAh g(-1) at 0.5 C and an excellent capacity retention of 94.4% over 400 cycles, which is superior to LiFePO4 without additive (only 66.1% capacity retention). This work confirms the promising potential of LiDFOB as a multifunctional electrolyte additive and provides new insights for constructing high-performance CEI.</t>
  </si>
  <si>
    <t>zhang, dongmei/B-8011-2013; Pei, Cunyuan/AAT-6070-2021; Ni, Shibing/A-3908-2017</t>
  </si>
  <si>
    <t>10.1007/s11581-024-05472-x</t>
  </si>
  <si>
    <t>WOS:001184329700001</t>
  </si>
  <si>
    <t>Zhao, JK; Wang, B; Zhan, ZH; Hu, MY; Cai, FP; Swierczek, K; Yang, KM; Ren, JN; Guo, ZH; Wang, ZL</t>
  </si>
  <si>
    <t>Zhao, Junkai; Wang, Bo; Zhan, Ziheng; Hu, Meiyang; Cai, Feipeng; Swierczek, Konrad; Yang, Kaimeng; Ren, Juanna; Guo, Zhanhu; Wang, Zhaolong</t>
  </si>
  <si>
    <t>Boron-doped three-dimensional porous carbon framework/carbon shell encapsulated silicon composites for high-performance lithium-ion battery anodes</t>
  </si>
  <si>
    <t>Deleterious volumetric expansion and poor electrical conductivity seriously hinder the application of Si -based anode materials in lithium -ion batteries (LIBs). Herein, boron -doped three-dimensional (3D) porous carbon framework/carbon shell encapsulated silicon (B-3DCF/Si@C) hybrid composites are successfully prepared by two coating and thermal treatment processes. The presence of 3D porous carbon skeleton and carbon shell effectively improves the mechanical properties of the B-3DCF/Si@C electrode during the cycling process, ensures the stability of the electrical contacts of the silicon particles and stabilizes the solid electrolyte interface (SEI) layer, thus enhancing the electronic conductivity and ion migration efficiency of the anode. The developed B3DCF/Si@C anode has a high reversible capacity, excellent cycling stability and outstanding rate performance. A reversible capacity of 1288.5 mAh/g is maintained after 600 cycles at a current density of 400 mA g -1 . The improved electrochemical performance is demonstrated in a full cell using a LiFePO 4 -based cathode. This study presents a novel approach that not only mitigates the large volume expansion effects in LIB anode materials, but also provides a reference model for the preparation of porous composites with various functionalities.</t>
  </si>
  <si>
    <t>Zhao, Junkai/LMQ-4541-2024; GUO, Zhanhu/L-2164-2015; Świerczek, Konrad/S-7666-2016; GUO, Zhanhu/L-2164-2015; WANG, ZHAOLONG/JTS-6212-2023</t>
  </si>
  <si>
    <t>GUO, Zhanhu/0000-0003-0134-0210; Swierczek, Konrad/0000-0003-4519-389X; GUO, Zhanhu/0000-0003-0134-0210; Zhan, Ziheng/0000-0003-1716-2586;</t>
  </si>
  <si>
    <t>10.1016/j.jcis.2024.03.053</t>
  </si>
  <si>
    <t>WOS:001224023300001</t>
  </si>
  <si>
    <t>Karger, L; Nunes, BN; Yusim, Y; Mazilkin, A; Zhang, RZ; Zhao, WA; Henss, A; Kondrakov, A; Janek, J; Brezesinski, T</t>
  </si>
  <si>
    <t>Karger, Leonhard; Nunes, Barbara Nascimento; Yusim, Yuriy; Mazilkin, Andrey; Zhang, Ruizhuo; Zhao, Wengao; Henss, Anja; Kondrakov, Aleksandr; Janek, Juergen; Brezesinski, Torsten</t>
  </si>
  <si>
    <t>Protective Nanosheet Coatings for Thiophosphate-Based All-Solid-State Batteries</t>
  </si>
  <si>
    <t>ADVANCED MATERIALS INTERFACES</t>
  </si>
  <si>
    <t>Superionic sulfide solid electrolytes (SEs) are of considerable interest for application in solid-state batteries, but suffer from limited stability. When in combination with state-of-the-art cathode active materials (CAMs), severe degradation at the CAM/SE interface occurs during electrochemical cycling. To improve upon the interfacial stability, inert coatings can be applied to the CAM particles, with the goal of preventing direct contact to the SE. In this study, different methods of depositing coatings, including hexagonal boron nitride, tungsten sulfide and exfoliated ((CH3(CH2)3)4N)4Nb6O17, in the form of nanosheets onto the free surface of a Ni-rich LiNixCoyMnzO2 (NCM) CAM are examined and compared with one another. While dry coating is shown to produce relatively uniform coatings (good surface coverage), the secondary particle morphology of the NCM makes ball milling as a mechanical deposition method less attractive. In contrast, deposition from dispersions in organic solvents yields protective coatings with a lower degree of surface coverage. The different materials are electrochemically tested in liquid- and solid-electrolyte-based lithium-ion batteries. A stabilizing effect from nanosheet coating is only observed for the cells with lithium thiophosphate SE. Various materials in the form of nanosheets are examined with regards to their use as protective coatings in liquid- and solid-electrolyte-based lithium-ion batteries. WS2 and LixNbOy nanosheets are found to have a positive effect on the cycling performance of thiophosphate-based solid-state batteries. image</t>
  </si>
  <si>
    <t>; Jianwen, Zhao/A-1171-2014; Mazilkin, Andrey/A-2588-2015; Janek, Juergen/A-9482-2012; Henss, Anja/JAN-9934-2023; Brezesinski, Torsten/C-1093-2016</t>
  </si>
  <si>
    <t>zhao, wengao/0000-0003-0868-8404; Mazilkin, Andrey/0000-0001-7805-8526; Nascimento Nunes, Barbara/0000-0002-1926-9638; Kondrakov, Aleksandr/0000-0003-1465-2854; Henss, Anja/0000-0001-5009-6512; Karger, Leonhard/0000-0002-3972-452X; Brezesinski, Torsten/0000-0002-4336-263X; Zhang, Ruizhuo/0000-0003-0292-5026</t>
  </si>
  <si>
    <t>2196-7350</t>
  </si>
  <si>
    <t>10.1002/admi.202301067</t>
  </si>
  <si>
    <t>WOS:001184192500001</t>
  </si>
  <si>
    <t>Qiu, PT; Chen, XW; Zhang, WY; Zhang, GG; Zhang, YC; Lu, ZW; Wu, YY; Chen, XN</t>
  </si>
  <si>
    <t>Qiu, Pengtao; Chen, Xinwei; Zhang, Wanyu; Zhang, Guoguo; Zhang, Yichun; Lu, Zhiwei; Wu, Yiying; Chen, Xuenian</t>
  </si>
  <si>
    <t>A High-Rate and Long-Life Sodium Metal Battery Based on a NaB3H8 ⋅ xNH3@NaB3H8 Composite Solid-State Electrolyte</t>
  </si>
  <si>
    <t>All-solid-state sodium metal batteries are promising for large-scale energy storage applications owing to their intrinsic safety and cost-effectiveness. However, they generally suffer from sodium dendrite growth or rapid capacity fading, especially at high rates, mainly due to poor wettability, sluggish ionic transport, or low interfacial stability of the solid electrolytes. Herein, we report a novel composite, NaB3H8 &amp; sdot; xNH(3)@NaB3H8 (x&lt;1), as a new class of solid electrolyte for high-rate batteries. NaB3H8 &amp; sdot; xNH(3)@NaB3H8 is obtained from the sticky NaB3H8 &amp; sdot; NH3 after removal of NH3 partially at room temperature. It delivers an ionic conductivity of 0.84 mS cm(-1) at 25 C-degrees and reaches 20.64 mS cm(-1) at 45 C-degrees after an order-disorder phase transformation. It also reveals a good capability of dendrite suppression and remarkable stability against sodium metal. These performances enable the all-solid-state Na//TiS2 battery with a high capacity of 232.4 mAh g(-1) (97.2 % of theoretical capacity) and long-term cycling stability at 1 C. Notably, this battery shows superior long-life cycling stability even at 5 and 10 C, which has been rarely reported in all-solid-state sodium metal batteries. This work opens a new group of solid electrolytes, contributing to fast-charging or high-power-density sodium metal batteries.</t>
  </si>
  <si>
    <t>Chen, Xuenian/C-4111-2018; Chen, Xinwei/ABN-8830-2022; Lu, Zhiwei/HRA-7748-2023; Qiu, Pengtao/ABB-5118-2021</t>
  </si>
  <si>
    <t>10.1002/anie.202401480</t>
  </si>
  <si>
    <t>WOS:001180821000001</t>
  </si>
  <si>
    <t>Eledath, AN; Poulose, AE; Muthukrishnan, A</t>
  </si>
  <si>
    <t>Eledath, Anook Nazer; Edathiparambil Poulose, Anuroop; Muthukrishnan, Azhagumuthu</t>
  </si>
  <si>
    <t>Origin of the Oxygen Reduction Activity on Boron-Doped Fe-N-C Catalysts for Zinc-Air Battery Applications</t>
  </si>
  <si>
    <t>Fe-N-C catalysts are considered promising alternatives to platinum-based oxygen reduction electrocatalysts in fuel cells and metal-air batteries. The oxygen reduction reaction (ORR) activity of the Fe-N-C catalysts was further improved by doping with electropositive boron, which outperformed the benchmark Pt/C catalysts. The boron-doped Fe-N-C catalyst was synthesized by two-step pyrolysis of a polyaniline (using FeCl3 in boric acid) precursor, which exhibits superior ORR activity (E-onset = 1.01 and E-1/2 = 0.88 V) with a turnover frequency of 3.86 Fe-sites(-1) s(-1) at 0.8 V. The mechanistic investigation of oxygen and H2O2 reduction reaction on an Fe-N&amp;B/C catalyst using kinetic analysis demonstrates that the ORR proceeds via a pseudo-4-electron pathway, wherein the boron sites catalyze the reduction of a H2O2 intermediate. Furthermore, the poisoning experiments confirm the role of boron. Indeed, the stability of the Fe-N&amp;B/C catalyst has improved due to the improved H2O2 reduction kinetics on boron sites. Theoretical analysis supports the O-2 adsorption on boron sites with a relatively smaller activation barrier than the Fe sites. The Fe-N&amp;B/C catalyst exhibits a superior power density (193 mW cm(-2)) and specific capacity (932 mA h gZ(n)(-1)) in a zinc-air liquid electrolyte battery. This analysis proves that the Fe-N&amp;B/C materials could be the potential electrocatalytic materials for ORR while placing boron appropriately to induce the synergistic effect.</t>
  </si>
  <si>
    <t>AZHAGUMUTHU, MUTHUKRISHNAN/I-9728-2014</t>
  </si>
  <si>
    <t>AZHAGUMUTHU, MUTHUKRISHNAN/0000-0001-9971-0093; E A, ANOOK NAZER/0000-0001-5118-7133</t>
  </si>
  <si>
    <t>MAR 5</t>
  </si>
  <si>
    <t>10.1021/acsaem.3c03122</t>
  </si>
  <si>
    <t>WOS:001180302500001</t>
  </si>
  <si>
    <t>Zhang, YL; Chen, YQ; He, Q; Ke, JL; Wang, W; Wu, JF; Gao, P; Li, YH; Liu, JL</t>
  </si>
  <si>
    <t>Zhang, Yilin; Chen, Yuqing; He, Qiu; Ke, Jinlong; Wang, Wei; Wu, Jian-Fang; Gao, Peng; Li, Yanhua; Liu, Jilei</t>
  </si>
  <si>
    <t>Interface engineering strategy via electron-defect trimethyl borate additive toward 4.7 V ultrahigh-nickel LiNi0.9Co0.05Mn0.05O2 battery</t>
  </si>
  <si>
    <t>The Li metal battery with ultrahigh-nickel cathode (LiNixM1_xO2, M = Mn, Co, and x &gt;= 0.9) under highvoltage is regarded as one of the most promising approaches to fulfill the ambitious target of 400 Wh/kg. However, the practical application is impeded by the instability of electrode/electrolyte interface and Nirich cathode itself. Herein we proposed an electron-defect electrolyte additive trimethyl borate (TMB) which is paired with the commercial carbonate electrolyte to construct highly conductive fluorineand boron-rich cathode electrolyte interface (CEI) on LiNi0.9Co0.05Mn0.05O2 (NCM90) surface and solid electrolyte interphase (SEI) on lithium metal surface. The modified CEI effectively mitigates the structural transformation from layered to disordered rock-salt phase, and consequently alleviate the dissolution of transition metal ions (TMs) and its cross-talk effect, while the enhanced SEI enables stable lithium plating/striping and thus demonstrated good compatibility between electrolyte and lithium metal anode. As a result, the common electrolyte with 1 wt% TMB enables 4.7 V NCM90/Li cell cycle stably over 100 cycles with 70% capacity retention. This work highlights the significance of the electron-defect boron compounds for designing desirable interfacial chemistries to achieve high performance NCM90/Li battery under high voltage operation. (c) 2024 Science Press and Dalian Institute of Chemical Physics, Chinese Academy of Sciences. Published by ELSEVIER B.V. and Science Press. All rights reserved.</t>
  </si>
  <si>
    <t>HE, QIU/I-8617-2018; gao, peng/JHS-8320-2023; liu, Jilei/M-9681-2016; Wang, Wei/JMC-3776-2023; Wu, Jianfang/ABG-3052-2021</t>
  </si>
  <si>
    <t>10.1016/j.jechem.2024.02.004</t>
  </si>
  <si>
    <t>WOS:001202523800001</t>
  </si>
  <si>
    <t>Zhigachev, AO; Bredikhin, SI; Agarkova, EA; Matveev, DV</t>
  </si>
  <si>
    <t>Zhigachev, A. O.; Bredikhin, S. I.; Agarkova, E. A.; Matveev, D. V.</t>
  </si>
  <si>
    <t>Calcium-Borosilicate Glass-Ceramics as a Sealant for Solid Oxide Fuel Cells</t>
  </si>
  <si>
    <t>RUSSIAN JOURNAL OF ELECTROCHEMISTRY</t>
  </si>
  <si>
    <t>The applicability of calcium-borosilicate glass-ceramics with high boron oxide content as a sealant for solid oxide fuel cells is studied. Chemical composition of the studied materials is: 33 mol % CaO, 21 mol % B2O3, and 46 mol % SiO2. The material is studied as an alternative to the existing calcium- and barium-aluminosilicate-based sealants because of the latters' limited adhesion to steel interconnects in fuel cells. The studied sealant is shown to have a softening point of about 920-930 degrees C, which allows using it for sealing of fuel cells at 925 degrees C. Use of relatively low sealing temperature allows avoiding overheating of the cell during the sealing and avoiding the accompanying degradation of the battery operational characteristics. The studied sealant demonstrated excellent adhesion to the surface of interconnect materials (the Crofer 22 APU steel). Furthermore, the studied sealant is found to be thermomechanically compatible with the Crofer 22 APU steel and ZrO2-based electrolytes.</t>
  </si>
  <si>
    <t>; Agarkova, Ekaterina/ABF-4448-2020</t>
  </si>
  <si>
    <t>, Danila/0000-0002-1016-3773;</t>
  </si>
  <si>
    <t>1023-1935</t>
  </si>
  <si>
    <t>1608-3342</t>
  </si>
  <si>
    <t>SI</t>
  </si>
  <si>
    <t>10.1134/S1023193524030121</t>
  </si>
  <si>
    <t>WOS:001219593800003</t>
  </si>
  <si>
    <t>Wang, JS; Wang, ZK; Shi, HF; Wang, CD; Wang, Z; Zhang, WY; Xiong, ZH; Gao, Y; Yan, XQ</t>
  </si>
  <si>
    <t>Wang, Jiashuai; Wang, Zhaokun; Shi, Haofeng; Wang, Chengdeng; Wang, Zhi; Zhang, Wenyuan; Xiong, Zhihao; Gao, Yan; Yan, Xiaoqin</t>
  </si>
  <si>
    <t>Nb-doping of cation-disordered rocksalt oxides with B2O3 surface modification for superior performance cathode</t>
  </si>
  <si>
    <t>As the growing price and inadequate reserves of cobalt, the demand for cobalt -free materials with superior energy density to apply in Li -ion batteries has increased distinctly. Li -rich cation disordered rocksalt (DRX) material has aroused research hotspot because of high specific capacity and wide compositional space. However, irreversible oxygen loss as well as sluggish kinetic raise the problem in large polarization and inevitable capacity decay in cycling process, which have impeded the commercialization of these electrode materials. In this work, we have synthesized cobalt -free boron trioxide (B2O3)-modified Li1.2Ni0.3Ti0.3Nb0.2O2 compounds with cation disordered rocksalt structure through mechanochemical method. It is a fact that B2O3-modified cathodes possess outstanding cyclic stability as well as rate properties. Particularly, the Li1.2Ni0.3Ti0.3Nb0.2O2 electrode with 2.0 wt% B2O3 displayed a competitive capacity of 192.4 mAh/g at 10 mA g-1 and retained 134.7 mAh/g after 100 charge/discharge times. The redox mechanism is explored through ex -situ XPS measurement, verifying the reversible cationic redox of Ni2+/Ni4+ accompanying small Ti4+/Ti3+ reduction and anionic O2 -/O- evolution, which results in unusual high capacity. Such an optimized surface modification combines with the Nb doping, can promote Li ion transport, reduce polarization, protect cathode from reacting with electrolyte. These findings provide important implications to improve performance of DRX cathodes.</t>
  </si>
  <si>
    <t>Shui, LingLing/AGK-4053-2022; wang, zhaokun/AAA-1555-2022; Yan, Xiaoqin/AAQ-4537-2020; Zhang, Wenyuan/LBH-1533-2024</t>
  </si>
  <si>
    <t>10.1016/j.jelechem.2024.118137</t>
  </si>
  <si>
    <t>FEB 2024</t>
  </si>
  <si>
    <t>WOS:001198974200001</t>
  </si>
  <si>
    <t>Guo, JH; Feng, F; Jiang, XY; Wang, R; Chu, DK; Ren, YF; Chen, FF; He, P; Ma, ZF; Chen, SL; Liu, TX</t>
  </si>
  <si>
    <t>Guo, Junhong; Feng, Fan; Jiang, Xinyi; Wang, Rui; Chu, Dongkun; Ren, Yufeng; Chen, Fangfang; He, Peng; Ma, Zi-Feng; Chen, Suli; Liu, Tianxi</t>
  </si>
  <si>
    <t>Boosting Selective Na+ Migration Kinetics in Structuring Composite Polymer Electrolyte Realizes Ultrastable All-Solid-State Sodium Batteries</t>
  </si>
  <si>
    <t>Composite polymer electrolytes demonstrate the predictable potential for achieving high-performance all-solid-state sodium metal batteries (ASSMBs). However, the insufficient ionic conductivity resulting from the sluggish Na+ transport kinetics and the inferior interfacial stability caused by simultaneous Na+ and anion transport have hindered practical applications. Herein, a rational structural design strategy is proposed to construct an anion-trapping boron-contained covalent organic framework (B-COF) network in the polymer matrix to facilitate selective Na+ migration and interfacial compatibility for ASSMBs. The abundant Lewis-acid sites on the B-COF network can promote the dissociation of sodium salt and simultaneously constrain the migration of TFSI- anions through the strong anion-capturing effect. Moreover, the well-defined ion-conducting channel formed by the in situ generation of intimately packed B-COF combined with the above synergistic effects can afford continuous and accessible pathways for selectively rapid Na+ transport, which significantly elevates the ionic conductivity and Na+ transference number, respectively. Surprisingly, the Na plating/stripping with small polarization is retained under 0.1 mA cm(-2) for more than 365 d (&gt;8800 h), representing a record-high cycling stability for ASSMBs. As proof of applied studies, the ASSMBs exhibit a high capacity retention (approximate to 81.2%) after 1200 cycles at 1 C, signifying promising application in all-solid-state electrochemical energy storage systems.</t>
  </si>
  <si>
    <t>chen, fangfang/HHC-2292-2022; Feng, Fan/AAH-2619-2021; Jiang, Xinyi/NDR-8535-2025; Ren, yu/KYY-9101-2024</t>
  </si>
  <si>
    <t>10.1002/adfm.202313496</t>
  </si>
  <si>
    <t>WOS:001174418100001</t>
  </si>
  <si>
    <t>Giri, P; Barath, VS; Dhurua, S; Maity, S; Gazi, R; Jana, M</t>
  </si>
  <si>
    <t>Giri, Piyusaranjan; Barath, V. Sourab; Dhurua, Shakuntala; Maity, Sankar; Gazi, Rabiul; Jana, Madhurima</t>
  </si>
  <si>
    <t>Boron-containing fullerene-based salts with cyclic carbonate solvents as electrolytes for Li-ion batteries and beyond</t>
  </si>
  <si>
    <t>Replacement of carbon atoms by a heteroatom in fullerene is a promising route that enhances the electronic properties of fullerenes and results in hetero fullerene-based effective agents ensuring applications in vivid fields of the solar cell, cathode materials for batteries, etc. Towards the development of new electrolyte salts, attention has been paid to facilitating ion mobility in particular and moderate stability of the anions in addition. From the atomistic molecular dynamics simulation studies, for the first time, we uncover that the boron-containing hetero fullerene, C59B- anion-based LiC59B, and NaC59B salts in cyclic carbonate solvents can act as efficient electrolytes by improving the transport phenomenon of the metal ions in solution, importantly for Li+ and satisfactorily for Na+ as compared to their commonly used BF4- anion based salts. Additionally, our study revealed that apart from LiC59B, and NaC59B salts, C58B22- based MgC58B2 salt can facilitate the ionic conductivity of the electrolyte. The properties of the proposed electrolyte under an electric field and different temperatures were investigated. Some of the bulk properties of the used electrolytes to some extent were found to be improved in the presence of these salts. The first principle-based electrochemical calculations further justify the stability of the proposed anions. The initial investigation from the Reactive force-field (ReaxFF) based atomistic simulations study elucidates that LiC59B reduces the decomposition of the EC solvent compared to LiBF4 and facilitates solvent stability. Introducing B-doped fullerene-based, C59B-, and C58B22- counteranions of Li+, Na+, and Mg2+ to act as emerging electrolytes in cyclic carbonate solvents for metal-ion batteries.</t>
  </si>
  <si>
    <t>Jana, Madhurima/IWD-6482-2023</t>
  </si>
  <si>
    <t>Vijayaraghavan, Sourab Barath/0009-0009-9163-3201</t>
  </si>
  <si>
    <t>10.1039/d3cp04706g</t>
  </si>
  <si>
    <t>WOS:001178869100001</t>
  </si>
  <si>
    <t>Lu, ZW; Qiu, PT; Kang, JX; Chen, XW; Zhang, GG; Zhang, YC; Chen, XN</t>
  </si>
  <si>
    <t>Lu, Zhiwei; Qiu, Pengtao; Kang, Jia-Xin; Chen, Xinwei; Zhang, Guoguo; Zhang, Yichun; Chen, Xuenian</t>
  </si>
  <si>
    <t>Potassium Decahydrido-closo-Decaborane Urea Complex as a Potential Solid-State Electrolyte for Potassium Metal Batteries</t>
  </si>
  <si>
    <t>All-solid-state potassium metal batteries have been considered promising candidates for large-scale energy storage because of abundance and wide availability of K resources, elimination of flammable liquid organic electrolytes, and incorporation of high-capacity K metal anode. However, unideal K-ion conductivities of most reported K-ion solid electrolytes have restricted the development of these batteries. Herein, a novel K2B10H10 center dot CO(NH2)(2) complex is reported, forming by incorporating urea into K2B10H10, to achieve an enhanced K-ion conductivity. The crystal structure of K2B10H10 center dot CO(NH2)(2) was determined as a monoclinic lattice with the space group of C2/c (No. 15). K2B10H10 center dot CO(NH2)(2) delivers an ionic conductivity of 2.7 x 10(-8) S cm(-1) at 25 C-degrees, and reaching 1.3 x 10(-4) S cm(-1) at 80( degrees)C, which is about 4 orders of magnitude higher than that of K2B10H10. One possible reason is the anion expansion in size due to the presence of dihydrogen bonds in K2B10H10 center dot CO(NH2)(2), resulting in an increase in the K-H bond distance and the electrostatic potential, thereby enhancing the mobility of K+. The K-ion conductivity is also higher than those of most hydridoborate-based K-ion conductors reported. Besides, K2B10H10 center dot CO(NH2)(2) reveals a wide electrochemical stability window and remarkable interface compatibility with K metal electrodes, suggesting a promising electrolyte for all-solid-state K metal batteries. [GRAPHICS]</t>
  </si>
  <si>
    <t>; Qiu, Pengtao/ABB-5118-2021; Chen, Xinwei/ABN-8830-2022; Chen, Xuenian/ADS-0591-2022; Lu, Zhiwei/HRA-7748-2023</t>
  </si>
  <si>
    <t>Qiu, Pengtao/0000-0001-8982-0803; Chen, Xuenian/0000-0001-9029-1777</t>
  </si>
  <si>
    <t>FEB 21</t>
  </si>
  <si>
    <t>10.1021/acsami.3c17570</t>
  </si>
  <si>
    <t>WOS:001168275400001</t>
  </si>
  <si>
    <t>Fwalo, C; Kochaev, A; Mapasha, RE</t>
  </si>
  <si>
    <t>Fwalo, C.; Kochaev, A.; Mapasha, R. E.</t>
  </si>
  <si>
    <t>Investigating the effectiveness of borophene on anchoring and influence on kinetics of sodium superoxide in sodium-oxygen batteries</t>
  </si>
  <si>
    <t>Owing to the increasing cost and limited resources of lithium metal, there is a growing interest in developing energy storage systems that are more affordable, environmentally friendly, and have high energy densities. This is also driven by the need to significantly reduce carbon dioxide emissions resulting from the use of fossil fuels. The sodium-oxygen battery has emerged as a potential alternative, as the materials used for both of its electrodes are among the most abundant and inexpensive elements on Earth. However, despite these advantages, there are technical challenges in implementing it, such as the insulation of the cathode electrode and failure to prevent discharge products from desorbing into electrolytes during discharging. In this study, using density functional theory based on first principles, we investigated the electronic properties of freestanding ss12 and x3-borophenes after adsorption of sodium superoxide (NaO2). Our findings showed that the adsorption energy of sodium superoxide on ss12 and x3 borophene are -3.85 eV and -3.24 eV, respectively. The large negative values of adsorption energy suggest that sodium superoxide is anchored spontaneously, which is significant as it can be prevented from migrating to the negative electrode via the electrolyte during the discharging process. Furthermore, the ss12 and x3 structures showed moderate diffusion energy barriers of 0.89 eV and 1.37 eV and decomposition energies of 0.73 eV and 0.52 eV, respectively. The latter demonstrates the catalytic effects of nanosheets on the decomposition of the sodium superoxide into separated sodium (Na+) and oxygen (O2). Moreover, the decomposition energies being lower than sodium superoxide formation energy (3.90 eV) in a vacuum, suggests nanosheets effects during the charging process. Most importantly, the metallic characteristics of both crystal structures were preserved after the adsorption of sodium superoxide, and the electronic conductivities were enhanced. This is significant to improve the cycle life of the battery, as the materials can charge back the decomposed species during the charging process, thereby preventing the formation of dendrites at the surface of the cathode. Ultimately, the predicted electronic properties for both structures demonstrate their potential as cathode electrode materials for enhancing the electrochemical processes of sodium-oxygen batteries.</t>
  </si>
  <si>
    <t>Kochaev, Aleksey/K-2715-2013</t>
  </si>
  <si>
    <t>Kochaev, Aleksey/0000-0002-3521-5891; Fwalo, Chewe/0009-0008-1500-2670</t>
  </si>
  <si>
    <t>APR 20</t>
  </si>
  <si>
    <t>10.1016/j.est.2024.110977</t>
  </si>
  <si>
    <t>WOS:001188673800001</t>
  </si>
  <si>
    <t>Ma, YH; Wu, JX; Xie, HN; Zhang, R; Zhang, YM; Liu, EZ; Zhao, NQ; He, CN; Wong, AB</t>
  </si>
  <si>
    <t>Ma, Yuhan; Wu, Jiaxin; Xie, Haonan; Zhang, Rui; Zhang, Yiming; Liu, Enzuo; Zhao, Naiqin; He, Chunnian; Wong, Andrew Barnabas</t>
  </si>
  <si>
    <t>The Synthesis of Three-Dimensional Hexagonal Boron Nitride as the Reinforcing Phase of Polymer-Based Electrolyte for All-Solid-State Li Metal Batteries</t>
  </si>
  <si>
    <t>Powdery hexagonal boron nitride (h-BN), as an important material for electrochemical energy storage, has been typically synthesized in bulk and one/two-dimensional (1/2D) nanostructured morphologies. However, until now, no method has been developed to synthesize powdery three-dimensional (3D) h-BN. This work introduces a novel NaCl-glucose-assisted strategy to synthesize micron-sized 3D h-BN with a honeycomb-like structure and its proposed formation mechanism. We propose that NaCl acts as the template of 3D structure and promotes the nitridation reaction by adsorbing NH3. Glucose facilitates the homogeneous coating of boric acid onto the NaCl surface via functionalizing the NaCl surface. During the nitridation reaction, boron oxides (BO4 and BO3) form from a dehydration reaction of boric acid, which is then reduced to O2-B-N and O-B-N2 intermediates before finally being reduced to BN3 by NH3. When incorporated into polyethylene oxide-based electrolytes for Li metal batteries, 5 wt % of 3D h-BN significantly enhances ionic conductivity and mechanical strength. Consequently, this composite electrolyte demonstrates superior electrochemical stability. It delivers 300 h of stable cycles in the Li//Li cell at 0.1 mA cm-2 and retains 89 % of discharge capacity (138.9 mAh g-1) after 100 cycles at 1 C in the LFP//Li full cell. A powdery h-BN with a micron-sized three-dimensional (3D) structure was developed with a facile NaCl-glucose-assisted approach based on reduced reaction temperature. It exhibited superior advantages in improving the electrochemical performance of polyethylene oxide (PEO)-based electrolytes compared with the commercial two-dimensional (2D) h-BN. image</t>
  </si>
  <si>
    <t>zhao, naiqin/C-6150-2014; Wong, Andrew/AAW-3799-2020</t>
  </si>
  <si>
    <t>MAR 22</t>
  </si>
  <si>
    <t>10.1002/anie.202317256</t>
  </si>
  <si>
    <t>WOS:001166307100001</t>
  </si>
  <si>
    <t>Zhang, F; Wang, H</t>
  </si>
  <si>
    <t>Zhang, Feng; Wang, Hao</t>
  </si>
  <si>
    <t>Pyridinic N and semi-ionic F Co-functionalized biochar nanofibers as efficient metal-free electrocatalysts for oxygen reduction reaction</t>
  </si>
  <si>
    <t>Exorbitant cost and limited availability of platinum-based electrocatalysts for the oxygen reduction reaction (ORR) in metal-air batteries and alkaline fuel cells pose significant obstacles to the large-scale commercialization of these clean-energy technologies. Herein, we employed a cost-effective and sustainable bacterial cellulose biomass as the precursor to prepare a nitrogen and fluorine codoped metal-free ORR electrocatalyst (BCC-NF-900) by direct pyrolysis regulation. The BCC-NF-900 inherited the three-dimensional framework of bacterial cellulose, exhibiting a robust porous structure with a Brunauer-Emmett-Teller surface area of 196.9 m2 center dot g-1. The pyridinic N (0.6 at%) and semi-ionic F (0.34 at%) species formed in the inert sp2 carbon skeletons synergistically regulated the electron spin and charge density of the adjacent C atoms. Such rational combination of a rapid transport pathway and effective active site led to high ORR activity (onset potential 0.89 V vs. RHE), methanol resistance, and electrochemical stability (merely 6.9% current loss) in alkaline electrolyte. Importantly, compared to the mere F-doped BCC-F-900 (onset potential 0.82 V vs. RHE) and N-doped BCC-N-900 (onset potential 0.77 V vs. RHE) catalysts, the BCC-NF-900 catalyst exhibited a markedly enhanced ORR performance, as evidenced by the measured onset potential. This study provides an available reference for the design of efficient metal-free catalysts for ORR, presenting a promising alternative to Pt/C catalysts in metal-air batteries and alkaline fuel cells.</t>
  </si>
  <si>
    <t>10.1007/s10853-024-09434-6</t>
  </si>
  <si>
    <t>WOS:001163571600002</t>
  </si>
  <si>
    <t>Fang, MJ; Yang, T; Sheng, OW; Shen, TY; Huang, ZH; Zheng, RK; Zhang, CF; Zhang, J; Zhang, XF</t>
  </si>
  <si>
    <t>Fang, Miaojie; Yang, Tao; Sheng, Ouwei; Shen, Tianyu; Huang, Zihan; Zheng, Rongkun; Zhang, Chaofeng; Zhang, Jian; Zhang, Xuefeng</t>
  </si>
  <si>
    <t>A trinity strategy enabled by iodine-loaded nitrogen-boron-doped carbon protective layer for dendrite-free zinc-ion batteries</t>
  </si>
  <si>
    <t>Although aqueous zinc ion batteries (AZIBs) have the merits of environmental friendliness, high safety and theoretical capacity, the slow kinetics associated with zinc deposition and unavoidable interfacial corrosion have seriously affected the commercialization of aqueous zinc ion batteries. In this work, an ingenious trinity design is proposed by applying a porous hydrophilic carbon-loaded iodine coating to the zinc metal surface (INBC@Zn), which simultaneously acts as an artificial protective layer, electrolyte additive and anode curvature regulator, so as to reduce the nucleation overpotential of Zn and promote the preferential deposition of (002) planes to some extent. With this synergistic effect, INBC@Zn exhibits high reversibility and strong side reaction inhibition. As a result, INBC@Zn shows high symmetric cycling stability up to 4500 h at 1 mA cm -2. An ultra-long cycle stability of 1500 cycles with high Coulombic efficiency (99.8 %) is achieved in the asymmetric cell. In addition, the INBC@Zn//NVO full cells exhibit impressive capacity retention (96 % after 1000 cycles at 3 A/g). Importantly, the designed pouch cell demonstrates stable performance and shows certain prospects for application. This work provides a facile and instructive approach toward the development of high-performance AZIBs.</t>
  </si>
  <si>
    <t>Zheng, Rongkun/A-7923-2008; Zhang, Xuefeng/ABC-9316-2020; Shen, Tianyu/LTL-9494-2024; Zhang, Chaofeng/AAR-3873-2021; Zhang, Chaofeng/NYS-2516-2025; Han, Zhaobin/CAH-3419-2022</t>
  </si>
  <si>
    <t>Zheng, Rongkun/0000-0002-7860-2023; Yang, Tao/0000-0002-6948-0028; Zhang, Chaofeng/0000-0001-6188-6886;</t>
  </si>
  <si>
    <t>10.1016/j.jcis.2024.02.053</t>
  </si>
  <si>
    <t>WOS:001183486400001</t>
  </si>
  <si>
    <t>Jian, RY; Li, CC</t>
  </si>
  <si>
    <t>Jian, Rui-You; Li, Chia-Chen</t>
  </si>
  <si>
    <t>Interactions between organic binder and boron sintering aid in the slurry of LLZTO electrolyte</t>
  </si>
  <si>
    <t>This research investigates challenges associated with gelation in Li6.4La3Zr1.4Ta0.6O12 (LLZTO) slurry preparation for solid -state Li -ion batteries. Gelation arises from a cross-linking reaction between the sintering aid, boron oxide (B2O3), and the poly(vinyl butyral) (PVB) binder. With increasing B2O3 content, LLZTO slurry viscosity dramatically rises, resulting in unsuitable solid -like behavior for tape casting. The alkaline nature of LLZTO powder intensifies cross-linking, a phenomenon confirmed through boron-11 nuclear magnetic resonance spectroscopy. To mitigate gelation, diol compounds, such as ethylene glycol, are introduced to deactivate B2O3- PVB cross-linking, with selection guided by support from density functional theory-based simulations.</t>
  </si>
  <si>
    <t>Li, Chia-Chen/0000-0001-9336-2972</t>
  </si>
  <si>
    <t>10.1016/j.est.2024.110799</t>
  </si>
  <si>
    <t>WOS:001180961300001</t>
  </si>
  <si>
    <t>Braun, H; Asakura, R; Remhof, A; Battaglia, C</t>
  </si>
  <si>
    <t>Braun, Hugo; Asakura, Ryo; Remhof, Arndt; Battaglia, Corsin</t>
  </si>
  <si>
    <t>Hydroborate Solid-State Lithium Battery with High-Voltage NMC811 Cathode</t>
  </si>
  <si>
    <t>Hydroborate solid electrolytes offer high ionic conductivity and are stable in contact with alkali metal anodes but are challenging to integrate into batteries with high-voltage cathodes. Here, we demonstrate stable dis-/charge cycling of solid-state Li batteries combining a Li-3(CB11H12)(2)(CB9H10) hydroborate electrolyte with a 4 V-class LiNi0.8Mn0.1Co0.1O2 (NMC811) cathode, exploiting the enhanced kinetic stability of the LiCB11H12-rich and LiCB9H10-poor electrolyte composition. Cells with Li metal and InLi anodes achieve a discharge capacity at C/10 of similar to 145 mAh g(-1) at room temperature and similar to 175 mAh g(-1) at 60 degrees C. InLi cells retain 98% of their initial discharge capacity after 100 cycles at C/5 and 70% after 1000 cycles at C/2. Capacity retentions of 97% after 100 cycles at C/5 and 75% after 350 cycles at C/2 are also achieved with a graphite anode without any excess Li. The energy density per cathode composite weight of 460 Wh kg(-1) is on par with the best solid-state batteries reported to date.</t>
  </si>
  <si>
    <t>; Remhof, Arndt/ABA-5731-2020; Braun, Hugo/JDW-8057-2023</t>
  </si>
  <si>
    <t>Asakura, Ryo/0000-0002-9264-9493; Battaglia, Corsin/0000-0002-5003-1134; Remhof, Arndt/0000-0002-8394-9646</t>
  </si>
  <si>
    <t>JAN 31</t>
  </si>
  <si>
    <t>10.1021/acsenergylett.3c02117</t>
  </si>
  <si>
    <t>JAN 2024</t>
  </si>
  <si>
    <t>WOS:001159006000001</t>
  </si>
  <si>
    <t>Guo, J; Xu, HL; Sun, YX; Chen, K; Zhang, XR; Xie, HM; Jiang, Y; Liu, J</t>
  </si>
  <si>
    <t>Guo, Jiao; Xu, Hongliang; Sun, Yuxue; Chen, Kai; Zhang, Xiaorong; Xie, Haiming; Jiang, Ying; Liu, Jun</t>
  </si>
  <si>
    <t>Borate-containing triblock copolymer electrolytes for improved lithium-ion transference number and interface stability</t>
  </si>
  <si>
    <t>The electrolytes with high lithium-ion transference number (t(Li+)) can reduce the formation of concentration polarization during charge/discharge process and improve the electrochemical performance of lithium-ion batteries (LIBs). Herein, we report triblock copolymer electrolytes (PBOEE) containing borate. The sp(2) hybridized boron atoms acting as Lewis acids can anchor the anions of lithium salts, enabling PBOEE to achieve high t(Li+) of up to 0.53. Also, the borate groups can promote the formation of stable organic-rich solid electrolyte interphase (SEI) film, which enables the Li symmetric cell to cycle stably at 0.1 mA cm(-2)/0.1 mAh cm(-2) for more than 3100 h with a low overpotential of 0.08 V under 50 degrees C. The optimized PBOEE_24 has an ionic conductivity of 1.41 x 10(-4) S cm(-1) and electrochemical stability window of 4.8 V vs. Li+/Li at 50 degrees C. Combining these advantages, the LiFePO4/PBOEE_24/Li cell exhibits an initial discharge specific capacity of 157.3 mA h g(-1) at 0.5C with a capacity retention of 85 % after 600 cycles under 50 degrees C. At a higher current density of 1C, the discharge capacity maintains at 128.0 mA h g(-1) after 400 cycles with a capacity retention of 84.88 %. These results suggest that block copolymer containing sp(2) hybridized boron atoms is a promising all-solid-state polymer electrolyte.</t>
  </si>
  <si>
    <t>Chen, KaiJie/A-1743-2016; zhang, xiaorong/KPA-7788-2024</t>
  </si>
  <si>
    <t>10.1016/j.jcis.2024.01.097</t>
  </si>
  <si>
    <t>WOS:001174938400001</t>
  </si>
  <si>
    <t>Liu, ZQ; Fu, X; Li, ZD; Guo, DC; Peng, Z; Xiao, RJ; Yao, XY</t>
  </si>
  <si>
    <t>Liu, Ziqiang; Fu, Xiao; Li, Zhendong; Guo, Dingcheng; Peng, Zhe; Xiao, Ruijuan; Yao, Xiayin</t>
  </si>
  <si>
    <t>Integrated anode with 3D electron/ion conductive network for stable lithium metal batteries</t>
  </si>
  <si>
    <t>Lithium metal anode has attracted increasing attention due to its ultra-high theoretical specific capacity and low redox potential. However, the severe interface problems caused by the parasitic reactions at the anode/separator interface greatly hinder its applications. Herein we design a 3D lithium-boron (LiB) fiber integrated lithium anode with polypropylene separator through the interfacial adhesive strategy with poly(vinylidene fluoride-co- hexafluoropropylene)-based polymer electrolyte. The 3D Li/LiB anode after chemical etching can increase the exchange current density to 36.8 mA cm- 2, which is about 14 times the value of the pristine anode with 2.6 mA cm- 2. Meanwhile, the poly(vinylidene fluoride-co-hexafluoropropylene)-based polymer electrolyte ensures high ionic conductivity and interfacial stability. Thus, the integrated anode with 3D electron/ion conductive network can guide Li deposition away from the unsafe anode/separator interface, and directly suppress the growth of lithium dendrites. As a result, the integrated anode with LiNi0.83Mn0.06Co0.11O2 cathode exhibits an excellent discharge capacity of 168.3 mAh g -1 at a high current density of 5 C. Besides, the rigid LiB skeleton coupling with flexible PVDF-HFP-based polymer electrolyte can effectively prevent the pulverization of lithium anode during long-term cycling, showing superior cycling stability of 1000 cycles at 1 C with a capacity retention of 76 %. This work provides a promising integrated anode for stable lithium metal batteries without lithium dendrite growth.</t>
  </si>
  <si>
    <t>; Liu, Ziqiang/HMV-4002-2023; Yao, Xiayin/P-3690-2014; li, zhendong/AAP-5048-2021; Xiao, Ruijuan/B-4739-2010</t>
  </si>
  <si>
    <t>yao, xia yin/0000-0002-2224-4247; li, zhendong/0000-0002-1750-1050; Fu, Xiao/0000-0002-9315-9023</t>
  </si>
  <si>
    <t>10.1016/j.ensm.2024.103201</t>
  </si>
  <si>
    <t>WOS:001166731900001</t>
  </si>
  <si>
    <t>Wang, L; Liu, GZ; Li, YM; Weng, W; Xin, X; Yao, XY</t>
  </si>
  <si>
    <t>Wang, Lan; Liu, Gaozhan; Li, Yunming; Weng, Wei; Xin, Xing; Yao, Xiayin</t>
  </si>
  <si>
    <t>Tungsten and Boron Codoping toward High Ionic Conductivity and Stable Sodium Solid Electrolyte for All-Solid-State Sodium Batteries</t>
  </si>
  <si>
    <t>Sodium solid electrolytes with high ionic conductivity and good interfacial stability with sodium metal are crucial to realize high-performance all-solid-state sodium batteries. In this work, W and B-codoped Na3Sb1-xWxS4-xBx solid electrolytes are prepared by melt-quenching with further annealing. The synthesized Na3Sb0.95W0.05S3.95B0.05 solid electrolyte possesses a high ionic conductivity of 11.06 mS cm(-1) under 25 degrees C and shows significantly improved interface compatibility with metal sodium. Specifically, Na/Na3Sb0.95W0.05S3.95B0.05/Na symmetric cell can stable cycle for 500 h under a current density of 0.05 mA cm(-2). In addition, the resultant TiS2/Na3Sb0.95W0.05S3.95B0.05/Na battery exhibits an initial charge capacity of 164.1 mAh g(-1) at 0.1 C with a capacity retention of 76.4% after 100 cycles. This work provides a new strategy to realize the high ionic conductivity of sodium solid electrolytes with improved interfacial stability with sodium anode.</t>
  </si>
  <si>
    <t>; Yao, Xiayin/P-3690-2014; Weng, Wei/AHC-6835-2022; Xin, Xing/I-7290-2015</t>
  </si>
  <si>
    <t>yao, xia yin/0000-0002-2224-4247; Xin, Xing/0000-0002-4313-3431</t>
  </si>
  <si>
    <t>JAN 19</t>
  </si>
  <si>
    <t>10.1021/acsami.3c17535</t>
  </si>
  <si>
    <t>WOS:001155525200001</t>
  </si>
  <si>
    <t>Wang, ZY; Qin, S; Chen, FF; Chen, SS; Liu, D; Jiang, DG; Zhang, P; Mota-Santiago, P; Hegh, D; Lynch, P; Alotabi, AS; Andersson, GG; Howlett, PC; Forsyth, M; Lei, WW; Razal, JM</t>
  </si>
  <si>
    <t>Wang, Zhiyu; Qin, Si; Chen, Fangfang; Chen, Shasha; Liu, Dan; Jiang, Degang; Zhang, Peng; Mota-Santiago, Pablo; Hegh, Dylan; Lynch, Peter; Alotabi, Abdulrahman S.; Andersson, Gunther G.; Howlett, Patrick C.; Forsyth, Maria; Lei, Weiwei; Razal, Joselito M.</t>
  </si>
  <si>
    <t>Interfacial Modification of Lithium Metal Anode by Boron Nitride Nanosheets</t>
  </si>
  <si>
    <t>Metallic lithium (Li) is the most attractive anode for Li batteries because it holds the highest theoretical specific capacity (3860 mA h g(-1)) and the lowest redox potential (-3.040 V vs SHE). However, the poor interface stability of the Li anode, which is caused by the high reactivity and dendrite formation of metallic Li upon cycling, leads to undesired electrochemical performance and safety issues. While two-dimensional boron nitride (BN) nanosheets have been utilized as an interfacial layer, the mechanism on how they stabilize the Li-electrolyte interface remains elusive. Here, we show how BN nanosheet interlayers suppress Li dendrite formation, enhance Li ion transport kinetics, facilitate Li deposition, and reduce electrolyte decomposition. We show through both simulation and experimental data that the desolvation process of a solvated Li ion within the interlayer nanochannels kinetically favors Li deposition. This process enables long cycling stability, reduced voltage polarization, improved interface stability, and negligible volume expansion. Their application as an interfacial layer in symmetric cells and full cells that display significantly improved electrochemical properties is also demonstrated. The knowledge gained in this study provides both critical insights and practical guidelines for designing a Li metal anode with significantly improved performance.</t>
  </si>
  <si>
    <t>Alotabi, Abdulrahman/LLK-7276-2024; Lei, Weiwei/HQY-5811-2023; Qin, Si/I-2944-2012; Razal, Joselito/G-7597-2011; Wang, Zhiyu/AAZ-9437-2021; Andersson, Gunther/O-8156-2018; chen, fangfang/HHC-2292-2022; Mota-Santiago, Pablo/T-1877-2019; Liu, Dan/AAG-9950-2020; Forsyth, Maria/ABH-8102-2020; Qin, Si (Alex)/I-2944-2012</t>
  </si>
  <si>
    <t>Alotabi, Abdulrahman S/0000-0003-2915-5789; Qin, Si/0000-0002-8127-4753; Chen, Fangfang/0000-0002-8004-1720; Wang, Zhiyu/0000-0002-9757-7230; Mota-Santiago, Pablo/0000-0002-1537-4318;</t>
  </si>
  <si>
    <t>JAN 18</t>
  </si>
  <si>
    <t>10.1021/acsnano.3c11135</t>
  </si>
  <si>
    <t>WOS:001154845100001</t>
  </si>
  <si>
    <t>Saffirio, S; Darjazi, H; Pascuzzi, MEC; Smeacetto, F; Gerbaldi, C</t>
  </si>
  <si>
    <t>Saffirio, Sofia; Darjazi, Hamideh; Pascuzzi, Marco Etzi Coller; Smeacetto, Federico; Gerbaldi, Claudio</t>
  </si>
  <si>
    <t>Melt-casted Li1.5Al0.3Mg0.1Ge1.6(PO4)3 glass ceramic electrolytes: A comparative study on the effect of different oxide doping</t>
  </si>
  <si>
    <t>HELIYON</t>
  </si>
  <si>
    <t>The development of Li-ion conducting solid-state electrolytes (SSEs) is crucial to achieve increased energy density, operative reliability, and unprecedented safety to replace the state-of-the-art Li-ion battery (LIB). In this regard, we here present the successful melt-casting synthesis of a MgO-added NASICON-type LAGP glass-ceramic electrolyte with composition Li1.5Al0.3Mg0.1Ge1.6(PO4)(3), namely LAMGP. The effects of three different additional oxides are investigated, with the aim to improve grain cohesion and consequently enhance Li-ion conductivity. Specifically, yttrium oxide (Y2O3, 5 mol%), boron oxide (B2O3, 0.7 mol%) and silicon oxide (SiO2, 2.4 %mol) are added, yielding LAMGP-Y, LAMGP-B and LAMGP-Si, respectively. Their effects are exhaustively compared in terms of thermal, crystalline, structural/morphological and ion conducting features. Among the three oxides, B2O3 is able to positively act on grain boundaries without bringing along grains deformation and insulating secondary phases formation, achieving enhanced ionic conductivity of 0.21 mS cm(-1) at 20 degrees C as compared to 0.08 mS cm(-1) for a commercial LAGP subjected to the same thermal treatment. A remarkable anodic oxidation stability up to 4.8 V vs Li+/Li is assessed by LAMGP-B system, which accounts for promising prospects for its use in combination with high-energy (high-V) cathodes.</t>
  </si>
  <si>
    <t>Saffirio, Sofia/NBQ-6551-2025; Etzi, Marco/JMB-3845-2023; Gerbaldi, Claudio/A-5377-2011; Darjazi, Hamideh/KBB-0089-2024</t>
  </si>
  <si>
    <t>Etzi, Marco/0000-0001-7961-2138; Darjazi, HAMIDEH/0000-0002-3255-3887; Saffirio, Sofia/0009-0009-6691-8360</t>
  </si>
  <si>
    <t>2405-8440</t>
  </si>
  <si>
    <t>JAN 30</t>
  </si>
  <si>
    <t>e24493</t>
  </si>
  <si>
    <t>10.1016/j.heliyon.2024.e24493</t>
  </si>
  <si>
    <t>WOS:001162542200001</t>
  </si>
  <si>
    <t>Cui, MY; Gao, N; Zhao, WS; Zhao, HY; Cao, ZJ; Qin, YY; Gao, GX; Xi, K; Su, YQ; Ding, SJ</t>
  </si>
  <si>
    <t>Cui, Manying; Gao, Na; Zhao, Wenshan; Zhao, Hongyang; Cao, Zhenjiang; Qin, Yanyang; Gao, Guoxin; Xi, Kai; Su, Yaqiong; Ding, Shujiang</t>
  </si>
  <si>
    <t>Self-Regulating Interfacial Space Charge through Polyanion Repulsion Effect towards Dendrite-Free Polymer Lithium-Metal Batteries</t>
  </si>
  <si>
    <t>Uncontrolled transport of anions leads to many issues, including concentration polarization, excessive interface side reactions, and space charge-induced lithium dendrites at the anode/electrolyte interface, which severely deteriorates the cycling stability of lithium metal batteries. Herein, an asymmetrical polymer electrolyte modified by a boron-containing single-ion conductor (LiPVAOB), is designed to inhibit the nonuniform aggregation of free anions in the vicinity of the lithium anode through the repulsion effect improving the lithium-ion transference number to 0.63. This LiPVAOB exerts a repulsion interaction with free anions even at a long distance and a selective effect for free anions transport, which diminishes uneven aggregation of free anions at the interface and suppresses space charges-induced lithium dendrites growth. Consequently, the assembled Li||Li cell delivers an ultra-long cycle for over 5400 h. The Li||LiFePO4 cell exhibits outstanding cycle performance with a capacity retention of 93% over 4500 cycles. In particular, the assembled high-voltage Li||Li1.2Ni0.2Mn0.6O2 cell (charged to 4.8 V) exhibits good cycle stability with a high specific capacity of 245 mAh g-1. This designed polymer electrolyte provides a promising strategy for regulating ion transport to inhibit space charge-induced lithium dendrite growth for high-performance lithium metal batteries. An asymmetrical polymer electrolyte modified by a boron-containing single-ion conductor (LiPVAOB) is designed to inhibit the nonuniform aggregation of free anions in the vicinity of the lithium anode. This LiPVAOB exerts a repulsion interaction with free anions even at a long distance, which diminishes uneven aggregation of free anions at the interface and suppresses space charges-induced lithium dendrites growth.image</t>
  </si>
  <si>
    <t>Xi, Kai/A-2312-2015; Yuan, Wang/A-2881-2010; Gao, Naying/JWP-4253-2024; Qin, Yanyang/JTT-8944-2023; Ding, Shujiang/G-5025-2011; Yu, Wei/ABO-9815-2022; Cao, Zhenjiang/IVV-1937-2023</t>
  </si>
  <si>
    <t>Cao, Zhenjiang/0009-0003-7153-4130; Cao, Zhenjiang/0000-0003-4509-9756; Ding, Shujiang/0000-0002-5683-0973;</t>
  </si>
  <si>
    <t>10.1002/aenm.202303834</t>
  </si>
  <si>
    <t>WOS:001142557200001</t>
  </si>
  <si>
    <t>Huang, XT; Tan, SS; Chen, JL; Que, ZW; Deng, RR; Long, JC; Xiong, FY; Huang, GS; Zhou, XY; Li, LJ; Wang, JF; Mai, LQ; Pan, FS</t>
  </si>
  <si>
    <t>Huang, Xueting; Tan, Shuangshuang; Chen, Jinlong; Que, Ziwei; Deng, Rongrui; Long, Juncai; Xiong, Fangyu; Huang, Guangsheng; Zhou, Xiaoyuan; Li, Lingjie; Wang, Jingfeng; Mai, Liqiang; Pan, Fusheng</t>
  </si>
  <si>
    <t>Asymmetric SO3CF3--Grafted Boron-Center Anion Enables Boron-Containing Interphase for High-Performance Rechargeable Mg Batteries</t>
  </si>
  <si>
    <t>Mg(SO3CF3)(2) (Mg(OTf)(2)) is a simple and cost-effective magnesium salt, which can promote the future applications of rechargeable magnesium batteries (RMBs). However, the simple Mg(OTf)(2)/ether electrolytes suffer from poor electrochemical properties due to the low solubility of Mg(OTf)(2) and the serious decomposition passivation of the [Mg2+-OTf-] ion pair on Mg. Herein, the OTf- anion is successfully grafted on low-cost fluoride boronic esters (B(OCxHyF2x-y+1)(3)) to obtain the asymmetric and weak-coordination boron-center [B(OCxHyF2x-y+1)(3)OTf](-) anion in ether electrolytes. The -OCH2CF3 (TFE) groups in B(TFE)(3) effectively realize the charge delocalization of the OTf- and B-O plane, restraining the independent decomposition of the [Mg2+-OTf-] ion pair. The co-decomposition of the asymmetric [B(TFE)(3)OTf](-) induces the formation of the B-containing organic/inorganic interphase, thus achieving a reversible Mg plating/stripping. After the further solubilization reaction, the obtained electrolyte exhibits a high average coulombic efficiency of 98.13% and long-term cycling stability (1000 h). Notably, the long cycling life (capacity retention of 90.2% after 600 cycles at 1 C) and high-rate capacity (43.0 mAh g(-1) at 5 C) of the Mg/Mo6S8 full cell demonstrate a favorable electrolyte/cathode compatibility. This work brings new insights to design the new-type and low-cost Mg-salts and high-performance electrolytes for commercial RMBs.</t>
  </si>
  <si>
    <t>; Zhou, Xiaoyuan/B-3288-2017; Pan, Fusheng/E-1885-2018; Xiong, Fangyu/E-5991-2016; Mai, Liqiang/B-8299-2014</t>
  </si>
  <si>
    <t>Chen, Jinlong/0000-0002-9818-3102; Long, Juncai/0009-0007-6342-597X; Deng, Rongrui/0009-0006-8532-3766; Xiong, Fangyu/0000-0003-1910-2093</t>
  </si>
  <si>
    <t>10.1002/adfm.202314146</t>
  </si>
  <si>
    <t>WOS:001136363700001</t>
  </si>
  <si>
    <t>de Kort, LM; Lazemi, M; Longo, A; Gulino, V; Rodenburg, HP; Blanchard, D; Sahle, C; Sundermann, M; Gretarsson, H; van der Eerden, AMJ; Elnaggar, H; de Groot, FMF; Ngene, P</t>
  </si>
  <si>
    <t>de Kort, Laura M.; Lazemi, Masoud; Longo, Alessandro; Gulino, Valerio; Rodenburg, Henrik P.; Blanchard, Didier; Sahle, Christoph; Sundermann, Martin; Gretarsson, Hlynur; van der Eerden, Ad M. J.; Elnaggar, Hebatalla; de Groot, Frank M. F.; Ngene, Peter</t>
  </si>
  <si>
    <t>Deciphering the Origin of Interface-Induced High Li and Na Ion Conductivity in Nanocomposite Solid Electrolytes Using X-Ray Raman Spectroscopy</t>
  </si>
  <si>
    <t>Solid-state electrolytes (SSEs) with high ionic conductivities are crucial for safer and high-capacity batteries. Interface effects in nanocomposites of SSEs and insulators can lead to profound increases in conductivity. Understanding the composition of the interface is crucial for tuning the conductivity of composite solid electrolytes. Herein, X-ray Raman Scattering (XRS) spectroscopy is used for the first time to unravel the nature of the interface effects responsible for conductivity enhancements in nanocomposites of complex hydride-based electrolytes (LiBH4, NaBH4, and NaNH2) and oxides. XRS probe of the Li, Na, and B local environments reveals that the interface consists of highly distorted/defected and structurally distinct phase(s) compared to the original compounds. Interestingly, nanocomposites with higher concentrations of the interface compounds exhibit higher conductivities. Clear differences are observed in the interface composition of SiO2- and Al2O3-based nanocomposites, attributed to differences in the reactivity of their surface groups. These results demonstrate that interfacial reactions play a dominant role in conductivity enhancement in composite solid electrolytes. This work showcases the potential of XRS in investigating interface interactions, providing valuable insights into the often complex ion conductor/insulator interfaces, especially for systems containing light elements such as Li, B, and Na present in most SSEs and batteries. X-ray Raman spectroscopy is employed to unravel the nature of the interface in nanocomposites of complex hydrides and metal oxides, and thereby the origin of the profound increase in ionic conductivity in these nanocomposite solid electrolytes. The results reveal that surface reactions at ion conductor-insulator interfaces play a dominant role in interfacial ion transport.image</t>
  </si>
  <si>
    <t>Lazemi, Masoud/NYT-5042-2025; Gulino, Valerio/CAF-8087-2022; Ngene, Peter/C-1151-2011; Alessandro, Longo/AAY-4553-2020; Peter, Ngene/H-8567-2015; de Groot, Frank/A-1918-2009; Rodenburg, Henrik/HIR-3403-2022</t>
  </si>
  <si>
    <t>Lazemi, Masoud/0000-0003-0118-7113; Ngene, Peter/0000-0003-3691-0623; Elnaggar, Hebatalla/0000-0002-4223-4054; de Groot, Frank/0000-0002-1340-2186; Gretarsson, Hlynur/0009-0008-3209-6736; Sundermann, Martin/0000-0003-2834-9418; de Kort, Laura/0000-0001-5329-3087; Gulino, Valerio/0000-0002-5808-7802; Rodenburg, Henrik/0000-0002-7063-504X</t>
  </si>
  <si>
    <t>10.1002/aenm.202303381</t>
  </si>
  <si>
    <t>WOS:001135453700001</t>
  </si>
  <si>
    <t>Liu, HY; Zhang, B; Wang, ZY</t>
  </si>
  <si>
    <t>Liu, Hao-Yu; Zhang, Bokai; Wang, Zhi-Yong</t>
  </si>
  <si>
    <t>Dirac t-Boron Nitride Monolayer as an Appealing Binder-Free Anode for Alkali Metal Ion Batteries</t>
  </si>
  <si>
    <t>The development of universal anode materials with superlative electrochemical performance poses a great challenge for rechargeable alkali metal (AM) ion battery technologies. In the present work, the viability of the gapless Dirac t-BN (tetragonal boron nitride) monolayer as a lightweight binder-free anode has been systematically evaluated via comprehensive first-principles calculations. Aside from the desirable electronic conductivity, the t-BN monolayer exhibits an excellent ionic conductivity as well due to its moderate affinity for Li, Na, and K atoms with favorable in-plane barriers of 0.36, 0.18, and 0.19 eV, respectively. Meanwhile, the presence of B4N4 octagons allows the AM atoms to penetrate through the t-BN monolayer. Excitingly, the host material delivers an ultrahigh specific capacity up to 1080 mA h g(-1) for Li, 5400 mA h g(-1) for Na, and 2160 mA h g(-1) for K in the wake of low mean open-circuit voltages of 0.033, 0.203, and 0.300 V at the half-cell level. According to the standard hydrogen electrode methodology, the energy densities are forecasted to be as large as 3240, 13500, and 5680 mW h g(-1) for Li, Na, and K ion batteries, respectively, with robust thermal stability up to at least 400 K. The safety and cycling durability of the t-BN monolayer are jointly corroborated via the moderate mechanical strengths and ab initio molecular dynamics simulations at the maximum intercalated states, as well as via the small lattice changes and its ultrahigh tolerable ultimate tensile strain. These findings unambiguously promise that the t-BN monolayer can serve as an appealing candidate for anode applications in AM ion batteries.</t>
  </si>
  <si>
    <t>; Zhang, Bokai/GWZ-9809-2022</t>
  </si>
  <si>
    <t>Zhang, Bokai/0000-0001-8302-7003;</t>
  </si>
  <si>
    <t>JAN 3</t>
  </si>
  <si>
    <t>10.1021/acs.langmuir.3c03307</t>
  </si>
  <si>
    <t>WOS:001144028900001</t>
  </si>
  <si>
    <t>Pan, QM; Yu, YK; Zhu, YX; Shen, CL; Gong, MJ; Yan, K; Xu, X</t>
  </si>
  <si>
    <t>Pan, Qianmu; Yu, Yongkun; Zhu, Yuxin; Shen, Chunli; Gong, Minjian; Yan, Kui; Xu, Xu</t>
  </si>
  <si>
    <t>Constructing a LiPON Layer on a 3D Lithium Metal Anode as an Artificial Solid Electrolyte Interphase with Long-Term Stability</t>
  </si>
  <si>
    <t>BATTERIES-BASEL</t>
  </si>
  <si>
    <t>The problem of lithium dendrite growth has persistently hindered the advancement of lithium metal batteries. Lithium phosphorus oxynitride (LiPON), functioning as an amorphous solid electrolyte, is extensively employed as an artificial solid electrolyte interphase (SEI) owing to its remarkable stability and mechanical strength, which is beneficial for effectively mitigating dendrite growth. Nevertheless, the significant challenge arises from the volume changes in the Li metal anode during cycling, leading to the vulnerability of LiPON due to its high rigidity, which impedes the widespread use of LiPON. To address this problem, our study introduces a lithium-boron (Li-B) alloy as the anode, featuring a 3D structure, which can be synergistic with the artificial LiPON layer during cycling, leading to a better performance. The average Coulombic efficiency (CE) of a Li || Cu half-cell reaches 95% over 120 cycles. The symmetric cells exhibit sustained operation for 950 h with a low voltage polarization of less than 20 mV under a current density of 0.5 mA/cm2 and for 410 h under 1 mA/cm2.</t>
  </si>
  <si>
    <t>Yu, Yongkun/HLG-7989-2023</t>
  </si>
  <si>
    <t>2313-0105</t>
  </si>
  <si>
    <t>10.3390/batteries10010030</t>
  </si>
  <si>
    <t>WOS:001148830700001</t>
  </si>
  <si>
    <t>Hexagonal Boron Nitride Modulates Crystallinity and Charge Mobility in Poly(ethylene oxide)-NaNO3 Electrolytes</t>
  </si>
  <si>
    <t>Composite solid polymer electrolytes (CSPEs) for solid-state sodium (Na) batteries are attractive due to their high modulus, good mechanical properties, and overall safety relative to liquid electrolytes. Important CSPE properties, such as crystallinity and ionic conductivity, are closely tied to the physicochemical characteristics of the filler material. In this work, we investigate how 2D hexagonal boron nitride (2D h-BN) flakes influence polymer crystallinity and ionic conductivity in poly(ethylene oxide) (PEO)-based CSPEs for Na-ion conduction using NaNO3 as a model salt. Using X-ray diffraction (XRD), differential scanning calorimetry (DSC), and electrochemical impedance spectroscopy (EIS), we find that polymer crystallinity increases in the presence of the h-BN flakes, whereas the total ionic conductivity decreases relative to h-BN-free samples. Quantum mechanical DFT calculations reveal the ability of h-BN to bind with both ions of the dissociated salt, more strongly so with the Na+ cation, which has hitherto not been reported in the context of Na-based polymer electrolytes. The combined experimental and computational efforts in this work provide key physical insights into the importance of filler geometry and chemical characteristics (i.e., Lewis acidity and Lewis basicity) in the design of CSPEs for Na-ion conduction.</t>
  </si>
  <si>
    <t>Snyder, Colby/0009-0005-0956-7403; Pathreeker, Shreyas/0000-0001-7589-5345; Papamokos, George/0000-0002-7671-2798; Composto, Russell/0000-0002-5906-2594;</t>
  </si>
  <si>
    <t>DEC 30</t>
  </si>
  <si>
    <t>10.1021/acs.jpcc.3c06455</t>
  </si>
  <si>
    <t>WOS:001141746300001</t>
  </si>
  <si>
    <t>Guo, ZY; Shi, XT; Cao, LH; Zhang, J; Zhang, XS; Yao, J; Cheng, YJ; Xia, YG</t>
  </si>
  <si>
    <t>Guo, Ziyin; Shi, Xiaotang; Cao, Longhao; Zhang, Jing; Zhang, Xiaosong; Yao, Jiang; Cheng, Ya-Jun; Xia, Yonggao</t>
  </si>
  <si>
    <t>In Situ Formation of a LiBO2 Coating Layer and Spinel Phase for Ni-Rich Cathode Materials from a Boric Acid-Etched Precursor</t>
  </si>
  <si>
    <t>Ni-rich cathode materials exhibit superior energy densities and have attracted interest among both research and industrial fields; whereas, their practical application is hindered by the intrinsic drawbacks brought by the high nickel content such as structural instability and rapid capacity fading. Herein, in situ formation of a LiBO2 coating layer and spinel phase layer is achieved on the surface of a Ni-rich cathode material via a boric acid etching method at the precursor state. The spinel phase is considered to have a 3D lithium diffusion tunnel and hence faster diffusion kinetics. Moreover, the LiBO2 layer possesses excellent (electro)-chemical inertness and can suppress electrolyte decomposition, resulting in a more inorganic and stable cathode-electrolyte interface. The surface reconstructed sample exhibits better cyclic stability (93.3% capacity retention vs 85.3% for the pristine sample at 1 C for 100 cycles) and rate performance. The superiority of this surface reconstruction is demonstrated by a series of electrochemical techniques and characterization methods including high-angle annular dark-field scanning transmission electron microscopy (HAADF-STEM), post-mortem X-ray photoelectron spectroscopy (XPS) analysis, and density functional theory (DFT) calculations.</t>
  </si>
  <si>
    <t>xia, yong gao/0000-0003-4901-1176; Cheng, Ya-Jun/0000-0002-0932-295X</t>
  </si>
  <si>
    <t>DEC 29</t>
  </si>
  <si>
    <t>10.1021/acsami.3c14342</t>
  </si>
  <si>
    <t>WOS:001140892000001</t>
  </si>
  <si>
    <t>Wang, YR; Sun, YK; Zhang, D; Pan, M; Chen, Y; Chen, SP; Zhang, SX; Zhao, YZ; Wang, JL; NuLi, Y</t>
  </si>
  <si>
    <t>Wang, Yaru; Sun, Yukun; Zhang, Duo; Pan, Ming; Chen, Yan; Chen, Shaopeng; Zhang, Shuxin; Zhao, Yazhen; Wang, Jiulin; NuLi, Yanna</t>
  </si>
  <si>
    <t>A Hauser-base modulated boron-based electrolyte empowering superior interfacial chemistry in rechargeable magnesium batteries</t>
  </si>
  <si>
    <t>Electrolytes with superior Mg plating/stripping performance and cathode compatibility through a simple synthetic pathway and affordable raw materials have become a long-term pursuit of rechargeable magnesium batteries (RMBs). Herein, an efficient Hauser-base modulated boron-based electrolyte TMPLB is proposed via a facile in-situ one-pot method that involves mixing intrinsic LiCl-containing Hauser-base TMPL (2,2,6,6-tetra-methylpiperidinylmagnesium chloride lithium chloride complex) and Lewis acid B(Otfe)3 (tris(2,2,2-tri-fluoroethyl)borate) in tetrahydrofuran (THF). Nuclear magnetic resonance (NMR) results reveal that the TMPLB electrolyte is mainly composed of active cation [Mg2(mu-Cl)3 &amp; sdot;6THF]+ and anion [(TMP)B(Otfe)3]-. In addition to a conducive solid electrolyte interphase (SEI) formed on Mg, the in-situ generated robust cathode electrolyte interphase (CEI) on cycled Mo6S8 jointly endows excellent Mg2+ transfer kinetics and cycling stability. Specifically, Mo6S8||Mg full cells can be cycled for over 3000 cycles with a superior capacity retention of 88.2 mAh g-1 under 5 C. The TMPLB electrolyte paves an avenue for the building of stable electrode/electrolyte interfaces in future practical long-life RMBs.</t>
  </si>
  <si>
    <t>Zhang, Shuxin/GQY-9687-2022; Sun, Yukun/HHS-9256-2022; Chen, Chunying/AAA-2891-2021</t>
  </si>
  <si>
    <t>10.1016/j.ensm.2023.103152</t>
  </si>
  <si>
    <t>DEC 2023</t>
  </si>
  <si>
    <t>WOS:001165738000001</t>
  </si>
  <si>
    <t>Park, NR; Li, YX; Yao, WL; Zhang, MH; Han, B; Mejia, C; Sayahpour, B; Shimizu, R; Bhamwala, B; Dang, B; Kumakura, S; Li, WK; Meng, YS</t>
  </si>
  <si>
    <t>Park, Na Ri; Li, Yixuan; Yao, Weiliang; Zhang, Minghao; Han, Bing; Mejia, Carlos; Sayahpour, Baharak; Shimizu, Ryosuke; Bhamwala, Bhargav; Dang, Bryant; Kumakura, Shinichi; Li, Weikang; Meng, Ying Shirley</t>
  </si>
  <si>
    <t>Understanding the Role of Lithium Borate as the Surface Coating on High Voltage Single Crystal LiNi0.5Mn1.5O4</t>
  </si>
  <si>
    <t>The high-voltage spinel lithium nickel manganese oxide (LNMO) with an operating voltage of 4.8 V is a promising cathode material for next-generation lithium-ion batteries (LIBs). However, LNMO/graphite (LNMO/Gr) full cells suffer capacity fading, which limits their practical applications. In this study, lithium metaborate (LBO) is applied on the LNMO surface to improve the full cell performance via a dry mixing method. The LBO-coated LNMO delivers much better cycling stability than the uncoated LNMO in full cells with a practical 3 mAh cm(-2) areal capacity. Different characterizations are performed to understand the coating effect to track the boron and its impact on the cathode, electrolyte, and anode. The LBO-coated LNMO owns a 5 nm cathode electrolyte interphase (CEI) with mitigated phase change after long-term cycling. The uncoated LNMO has negligible CEI with obvious phase change. However, no boron can be detected on the surface of the coated sample. Electrolyte and anode analyses indicate that the coating acts as an additive reservoir, gradually dissolves into the electrolyte, and generates BF4- species. As a result, Nickel/Manganese (Ni/Mn) dissolution from LNMO and the extensive generation of solid electrolyte interphase (SEI) on the anode side is mitigated, thus improving the full-cell cycling stability to a great extent.</t>
  </si>
  <si>
    <t>; Meng, Shirley/I-1276-2013; Bhamwala, Bhargav/HHD-1999-2022; Kumakura, Shinichi/LTE-8152-2024; Han, Bing/ISU-7800-2023</t>
  </si>
  <si>
    <t>Kumakura, Shinichi/0000-0003-1615-6934; /0000-0002-6143-3809; Meng, Ying Shirley/0000-0001-8936-8845</t>
  </si>
  <si>
    <t>10.1002/adfm.202312091</t>
  </si>
  <si>
    <t>WOS:001130129900001</t>
  </si>
  <si>
    <t>Lee, RH; Lee, DW; Lee, JK; Kim, KN; Yoon, JR; Lee, SH</t>
  </si>
  <si>
    <t>Lee, Rae-Hyun; Lee, Dong-Won; Lee, Jong-Kyu; Kim, Kyong-Nam; Yoon, Jung-Rag; Lee, Seung-Hwan</t>
  </si>
  <si>
    <t>Electrical and ionic conductivity of Li2O-B2O3-Al2O3 glass electrolyte for solid-state batteries</t>
  </si>
  <si>
    <t>Solid-state electrolyte is a key component for all-solid-state lithium-ion batteries. The Li2O-B2O3-Al2O3 has been prepared, which is cosinterable with electrode due to its low sintering temperature (520 degrees C). The as-prepared Li2O-B2O3-Al2O3 reveals glass transition temperature of 420 degrees C and crystallization temperature of 462 degrees C. The Li2O-B2O3-Al2O3 possess the reasonable electrochemical performances such as lithium-ion conductivity of 3.075 x 10-5 S/cm, activation energy of 0.72 eV, electronic conductivity of 4.102 x 10-5 S/cm. It is attributed to the particle morphology, grain-to-grain bonding and non-bridging oxygen. Our finding demonstrates that Li2O-B2O3- Al2O3 is an effective breakthrough in solid electrolyte for good electrochemical performances as well as excellent interfacial contact through co-sintering.</t>
  </si>
  <si>
    <t>Lee, Dongwon/IAU-6865-2023; Lee, Seung/ABI-2610-2020</t>
  </si>
  <si>
    <t>10.1016/j.est.2023.110018</t>
  </si>
  <si>
    <t>WOS:001137817500001</t>
  </si>
  <si>
    <t>Zhao, GQ; Luo, CW; Hua, QS</t>
  </si>
  <si>
    <t>Zhao, Guoqiang; Luo, Changwei; Hua, Qingsong</t>
  </si>
  <si>
    <t>Enhanced comprehensive performance of the LLZO series solid electrolyte via multifunctional additive</t>
  </si>
  <si>
    <t>JOURNAL OF THE EUROPEAN CERAMIC SOCIETY</t>
  </si>
  <si>
    <t>This paper elucidates the mechanism of BN as sintering additive and the enhancement for LLZO performance. The introduction of the sintering additive boron nitride (BN) to Li6.25Ga0.25La3Zr2O12 (LGLZO) can effectively eliminate the insulating phase Li2CO3 and form the liquid phase Li3BO3 along the grain boundaries, which significantly enhances the relative density (from 72.4% to 92.9%), ionic conductivity (from 1.3 x 10-5 to 6.7 x 10-4 S cm -1), mechanical strength (from 1.36 to 5.36 GPa) and air stability (anti-Li2CO3) of the electrolyte. Density functional theory (DFT) results reveal that the formation of Li3BO3 contributes to the improvement of the interfacial lithiophilicity, and the interface resistance is reduced from 1219 to 32 omega cm-2. The critical current density (CCD) is enhanced from 0.1 to 0.7 mA cm-2, and the cells can be stably cycled for more than 1000 h at a current density of 0.2 mA cm-2 with a low overpotential at room temperature.</t>
  </si>
  <si>
    <t>Zhao, Guoqiang/JGM-9635-2023</t>
  </si>
  <si>
    <t>0955-2219</t>
  </si>
  <si>
    <t>1873-619X</t>
  </si>
  <si>
    <t>10.1016/j.jeurceramsoc.2023.11.045</t>
  </si>
  <si>
    <t>WOS:001139071400001</t>
  </si>
  <si>
    <t>Liu, W; Zong, K; Ghani, U; Saad, A; Liu, DQ; Deng, YG; Raza, W; Li, Y; Hussain, A; Ye, PF; Song, ZQ; Cai, XK</t>
  </si>
  <si>
    <t>Liu, Wei; Zong, Kai; Ghani, Usman; Saad, Ali; Liu, Dongqing; Deng, Yonggui; Raza, Waseem; Li, Ying; Hussain, Arshad; Ye, Pengfei; Song, Zhaoqi; Cai, Xingke</t>
  </si>
  <si>
    <t>Ternary Lithium Nickel Boride with 1D Rapid-Ion-Diffusion Channels as an Anode for Use in Lithium-Ion Batteries</t>
  </si>
  <si>
    <t>Anode materials with high-rate performances and good electrochemical stabilities are urgently required for the grid-scale application of lithium-ion batteries (LIBs). Theoretically, transition metal borides are desirable candidates because of their appropriate working potentials and good conductivities. However, the reported metal borides exhibit poor performances owing to their lack of favorable Li+ storage sites and poor structural stabilities during long-term charging/discharging. In this work, a ternary alkali metal boride, Li1.2Ni2.5B2, which displays a high Li+ storage capacity and remarkable electrochemical stability and an excellent rate performance is studied. In contrast to conventional transition metal borides, the introduction of Li atoms facilitates the formation of 1D Ni/B-based honeycomb channels during synthesis. This Ni/B framework successfully sustains the strain during Li+ intercalation and deintercalation, and thus, the optimized Li1.2Ni2.5B2 anode exhibits an excellent cycle stability over 500 charge/discharge cycles. This electrode also exhibits superior reversible capacities of 350, 183, and 80 mA h g(-1) at 0.1, 1, and 5 A g(-1), respectively, indicating the considerable potential of the 1D Ni/B framework as a commercially available fast-charging LIB anode.</t>
  </si>
  <si>
    <t>; Hussain, Arshad/KTI-4561-2024; SAAD, ALI/AEF-4716-2022; Liu, Dongqing/Y-1502-2018; RAZA, WASEEM/JQV-8567-2023; Cai, Xingke/ABC-1628-2021; Liu, Wei/C-2366-2011</t>
  </si>
  <si>
    <t>SAAD, ALI/0000-0002-4528-8349; Hussain, Arshad/0000-0001-6004-891X; Waseem, Raza/0000-0002-5103-8514; LIU, Wei/0009-0001-7299-8186;</t>
  </si>
  <si>
    <t>10.1002/smll.202309918</t>
  </si>
  <si>
    <t>WOS:001123698800001</t>
  </si>
  <si>
    <t>Huang, XJ; Wang, MR; Wang, QY; Dong, QY; Hong, B; Li, J; Lai, YQ</t>
  </si>
  <si>
    <t>Huang, Xinjing; Wang, Mengran; Wang, Qiyu; Dong, Qingyuan; Hong, Bo; Li, Jie; Lai, Yanqing</t>
  </si>
  <si>
    <t>Acceleration of interfacial kinetics induced by regulation of Li plus desolvation process in lithium metal-based batteries</t>
  </si>
  <si>
    <t>Lithium (Li) metal anode is the most promising anode for next-generation high-energy-density batteries due to the high theoretical specific capacity and the lowest redox potential. However, the uncontrollable growth of lithium dendrite and infinite volume expansion limit the development of Li metal-based batteries (LMBs). Introducing functional additives into electrolytes is considered as one of the efficient and economical strategies to suppress the Li dendrite growth and relieve the volume effect. Nevertheless, single-functional electrolyte additives can hardly comprehensively enhance the electrochemical performance of LMBs. Herein, boron-based anion receptor Tris(hexafluoroisopropyl) Borate (THFPB) is introduced into the electrolyte to weaken the interaction between the solvent and lithium ions, which regulates the lithium-ion desolvation process and enhance Li+ migration, resulting in the formation of smooth, dense, and rich-inorganic solid electrolyte inter -phase (SEI) film. Strikingly, with 2 wt % THFPB additive, the Li||Li cell shows an extremely long cycle life of 4200 h, and the Li||Cu cell affords a high Coulombic efficiency (CE) of 99.87 %. The THFPB-modified electrolyte shows superior universality, which enhances the cycling and rate performance of the Li||S and Li||LiFePO4 cells. Generally, this work provides a new perspective on the selection of new functional additives to achieve a long cycling life Li metal battery with great performance.</t>
  </si>
  <si>
    <t>Dong, Qingyuan/IWU-6517-2023; Wang, Qiyu/O-5644-2014; hong, bo/HHS-4080-2022</t>
  </si>
  <si>
    <t>10.1016/j.jpowsour.2023.233884</t>
  </si>
  <si>
    <t>WOS:001139730500001</t>
  </si>
  <si>
    <t>Kim, H; Yim, T</t>
  </si>
  <si>
    <t>Kim, Ha Neul; Yim, Taeeun</t>
  </si>
  <si>
    <t>Rational Design of Multifunctional Surface Modification for Ni-Rich Layered Cathodes of Lithium-Ion Batteries</t>
  </si>
  <si>
    <t>Although Ni-rich layered oxide materials (LNCMs) have received increasing attention as advanced cathode materials, their short lifespan constitutes a major limitation. In this work, we incorporate Ti- and B-functionalized cathode-electrolyte interphase (CEI) layers at the interface of LNCM cathodes via a simple one-step thermal process with boric acid (H3BO3) and titanium dioxide (TiO2). It is discovered that coating TiO2 increases the mechanical strength of LNCM cathode materials, effectively suppressing the microcracking of LNCM cathode particles. Furthermore, H3BO3 can react with residual lithium remaining at the LNCM cathode surface, which also leads to a decrease in the internal pressure of the cell and a minimization of reduction of ionic conductivity as CEI layers are formed at the LNCM interfaces. The incorporation of Ti- and B-functionalized CEI layers exhibits a synergistic effect, preventing undesired reactions and improving the surface stability of the LNCM cathodes. In the lifespan, the 0.75 wt % Ti- and B-functionalized LNCM cathode exhibits a 21.9%p increase in retention compared to LNCM cathodes after 100 cycles, even at high temperature. Postmodern analyses of cycled LNCM cathodes, including (cross-sectional) SEM, EIS, XPS, and ICP-MS, demonstrate that bifunctionalized LNCM cathodes reveal improved particle strength and markable suppression of electrolyte decomposition.</t>
  </si>
  <si>
    <t>Kim, Ha Neul/0009-0003-6063-8110</t>
  </si>
  <si>
    <t>DEC 5</t>
  </si>
  <si>
    <t>10.1021/acsaem.3c02248</t>
  </si>
  <si>
    <t>WOS:001131595300001</t>
  </si>
  <si>
    <t>Olmedo-González, J; Guzmán-González, G; Manzo-Robledo, A; Ramírez-Rosales, D; Arellano-Ahumada, SN; Vera-Ramírez, MA; González, I; González-Huerta, RD; Ramos-Sanchez, G</t>
  </si>
  <si>
    <t>Olmedo-Gonzalez, Jorge; Guzman-Gonzalez, Gregorio; Manzo-Robledo, Arturo; Ramirez-Rosales, Daniel; Arellano-Ahumada, Stephany N.; Vera-Ramirez, Marco A.; Gonzalez, Ignacio; de Guadalupe Gonzalez-Huerta, Rosa; Ramos-Sanchez, Guadalupe</t>
  </si>
  <si>
    <t>In-situ Polymerized Single Lithium-ion Conducting Binder as an Integrated Strategy for High Voltage LNMO Electrodes</t>
  </si>
  <si>
    <t>High voltage spinel LiNi0.5 Mn1.5O4 (LNMO) is a promising material for next generation lithium-Ion batteries. However, its reactivity near 5 V possess stability and cycling challenges. In this study, a novel integrated approach is employed using a single lithium-ion conducting polymer binder (SLICPB) to prevent interactions with reactive anions and create a protective layer against electrolyte decomposition. The proposed SLICPB in-situ polymerization in the LNMO electrodes simplifies the preparation process, reducing costs. SLICPB properties effectively decrease polarization by concentration. For instance, at a discharge capacity of 68 mAh g-1, the voltage hysteresis difference is 0.31 V, enabling higher capacity at 1 C (a 38 % increase) compared to traditional binder electrodes. Notably, this integrated strategy completely replaces the traditional binder without any need for additives, thus avoiding any extra weight in the electrode preparation. Furthermore, SLICPB properties successfully decreasereactivity and diminish the leaching of Mn2+, as evaluated through differential electrochemical mass spectrometry and electron paramagnetic resonance, respectively. High voltage LNMO electrodes: The utilization of a boron-based single lithium-conducting polymer as a binder in high-voltage LiNi0.5Mn1.5O4 cathodes results in a substantial 38 % increase in capacity at 1 C discharge and effectively decreases polarization by concentration. This strategy also mitigates reactivity and Mn2+ disproportionation issues, thereby enhancing electrochemical stability. These advancements position the in-situ polymerization of this binder as a viable option for widespread commercial applications.image</t>
  </si>
  <si>
    <t>; Olmedo-González, Jorge/AAR-3066-2020; Ahumada, Stephany/I-3374-2018; Manzo Robledo, Arturo/R-6272-2018; Robledo, Arturo/R-6272-2018</t>
  </si>
  <si>
    <t>Arellano Ahumada, Stephany Natasha/0000-0003-4719-9013; Ramos-Sanchez, Guadalupe/0000-0002-3976-4724; Manzo Robledo, Arturo/0000-0002-8570-4028; GONZALEZ, IGNACIO/0000-0002-9651-2515; Guzman-Gonzalez, Gregorio/0000-0002-8080-0862; Olmedo-Gonzalez, Jorge/0000-0001-6832-9345</t>
  </si>
  <si>
    <t>10.1002/batt.202300383</t>
  </si>
  <si>
    <t>WOS:001113045100001</t>
  </si>
  <si>
    <t>Khossossi, N; Singh, D; Essaoudi, I; Ahuja, R; Ainane, A</t>
  </si>
  <si>
    <t>Khossossi, Nabil; Singh, Deobrat; Essaoudi, Ismail; Ahuja, Rajeev; Ainane, Abdelmajid</t>
  </si>
  <si>
    <t>Unveiling the catalytic potential of two-dimensional boron nitride in lithium-sulfur batteries</t>
  </si>
  <si>
    <t>Lithium-sulfur (Li-S) batteries, renowned for their potential high energy density, have attracted attention due to their use of earth-abundant elements. However, a significant challenge lies in developing suitable materials for both lithium-based anodes, which are less prone to lithium dendrite formation, and sulfur-based cathodes. This obstacle has hindered their widespread commercial viability. In this study, we present a novel sulfur host material in the form of a two-dimensional semiconductor boron nitride framework, specifically the 2D orthorhombic diboron dinitride (o-B2N2). The inherent conductivity of o-B2N2 mitigates the insulating nature often observed in sulfur-based electrodes. Notably, the o-B2N2 surface demonstrates a high binding affinity for long-chain Li-polysulfides, leading to a significant reduction in their dissolution into the DME/DOL electrolytes. Furthermore, the preferential deposition of Li2S on the o-B2N2 surface expedites the kinetics of the lithium polysulfide redox reactions. Additionally, our investigations have revealed a catalytic mechanism on the o-B2N2 surface, significantly reducing the free energy barriers for various sulfur reduction reactions. Consequently, the integration of o-B2N2 as a host cathode material for Li-S batteries holds great promise in suppressing the shuttle effect of lithium polysulfides and ultimately enhancing the overall battery performance. This represents a practical advancement for the application of Li-S batteries.</t>
  </si>
  <si>
    <t>; Ainane, Tarik/AEI-6594-2022; Singh, Deobrat/ABF-2402-2022; Khossossi, Nabil/AAG-5586-2020</t>
  </si>
  <si>
    <t>KHOSSOSSI, Nabil/0000-0002-3914-4162; Singh, Deobrat/0000-0001-7246-8743</t>
  </si>
  <si>
    <t>10.1016/j.cej.2023.147518</t>
  </si>
  <si>
    <t>WOS:001131927400001</t>
  </si>
  <si>
    <t>Zhao, ZM; Alshareef, HN</t>
  </si>
  <si>
    <t>Zhao, Zhiming; Alshareef, Husam N.</t>
  </si>
  <si>
    <t>Sustainable Dual-Ion Batteries beyond Li</t>
  </si>
  <si>
    <t>The limitations of resources used in current Li-ion batteries may hinder their widespread use in grid-scale energy storage systems, prompting the search for low-cost and resource-abundant alternatives. Beyond-Li cation batteries have emerged as promising contenders; however, they confront noteworthy challenges due to the scarcity of suitable host materials for these cations. In contrast, anions, the other crucial component in electrolytes, demonstrate reversible intercalation capacity in specific materials like graphite. The convergence of anion and cation storage has given rise to a new battery technology known as dual-ion batteries (DIBs). This comprehensive review presents the current status, advancements, and future prospects of sustainable DIBs beyond Li. Notably, most DIBs exhibit similar cathode reaction mechanisms involving anion intercalation, while the distinguishing factor lies in the cation types functioning at the anode. Accordingly, the review is organized into sections by various cation types, including Na-, K-, Mg-, Zn-, Ca-, Al-, NH4+-, and proton-based DIBs. Moreover, a perspective on these novel DIBs is presented, along with proposed protocols for investigating DIBs and promising future research directions. It is envisioned that this review will inspire fresh concepts, ideas, and research directions, while raising important questions to further tailor and understand sustainable DIBs, ultimately facilitating their practical realization. The advent of sustainable dual-ion batteries, utilizing beyond-Li cations such as K+, Ca2+, Na+, Mg2+, Al3+, Zn2+, NH4+, and H+, holds significant promise for the realization of low-cost and environmentally friendly large-scale energy storage solutions. This review describes an extensive overview of the current status, advancements, and future prospects of these new chemistries.image</t>
  </si>
  <si>
    <t>; Alshareef, Husam/A-2000-2015; Alshareef, Husam N/A-2000-2015</t>
  </si>
  <si>
    <t>Zhao, Zhiming/0009-0003-4002-9297; Alshareef, Husam N/0000-0001-5029-2142</t>
  </si>
  <si>
    <t>10.1002/adma.202309223</t>
  </si>
  <si>
    <t>WOS:001112428100001</t>
  </si>
  <si>
    <t>Ma, LL; Li, XY; Tan, J; Fang, Z; Liu, Z; Wang, Y; Ye, CM; Yi, PS; Ye, MX; Shen, JF</t>
  </si>
  <si>
    <t>Ma, Longli; Li, Xuanyang; Tan, Jian; Fang, Zhan; Liu, Zhu; Wang, Yuan; Ye, Chuming; Yi, Pengshu; Ye, Mingxin; Shen, Jianfeng</t>
  </si>
  <si>
    <t>Anion-Immobilized Gel Polymer Electrolyte with a High Ion Transference Number for High-Performance Lithium/Sodium Metal Batteries</t>
  </si>
  <si>
    <t>Due to their high energy density, lithium/sodium metal batteries (LMBs/SMBs) are expected to be the next generation of energy storage systems. However, the further application of alkali metal batteries based on liquid electrolytes is limited due to increasing safety concerns. Gel polymer electrolytes (GPEs), which combine the advantages of the high ionic conductivity of liquid electrolytes and excellent mechanical properties of solid polymer electrolytes, are considered to play an irreplaceable role in the realization of high-performance alkali metal batteries. In this work, a flexible boron-containing GPE (B-GPE) with a cross-linked polymer network structure is prepared by a UV-induced process. The as-prepared B-GPE exhibits good ionic conductivity and has an extremely high ion transference number due to the electron-withdrawing effect of the boron moiety and the facile electrolyte uptake ability of the ethylene oxide chain. Furthermore, a gentle electrode/electrolyte contact is designed by a one-step in situ polymerization method, which can enhance ion transport within the electrode and at the electrode/electrolyte interface due to the presence of a continuous polymer phase for ion conduction. Therefore, LMBs and SMBs containing B-GPE are able to effectively inhibit the growth of dendrites while exhibiting excellent cycling stability. These comprehensive results indicate that this novel B-GPE possesses potential applications for high-performance alkali metal batteries.</t>
  </si>
  <si>
    <t>DEC 2</t>
  </si>
  <si>
    <t>10.1021/acsami.3c13883</t>
  </si>
  <si>
    <t>WOS:001141610200001</t>
  </si>
  <si>
    <t>Meng, XL; Zhang, DM; Mo, JS; Liu, LH; Yang, TR; Fan, QX; Zhao, Q; Zhou, RM; Zhang, MX; Hou, WY; Hu, WH; Zhang, WD; Jin, YL; Jiang, B; Chu, LH; Li, MC</t>
  </si>
  <si>
    <t>Meng, Xianglong; Zhang, Dongmei; Mo, Jinshan; Liu, Lehao; Yang, Tianrong; Fan, Qianxiao; Zhao, Qian; Zhou, Rongmin; Zhang, Mengxuan; Hou, Wenyan; Hu, Weihao; Zhang, Wendi; Jin, Yilong; Jiang, Bing; Chu, Lihua; Li, Meicheng</t>
  </si>
  <si>
    <t>Room-temperature solid-state metallic lithium batteries based on high-content boron nitride nanosheet-modified polymer electrolytes</t>
  </si>
  <si>
    <t>Polyethylene oxide (PEO)-based solid-state electrolytes have great potential in the development of solid-state metallic lithium batteries. However, it is difficult to apply them in metallic lithium batteries at room tempera-ture because of the poor ionic conductivity and the lithium dendrite-induced safety problem. Herein, high-performance composite polymer electrolytes (CPEs) are developed by filling high-content boron nitride (BN) nanosheets with well dispersity in the PEO-LiTFSI matrices. Theoretical calculations and experimental charac-terizations reveal that the BN nanofillers with a strong Lewis acid property can capture TFSI- to release more free Li+, reduce the polymer crystallinity, and facilitate the generation of rich BN/PEO-LiTFSI fast-ion interfaces. Thus, the ionic conductivity and the Li+ transference number of the CPEs at room temperature greatly increase to 4 and 2 times those of the pristine electrolyte, respectively. Hence, the Li/CPE/Li batteries can operate steadily at 0.05 mA/cm2 (0.05 mAh/cm2) and 30 degrees C for 1200 h. Furthermore, the LiFePO4/CPE/Li batteries show higher initial capacity of 132 mAh/g and capacity retention of 84 % after 90 cycles at 0.3C and 30 degrees C than the pristine electrolyte-based batteries (29 %). This study provides a feasible case to prepare excellent-performance CPE films containing high nanofiller content for room-temperature solid-state metallic lithium batteries.</t>
  </si>
  <si>
    <t>zhang, mengxuan/KUD-5112-2024; Liu, Lehao/AAG-3981-2020; zhang, dongmei/B-8011-2013; Zhang, Wendi/IQS-2544-2023; Meng, Xiang-Long/GXV-5867-2022</t>
  </si>
  <si>
    <t>MAR 1</t>
  </si>
  <si>
    <t>10.1016/j.apsusc.2023.158962</t>
  </si>
  <si>
    <t>WOS:001128609700001</t>
  </si>
  <si>
    <t>Liu, HX; Zhou, X; Ye, MX; Shen, JF</t>
  </si>
  <si>
    <t>Liu, Huixiang; Zhou, Xian; Ye, Mingxin; Shen, Jianfeng</t>
  </si>
  <si>
    <t>Ion Migration Mechanism Study of Hydroborate/Carborate Electrolytes for All-Solid-State Batteries</t>
  </si>
  <si>
    <t>Hydroborate/carborate electrolytes represent an emerging and newly rediscovered solid electrolyte used in various all-solid-state batteries (such as lithium-ion batteries and sodium-ion batteries). High ionic conductivity, wide chemical/electrochemical stability, low density, and favorable mechanical properties make hydroborate/carborate electrolytes a promising candidate for solving the difficult challenges faced by the device integration and processing of all-solid-state batteries. It is remarkable that the ionic conductivity of solid electrolytes can be simply adjusted up to 10(-3) S cm(-1), and the optimized ionic conductivity can even reach 10(-2) S cm(-1). Furthermore, hydroborate/carborate electrolytes have been successfully formed and applied to similar to 5 V high-voltage solid-state batteries. However, due to certain characteristics of hydroborate/carborate electrolytes, such as anion rotation and phase transition, it is challenging to understand the mechanism of their high ionic conductivity. Therefore, in this review, we summarized the latest research progress on hydroborate/carborate electrolytes, highlighted various mechanisms underlying the conductivity, described emerging characterization techniques and theoretical calculations, and listed general guidelines to unravel the high conductivity of hydroborate/carborate compounds. Novel strategies and suggestions on hydroborate/carborate work are also proposed. Following emerging research trends, we project promising future development toward the realization of hydroborate/carborate electrolytes in practical applications.</t>
  </si>
  <si>
    <t>10.1007/s41918-023-00191-9</t>
  </si>
  <si>
    <t>WOS:001057588700001</t>
  </si>
  <si>
    <t>Zhou, QJ; Jian, JY; Kang, C; Tang, WC; Zhao, W; Wang, YH; Yan, JX; Fu, CK; Huo, H; Zuo, PJ</t>
  </si>
  <si>
    <t>Zhou, Qingjie; Jian, Jiyuan; Kang, Cong; Tang, Weichao; Zhao, Wei; Wang, Yuanheng; Yan, Jiaxin; Fu, Chuankai; Huo, Hua; Zuo, Pengjian</t>
  </si>
  <si>
    <t>Solvation structure reorganization and interface regulation of poly (glycidyl POSS)-based electrolyte for quasi-solid-state lithium-ion batteries</t>
  </si>
  <si>
    <t>The interfacial stability and some unexpected side reactions in quasi-solid-state lithium-ion batteries (LIBs) impede the practical application of the in-situ crosslinked polymer electrolytes. Herein, a novel in-situ cross linked polymer electrolyte with eight-armed crosslinked supramolecular structure is constructed via cationic ring-opening polymerization of glycidyl polyhedral oligomeric silsesquioxane (POSS). The strong electrostatic and hydrogen bonding interactions of the POSS blocks with anions reorganize the solvation structure, and the overall oxidation resistance of anions can be also effectively enhanced benefiting from the relatively electron withdrawing effect of the POSS blocks. Simultaneously, a hierarchical cathode-electrolyte interphase with flexibility and oxidation resistance is constructed involving the boron difluoride radical-catalyzed cleavage of Si O-Si linkages in POSS frameworks. The poly (glycidyl POSS)-based electrolyte enables the Li||NCM83 cell to possess a high capacity retention of 79.1 % after 500 cycles. Moreover, the SiOx||NCM83 battery shows a capacity retention of 87.6 % after 200 cycles. These insights gained form this work opens up an avenue for the development and practical application of quasi-solid-state LIBs.</t>
  </si>
  <si>
    <t>; Fu, chuankai/GRF-3732-2022</t>
  </si>
  <si>
    <t>Zuo, Pengjian/0000-0001-8777-5105; Fu, Chuankai/0000-0002-0966-0916;</t>
  </si>
  <si>
    <t>DEC 1</t>
  </si>
  <si>
    <t>10.1016/j.nanoen.2023.108892</t>
  </si>
  <si>
    <t>WOS:001165573600001</t>
  </si>
  <si>
    <t>Lao, ZJ; Han, ZY; Ma, JB; Zhang, MT; Wu, XR; Jia, YY; Gao, RH; Zhu, YF; Xiao, X; Yu, K; Zhou, GM</t>
  </si>
  <si>
    <t>Lao, Zhoujie; Han, Zhiyuan; Ma, Jiabin; Zhang, Mengtian; Wu, Xinru; Jia, Yeyang; Gao, Runhua; Zhu, Yanfei; Xiao, Xiao; Yu, Kuang; Zhou, Guangmin</t>
  </si>
  <si>
    <t>Band Structure Engineering and Orbital Orientation Control Constructing Dual Active Sites for Efficient Sulfur Redox Reaction</t>
  </si>
  <si>
    <t>The kinetics difference among multistep electrochemical processes leads to the accumulation of soluble polysulfides and thus shuttle effect in lithium-sulfur (Li-S) batteries. While the interaction between catalysts and representative species has been reported, the root of the kinetics difference, interaction change among redox reactions, remains unclear, which significantly impedes the catalysts design for Li-S batteries. Here, this work deciphers the interaction change among electrocatalytic sulfur reactions, using tungsten disulfide (WS2) a model system to demonstrate the efficiency of modifying electrocatalytic selectivity via dual-coordination design. Band structure engineering and orbital orientation control are combined to guide the design of WS2 with boron dopants and sulfur vacancies (B-WS2-x), accurately modulating interaction with lithium and sulfur sites in polysulfide species for relatively higher interaction with short-chain polysulfides. The modified interaction trend is experimentally confirmed by distinguishing the kinetics of each electrochemical reaction step, indicating the effectiveness of the designed strategy. An Ah-level pouch cell with B-WS2-x delivers a gravimetric energy density of up to 417.6 Wh kg-1 with a low electrolyte/sulfur ratio of 3.6 mu L mg-1 and negative/positive ratio of 1.2. This work presents a dual-coordination strategy for advancing evolutionarily catalytic activity, offering a rational strategy to develop effective catalysts for practical Li-S batteries. Interaction trend among redox reactions affect evolutionarily electrocatalytic activity. Using WS2 as an example, band structure engineering and orbital orientation control are combined to construct Li-S and S-B dual-coordination, accurately modulating the interaction trend to accelerate the rate-determined process. This work presents a dual-coordination design for advancing evolutionarily catalytic activity, helping with effective catalyst design for practical Li-S batteries.image</t>
  </si>
  <si>
    <t>Yu, Kuang/J-5152-2017; Wu, Xinru/AAY-7804-2020; Jia, yeyang/JDD-0676-2023; Zhou, Guangmin/ABE-6563-2020; Zhu, Yan Fei/U-9499-2018</t>
  </si>
  <si>
    <t>10.1002/adma.202309024</t>
  </si>
  <si>
    <t>NOV 2023</t>
  </si>
  <si>
    <t>WOS:001110360200001</t>
  </si>
  <si>
    <t>Yu, YF; Lei, M; Liu, YY; Chen, KY; Lai, CZ; Hu, JL; Li, CL</t>
  </si>
  <si>
    <t>Yu, Yifan; Lei, Meng; Liu, Yangyang; Chen, Keyi; Lai, Chuanzhong; Hu, Jiulin; Li, Chilin</t>
  </si>
  <si>
    <t>Enable reversible conversion reaction of copper fluoride batteries by hydroxyl solution and anion acceptor</t>
  </si>
  <si>
    <t>Metal fluorides as conversion-reaction cathodes are attracting more attentions due to their advantages of low cost, environmentally friendly and high energy density. Among CuF2 enables the high theoretical energy density (1874 Wh/kg) and conversion reaction potential (3.55 V vs. Li+/Li), but its poor reversibility is always criticized due to the dissolution of Cu species occurring in delithiation process. In response to this conundrum, here we propose a hydroxyl-rich copper fluoride (Cu2(OH)3F) as conversion cathode coupled with an electrolyte additive engineering to address the reversibility bottleneck. The presence of OH enables the effective suppression of Cu+ dissolution and imparts Cu2(OH)3F a phase-division conversion mechanism, resulting in the better reaction reversibility and kinetics. Combing with the electrolyte formulation based on boron-based anion acceptor with mild Lewis acidity, the dissociation and conversion of anions from Cu2(OH)3F lattices are promoted and hence the cycling performance is further upgraded, with a reversible capacity over 200 mA h/g after 50 cycles.</t>
  </si>
  <si>
    <t>Liu, Yangyang/NMK-3707-2025; Li, Chilin/KFB-6278-2024</t>
  </si>
  <si>
    <t>10.1016/j.ensm.2023.103073</t>
  </si>
  <si>
    <t>WOS:001126131900001</t>
  </si>
  <si>
    <t>Yang, C; Zheng, MT; Qu, R; Zhang, HY; Yin, LM; Hu, WX; Han, J; Lu, J; You, Y</t>
  </si>
  <si>
    <t>Yang, Chao; Zheng, Mengting; Qu, Rui; Zhang, Hanyin; Yin, Luming; Hu, Wenxi; Han, Jin; Lu, Jun; You, Ya</t>
  </si>
  <si>
    <t>Engineering A Boron-Rich Interphase with Nonflammable Electrolyte toward Stable Li||NCM811 Cells Under Elevated Temperature</t>
  </si>
  <si>
    <t>Despite the high energy of LiNi0.8Co0.1Mn0.1O2 (NCM811) cathode, it still suffers serious decay due to the continuous solvents decomposition and unstable cathode electrolyte interphase (CEI) layers, especially under high temperatures. The intense exothermic reaction between delithiated NCM811 and flammable electrolyte, on the other hand, pushes the batteries to their safety limit. Herein, these two issues are tackled via engineering the electrolytes, that is, utilizing salts with higher HOMO levels and nonflammable solvents with lower HOMO levels, to reduce the massive decomposition of solvents and improve battery safety under elevated temperatures. Consequently, a thin and boron-rich CEI is generated, which effectively inhibited the side reactions, thus improving the cycling stability and safety. Deviated from the highly concentrated electrolytes which heavily relies on the usage of massive salts, the electrolyte recipe can introduce a robust inorganic-rich CEI but use much less salt (i.e., dilute electrolyte), and thus, offer an encouraging alternative toward practical applications. As such, the NCM811 cathode exhibits a high-capacity retention of 81.2% after 950 cycles at 25 degrees C and 75% after 300 cycles at 55 degrees C. This work provides a universal electrolyte design strategy for designing stable and safe high-temperature electrolytes for the NCM811 cathode. The generation of boron-rich CEI is proposed by selecting salts and solvents with reasonable HOMO levels, which can stabilize the NCM811 at both RT and high temperature by suppressing the degradation of particles and decreasing the consumption of electrolytes. Besides, it improves the flame-retardancy to decrease the safety risk of NCM811||Li battery.image</t>
  </si>
  <si>
    <t>Han, Jin/AAL-7296-2021; You, Ya/GWD-0248-2022; Lu, Jun/G-2224-2012; Yang, Chao/HLW-4312-2023</t>
  </si>
  <si>
    <t>You, Ya/0000-0002-2069-5212; Yang, Chao/0009-0001-4009-9573;</t>
  </si>
  <si>
    <t>10.1002/adma.202307220</t>
  </si>
  <si>
    <t>WOS:001107205500001</t>
  </si>
  <si>
    <t>Hu, H; Zhang, XD; Gao, ZR; Su, Y; Liu, SX; Wu, FX; Ren, XL; He, X; Song, BH; Lyu, P; Huang, JY; Huang, Q</t>
  </si>
  <si>
    <t>Hu, Huan; Zhang, Xuedong; Gao, Zhenren; Su, Yong; Liu, Shuangxu; Wu, Feixiang; Ren, Xiaolei; He, Xin; Song, Binghui; Lyu, Pengbo; Huang, Jianyu; Huang, Qiao</t>
  </si>
  <si>
    <t>Boosting the Cycle Performance of Iron Trifluoride Based Solid State Batteries at Elevated Temperatures by Engineering the Cathode Solid Electrolyte Interface</t>
  </si>
  <si>
    <t>Iron trifluoride (FeF3) is attracting tremendous interest due to its lower cost and the possibility to enable higher energy density in lithium-ion batteries. However, its cycle performance deteriorates rapidly in less than 50 cycles at elevated temperatures due to cracking of the unstable cathode solid electrolyte interface (CEI) followed by active materials dissolution in liquid electrolyte. Herein, by engineering the salt composition, the Fe3O4-type CEI with the doping of boron (B) atoms in a polymer electrolyte at 60 degrees C is successfully stabilized. The cycle life of the well-designed FeF3-based composite cathode exceeds an unprecedented 1000 cycles and utilizes up to 70% of its theoretical capacities. Advanced electron microscopy combined with density functional theory (DFT) calculations reveal that the B in lithium salt migrates into the cathode and promotes the formation of an elastic and mechanic robust boron-contained CEI (BOR-CEI) during cycling, by which the durability of the CEI to frequent cyclic large volume changes is significantly enhanced. To this end, the notorious active materials dissolution is largely prohibited, resulting in a superior cycle life. The results suggest that engineering the CEI such as tuning its composition is a viable approach to achieving FeF3 cathode-based batteries with enhanced performance. By doping the B atoms into the oxygen-rich cathode solid electrolyte interface (OR-CEI) to form a BOR-CEI, unprecedent cycle life of FeF3 exceeding 1000 cycles is achieved in the polymer electrolyte. The enhanced elasticity and mechanic strength of BOR-CEI is a response to this superior cycle performance.image</t>
  </si>
  <si>
    <t>; Zhang, Xuedong/ABB-6243-2020; Wu, Feixiang/G-9757-2017; He, Xin/JYQ-1624-2024; Lyu, Pengbo/O-9415-2017; Hu, Huan/ABF-8417-2020; Ren, Xiaolei/GMW-9232-2022; huang, jianyu/LIA-8494-2024; Gao, Zhenren/JSL-2235-2023</t>
  </si>
  <si>
    <t>Gao, Zhenren/0000-0002-0765-4029; Lyu, Pengbo/0000-0002-1785-9861;</t>
  </si>
  <si>
    <t>10.1002/smll.202307116</t>
  </si>
  <si>
    <t>WOS:001105618700001</t>
  </si>
  <si>
    <t>Deshmukh, S; Kunuku, S; Jakobczyk, P; Olejnik, A; Chen, CH; Niu, H; Yang, B; Yang, NJ; Bogdanowicz, R</t>
  </si>
  <si>
    <t>Deshmukh, Sujit; Kunuku, Srinivasu; Jakobczyk, Pawel; Olejnik, Adrian; Chen, Chien-Hsu; Niu, Huan; Yang, Bing; Yang, Nianjun; Bogdanowicz, Robert</t>
  </si>
  <si>
    <t>Diamond-Based Supercapacitors with Ultrahigh Cyclic Stability Through Dual-Phase MnO2-Graphitic Transformation Induced by High-Dose Mn-Ion Implantation</t>
  </si>
  <si>
    <t>While occasionally being able to charge and discharge more quickly than batteries, carbon-based electrochemical supercapacitors (SCs) are nevertheless limited by their simplicity of processing, adjustable porosity, and lack of electrocatalytic active sites for a range of redox reactions. Even SCs based on the most stable form of carbon (sp(3) carbon/diamond) have a poor energy density and inadequate capacitance retention during long charge/discharge cycles, limiting their practical applications. To construct a SC with improved cycling stability/energy density Mn-ion implanted (high-dose; 10(15)-10(17) ions cm(-2)) boron doped diamond (Mn-BDD) films have been prepared. Mn ion implantation and post-annealing process results in an in situ graphitization (sp(2) phase) and growth of MnO2 phase with roundish granular grains on the BDD film, which is favorable for ion transport. The dual advantage of both sp(2) (graphitic phase) and sp(3) (diamond phase) carbons with an additional pseudocapacitor (MnO2) component provides a unique and critical function in achieving high-energy SC performance. The capacitance of Mn-BDD electrode in a redox active aqueous electrolyte (0.05 M Fe(CN)(6)(3-/4-) + 1 M Na2SO4) is as high as 51 mF cm(-2) at 10 mV s(-1) with exceptional cyclic stability (approximate to 100% capacitance even after 10 000 charge/discharge cycles) placing it among the best-performing SCs. Furthermore, the ultrahigh capacitance retention (approximate to 80% retention after 88 000 charge/discharge cycles) in a gel electrolyte containing a two-electrode configuration shows a promising prospect for high-rate electrochemical capacitive energy storage applications.</t>
  </si>
  <si>
    <t>Bogdanowicz, Robert/D-2913-2014; Deshmukh, Sujit/OBO-7011-2025; Yang, Bing/AAR-8126-2021; Kunuku, Srinivasu/L-5790-2014; Olejnik, Adrian/JJG-2165-2023; Jakóbczyk, Paweł/M-8125-2014; Chien, Sheng-Hsuan/HDM-2486-2022</t>
  </si>
  <si>
    <t>Bogdanowicz, Robert/0000-0002-7543-2620; Kunuku, Srinivasu/0000-0002-0648-1226;</t>
  </si>
  <si>
    <t>10.1002/adfm.202308617</t>
  </si>
  <si>
    <t>WOS:001107504800001</t>
  </si>
  <si>
    <t>Fan, WZ; Hu, ZY; Guo, WF; Jiang, X; Yang, Y; Zhang, YF; Cheng, HS</t>
  </si>
  <si>
    <t>Fan, Weizhen; Hu, Zhenyuan; Guo, Wenfan; Jiang, Xin; Yang, Ying; Zhang, Yunfeng; Cheng, Hansong</t>
  </si>
  <si>
    <t>Highly conductive and nonflammable boron-based gel type single ion conducting electrolyte membranes toward high-safety and dendrite-free lithium metal batteries</t>
  </si>
  <si>
    <t>Single-ion conducting polymer electrolytes (SIPEs), having a high Li-ion transference number (tLi+ ) close to unity, hold great promise for circumventing the lithium dendrite growth of lithium metal batteries (LMBs). However, SIPEs synthesized by a simple method that also simultaneously fulfill the requirements of high ionic conductivity, good thermal stability, and remarkable fire resistance are still quite rare. Herein, a novel single-ion conducting fibrous membrane (es-DDBSB-Li) based on borate anions of single-ion conductors (denoted as DDBSB-Li) and poly(vinylidene fluoride-hexafluoropropylene) P(VDF-HFP) as a binder was prepared via facile electrospinning technology. The introduction of borate anions promotes the homogeneous distribution of highly concentrated Liions and accelerates the ionic migration, leading to an enhanced ionic conductivity of 3.75 x 10 4 S cm  1 at 25 degrees C for DDBSB-Li saturated with organic solvents. Additionally, the thermally stable and nonflammable DDBSB-Li endows the resultant fibrous membranes to possess good high-temperature stability and fire-resistance properties. The Li||Li cell using this electrolyte displays a high tLi+ of 0.91 and effectively mitigates concentration polarization, thereby enabling a remarkably stable cyclic performance over 2000 h at 2.5 mA cm  2 at 25 degrees C. Also, this gel SIPE-based Li||LiFePO4 battery demonstrates superior rate performances up to 3C and delivers longterm cycling durability over 600 cycles under 1C at 25 degrees C. We believe this novel gel SIPE-based fibrous membrane has great potential for practical application in high-safety and dendrite-proof LMBs.</t>
  </si>
  <si>
    <t>Guo, Wen/AEO-6574-2022; Jiang, Xin/MCX-4038-2025; Cheng, Hansong/G-3928-2012</t>
  </si>
  <si>
    <t>Jiang, Xin/0000-0003-2143-3596;</t>
  </si>
  <si>
    <t>10.1016/j.est.2023.109594</t>
  </si>
  <si>
    <t>WOS:001147607500001</t>
  </si>
  <si>
    <t>Zhou, SP; Wang, X; Xu, ZL; Guan, TY; Mo, DZ; Deng, KR</t>
  </si>
  <si>
    <t>Zhou, Suping; Wang, Xuan; Xu, Zelin; Guan, Tianyu; Mo, Daize; Deng, Kuirong</t>
  </si>
  <si>
    <t>Rapid self-healing, highly conductive and near-single-ion conducting gel polymer electrolytes based on dynamic boronic ester bonds for high-safety lithium metal batteries</t>
  </si>
  <si>
    <t>Polymer electrolytes with high ionic conductivity and good self-healing capability are crucial for the develop-ment of lithium metal batteries with enhanced rate capability and safety. However, the application of self-healable polymer electrolytes is hindered by low ionic conductivity and slow self-healing speed. Herein, boronic ester based self-healing gel polymer electrolyte (PBAD-PEG) with high ionic conductivity and fast self-healing speed is developed. PBAD-PEG is fabricated by thiol-ene click reaction of a multifunctional monomer 2,2 '-(1,4-phenylene)-bis (4-allyloxy-1,3,2-dioxaborolane) (PBAD) consisting of two dynamic boronic ester bonds, pentaerythritol tetra(3-mercaptopropionate) and polyethylene glycol diacrylate. Abundant reversible boronic ester bonds endow PBAD-PEG with good flexibility and excellent self-healing ability. PBAD-PEG can self-heal within 1 h at room temperature after damaged, which effectively restores the ionic conductivities and me-chanical properties. PBAD-PEG possesses high ionic conductivity of 8.67 x 10-4 S cm-1 at 25 degrees C. Lewis acid-base interactions between anions and boron atoms of PBAD-PEG contributes to ultrahigh lithium-ion transference number of 0.71. PBAD-PEG exhibits significant resistance to the growth of Li dendrites. The fabricated LiFePO4/ Li batteries with PBAD-PEG achieve significantly boosted cycle stability (capacity retention of 92.6 % after 150 cycles). More importantly, LiFePO4/Li cells with the healed PBAD-PEG also show excellent cycle performance.</t>
  </si>
  <si>
    <t>邓, 魁荣/LIA-8485-2024</t>
  </si>
  <si>
    <t>Deng, Kuirong/0000-0003-4282-4510</t>
  </si>
  <si>
    <t>10.1016/j.est.2023.109712</t>
  </si>
  <si>
    <t>WOS:001118528900001</t>
  </si>
  <si>
    <t>Yu, YF; Lei, M; Li, CL</t>
  </si>
  <si>
    <t>Yu, Yifan; Lei, Meng; Li, Chilin</t>
  </si>
  <si>
    <t>Room-temperature reversible F-ion batteries based on sulfone electrolytes with a mild anion acceptor additive</t>
  </si>
  <si>
    <t>MATERIALS HORIZONS</t>
  </si>
  <si>
    <t>Rechargeable fluoride ion batteries (FIBs) as an emerging anion shuttle system are attracting much attention due to their potential advantages in terms of energy density, cost and safety. A liquid electrolyte system enables the FIB operation at low or room temperature due to its higher ionic conductivity than that of a solid F-ion electrolyte. However, the insolubility of fluoride salts in aprotic solvents limits the development of liquid F-ion electrolytes. Although the boron-based anion acceptors (AAs) can facilitate the dissolution of F-ion salts, they are prone to lead to a tough desolvation process for F- due to strong Lewis acidity and therefore an inferior electrochemical performance. Here, a new non-boron AA (6-thioguanine) with moderate Lewis acidity is proposed to dissolve F- in the sulfone solvent. The ionic conductivity of the corresponding electrolytes reaches a level of mS cm-1 at room temperature. A model FIB coin cell is successfully operated with high conversion reaction reversibility based on the coupled defluorination/fluorination mechanism of electrodes, enabling a low overpotential of 0.36 V and a reversible capacity of 126 mA h g-1 after 40 cycles. A non-boron anion acceptor with moderate Lewis acidity is proposed to prepare a F-ion electrolyte with high conductivity at the mS cm-1 level at room temperature. A fluoride ion battery is successfully operated with high conversion reaction reversibility.</t>
  </si>
  <si>
    <t>Li, Chilin/KFB-6278-2024</t>
  </si>
  <si>
    <t>2051-6347</t>
  </si>
  <si>
    <t>2051-6355</t>
  </si>
  <si>
    <t>JAN 22</t>
  </si>
  <si>
    <t>10.1039/d3mh01039b</t>
  </si>
  <si>
    <t>WOS:001101867300001</t>
  </si>
  <si>
    <t>Liang, YZ; Song, N; Zhang, MZ; An, XG; Song, KP; Chen, WH; Feng, JK; Xiong, SL; Xi, BJ</t>
  </si>
  <si>
    <t>Liang, Yazhan; Song, Ning; Zhang, Mingzhe; An, Xuguang; Song, Kepeng; Chen, Weihua; Feng, Jinkui; Xiong, Shenglin; Xi, Baojuan</t>
  </si>
  <si>
    <t>Robust Interfacial Chemistry Induced by B-Doping Enables Rapid, Stable Sodium Storage</t>
  </si>
  <si>
    <t>Constructing a stable solid electrolyte interphase (SEI) at the electrode-electrolyte interface is powerful for optimizing the battery performance. However, studies related to interface chemistry have particularly focused on engineering electrolytes and overlooked regulating electrode materials. Here, this study reports that the B-doped Bi interconnected nanoparticles (BBi) are prepared by a facile and effective chemical reduction reaction. The B doping helps to catalyze the electrolyte decomposition and more NaF formation on the electrode surface, which facilitates a stable uniform SEI with enhanced mechanical stability. Such a robust SEI layer can inhibit the further decomposition of electrolytes and promote the interfacial Na+ transfer. The BBi offers a reversible capacity of 403.1 mAh g-1 at 1.0 A g-1 and a high rate capability of 203 mAh g-1 at 80 A g-1. Moreover, the B-doping method also finds its viability to stabilize SEI in Sb material. This study demonstrates a new strategy for engineering the interface chemistry toward stable SEI and excellent performance. B-doped Bi interconnected nanoparticles (BBi) are prepared by an efficient chemical reduction reaction. The B doping not only changes the charge distribution of Bi to enhance the Na+ diffusion kinetics but also modulates the interfacial chemistry and promotes the decomposition of the electrolyte to form a stable NaF-rich solid electrolyte interphase. Therefore, the hybrid electrode indicates excellent sodium storage performance.image</t>
  </si>
  <si>
    <t>Xiong, Shenglin/K-2127-2012; xi, baojuan/H-6287-2016; CHEN, Weihua/AAP-4278-2021; Feng, Jinkui/HDL-8725-2022; Zhang, Mingzhe/ABA-5340-2020</t>
  </si>
  <si>
    <t>10.1002/aenm.202302825</t>
  </si>
  <si>
    <t>WOS:001097468200001</t>
  </si>
  <si>
    <t>Neveu, A; Raj, H; Pelé, V; Jordy, C; Pralong, V</t>
  </si>
  <si>
    <t>Neveu, Audric; Raj, Hari; Pele, Vincent; Jordy, Christian; Pralong, Valerie</t>
  </si>
  <si>
    <t>Effect of the boron element in a Li-P-S system</t>
  </si>
  <si>
    <t>Lithium-ion batteries are nowadays a mature technology for energy storage. However, some safety problems have been identified during their operation in high power applications such as fire incidents in electric vehicles. The most promising solution to improve the safety of lithium-ion batteries is replacing the current organic liquid based electrolytes with solid electrolytes. In this context, new solid electrolytes having chemical and electrochemical stability with high ionic conductivity need to be discovered. Therefore, in the present study, a new LGPS-type structural domain is highlighted for the Li-B-P-S system. Ionic conductivities of up to 10-4 S cm-1 have been achieved for prepared solid electrolytes in the Li-B-P-S system, and higher stability against lithium metal as compared to Li10GeP2S12. These solid electrolytes also show better electrochemical characteristics in all solid-state batteries. Lithium-ion batteries are nowadays a mature technology for energy storage.</t>
  </si>
  <si>
    <t>Audric, Neveu/AAO-8681-2021</t>
  </si>
  <si>
    <t>Pralong, Valerie/0000-0003-4644-8006</t>
  </si>
  <si>
    <t>10.1039/d3dt02883f</t>
  </si>
  <si>
    <t>WOS:001108100700001</t>
  </si>
  <si>
    <t>Xu, X; Li, XL; Rahman, MM; Bao, J; Luo, RJ; Ma, C; Du, CY; Zeng, J; Mei, Z; Qian, Z; Hu, EY; Zhou, YN</t>
  </si>
  <si>
    <t>Xu, Xuan; Li, Xun-Lu; Rahman, Muhammad Mominur; Bao, Jian; Luo, Rui-Jie; Ma, Cui; Du, Chong-Yu; Zeng, Jie; Mei, Zhe; Qian, Zhe; Hu, Enyuan; Zhou, Yong-Ning</t>
  </si>
  <si>
    <t>Promoting reversibility of layered potassium cathode through interstitial doping</t>
  </si>
  <si>
    <t>With the increasing needs for large-scale and low-cost energy storage devices, Mn-based layered oxide cathodes have achieved considerable researching interests for potassium-ion batteries owing to their high energy density, abundant resource and low toxicity. However, their developments are challenged by the absence of suitable cathode materials to tolerate large-sized K-ion insertion/extraction and the presence of Jahn-Teller distortion of Mn3+. To address this issue, we present a strategy of embedding boron into interstitial tetrahedral sites to obtain a P3-K0.5Mn0.8Co0.2B0.1O2 cathode. Strong B-O covalent bonds facilitate the construction of robust orthorhombic framework and alleviate the undesired elongation of Mn-O bonds, contributing to excellent electrochemical performance. In addition, boron ions are verified to promote the formation of a homogeneous cathode electrolyte interphase layer, improving interfacial stability and realizing highly reversible cycling in a wide voltage range (1.4-4.3 V). This strategy provides a new pathway towards the development of high-performance cathode ma-terials for potassium-ion batteries.</t>
  </si>
  <si>
    <t>Zeng, Jie/AGS-5457-2022; Hu, Enyuan/D-7492-2016; Rahman, Muhammad Mominur/ABC-1614-2021; Li, Xun-Lu/HTN-1375-2023; Li, Xunlu/HTN-1375-2023</t>
  </si>
  <si>
    <t>Li, Xun-Lu/0000-0002-7800-3565;</t>
  </si>
  <si>
    <t>10.1016/j.cej.2023.147021</t>
  </si>
  <si>
    <t>WOS:001106234400001</t>
  </si>
  <si>
    <t>Wan, L; Du, XY; Guo, L; Tan, XL; Tong, YF; Zhou, D; Liu, CL; Qin, YC; Zeng, GS</t>
  </si>
  <si>
    <t>Wan, Long; Du, Xiaoyu; Guo, Lin; Tan, Xueling; Tong, Yongfen; Zhou, Dan; Liu, Chunli; Qin, Yuancheng; Zeng, Guisheng</t>
  </si>
  <si>
    <t>Self-healing polymer electrolytes with nitrogen-boron coordinated boroxine for all-solid-state lithium metal batteries</t>
  </si>
  <si>
    <t>Polymer networks with dynamic covalent cross-linked boroxine have received a great deal of attention as recyclable and self-healing materials, but their application was rarely mentioned in all-solid-state polymer electrolytes. In this work, the boroxine-based self-healing solid polymer electrolytes (ONBSPE-x) with nitrogen-boron (N-B) coordination were prepared by the amidation reaction between different molecular weight NH2-PEG-NH2 and ortho-triphenylboroxine with the plasticization of lithium salt. To highlight the effect of N-B coordination on the self-healing ability of the polymer electrolytes, PNBSPE-2000 with paratriphenylboroxine structure was prepared for comparison. It was proved that the ortho-triphenylboroxine is conducive to the formation of N-B coordination and the N-B coordination can accelerate the equilibrium of boroxine, further speeding the self-healing ability of ONBSPE-x without external stimulation at room temperature. More importantly, given the strong electron-withdrawing effect of boroxines groups, the ONBSPE-2000 membranes show an ionic conductivity value up to 0.168 mS cm-1 and comparatively high lithium-ion transference number (0.60) at 25 degrees C, which will minimize concentration polarization between electrolytes and lithium metal anode, then inhibiting lithium dendrite generation. The N-B coordination and the interaction between boroxine groups and anions in ONBSPE-2000 were further studied with density functional theory (DFT). The Li|ONBSPE-2000| LiFePO4 coin cell performs excellent cycling stability with an initial discharge capacity of 130.9 mAh g-1 at 0.1C and coulombic efficiency of 94.8 %. Thus, the self-healing solid polymer electrolytes with nitrogen-boron coordinated boroxine provide a prospective application for high-performance lithium metal batteries.</t>
  </si>
  <si>
    <t>Zhou, Dan/AAG-4315-2020; Wang, Yanbo/E-8046-2010; Du, Xiaoyu/AAU-5942-2021; Cao, Yi/AAI-4029-2020</t>
  </si>
  <si>
    <t>DEC 25</t>
  </si>
  <si>
    <t>10.1016/j.est.2023.109485</t>
  </si>
  <si>
    <t>OCT 2023</t>
  </si>
  <si>
    <t>WOS:001108564800001</t>
  </si>
  <si>
    <t>Liu, ZL; Cui, FC; Zhu, GS</t>
  </si>
  <si>
    <t>Liu, Zhaoli; Cui, Fengchao; Zhu, Guangshan</t>
  </si>
  <si>
    <t>Tailoring Electrochemical Redox Properties of Trioxotriangulene Organic Cathodes by a Heteroatom-Doped Strategy</t>
  </si>
  <si>
    <t>Emerging organic electrodes have been regarded as one of the most prospective alternatives to the inorganic ones due to their advantages of environmentally friendliness, higher theoretical capacity, and fast redox kinetics. However, their lower redox potentials compared with those of inorganic materials plague their performance for practical lithium-ion batteries (LIBs) systems. Herein, to address this a problem, we designed a series of boron- and pyridine-type nitrogen-doped cathode materials based on two trioxotriangulene (TOT) radical derivatives with relatively high redox potentials: a tri-tert-butylated TOT derivative [(t-Bu)(3)TOT] and a tribrominated derivative (Br3TOT). Their electrochemical redox properties and theoretical performance parameters are explored by using density functional theory calculations. These comprehensive calculations reveal that two-boron- or nitrogen-doped strategies are helpful for improving the adiabatic redox potentials compared with the pristine (t-Bu)(3)TOT and Br3TOT in the fully charged states. Among the stably doped TOT derivatives in thermodynamics, Br3TOT-2B5 exhibits the highest specific capacity of 582 mAh g(-1) and specific energy density of 792 mWh g(-1). During the discharging process, the adiabatic redox potentials of the doped derivatives gradually decrease with increasing number of bound lithium atoms, which weakens their reductive ability. Further, the adiabatic redox potentials of these doped derivatives are strongly correlated with the lowest unoccupied molecular orbital and electron affinity in the fully charged states and the positive-potential range during the discharging process. The sudden increase in the electron affinity and solvation energy synergistically results in the loss of cathodic activity at the end of the discharging process. The charging energy plays a crucial role in the adiabatic redox potentials during the discharging process, while the reorganization energy only has a negligible influence. In addition, these derivatives exhibit poor solubility in the electrolyte solvent. We believe that the present results can provide a comprehensive rationale for systematically designing promising TOT-based cathode materials for LIBs.</t>
  </si>
  <si>
    <t>Liu, ZHAOLI/HPF-4779-2023</t>
  </si>
  <si>
    <t>OCT 27</t>
  </si>
  <si>
    <t>10.1021/acsaem.3c01925</t>
  </si>
  <si>
    <t>WOS:001096751500001</t>
  </si>
  <si>
    <t>Zhang, LT; Lee, KB; Lee, YW; Kim, MC; Sohn, JI</t>
  </si>
  <si>
    <t>Zhang, Liting; Lee, Keon Beom; Lee, Young-Woo; Kim, Min-Cheol; Sohn, Jung Inn</t>
  </si>
  <si>
    <t>Hexagonal BN-Mediated Highly Improved Li Transfer Kinetics for High-Performance All-Solid-State Lithium Metal Batteries</t>
  </si>
  <si>
    <t>All-solid-state lithium metal batteries based on solid polymer electrolytes (SPEs) have long aroused the curiosity of scientists and engineers worldwide due to their superior electrochemical stability, security, and easy manufacturing into any required flexible film forms. However, developing and improving efficient SPEs with high Li-ion transference number and excellent mechanical strength still remains a challenging issue to enhance the high rate performance and stability by suppressing Li dendrite growth. In this study, on the basis of the Lewis acid-base theory, a homodispersed and self-standing SPE is designed and developed by introducing nanostructured hexagonal boron nitride as an efficient polymer matrix support using a facile straightforward loading approach on hydrophilic SiO2. The optimized SPE sample exhibits a high ionic conductivity of 0.916 mS cm(-1) at 25 degrees C, an improved Li-ion transference number of 0.641, and a good electrochemical stability (&gt;5 V versus Li/Li+), as well as superior thermal stability and an improved mechanical modulus (16.8 MPa). Moreover, the Li|BN-50|Li symmetric cell exhibits highly reversible Li plating/stripping behavior characteristics over 700 h with a low overpotential of 20 mV at 0.1 mA cm(-2), indicating excellent Li dendrite inhibition ability. Furthermore, it is also demonstrated that the Li|BN-50|Ni0.8Co0.15Al0.05O2 cell delivers a high discharge capacity of 155.7 mA h g(-1) at 0.2 C and retains 82.2% of its initial specific capacity after 300 cycles.</t>
  </si>
  <si>
    <t>10.1021/acsaem.3c01784</t>
  </si>
  <si>
    <t>WOS:001096757300001</t>
  </si>
  <si>
    <t>Ji, JW; Zhou, Z; Liu, CZ; Yan, S; Yang, SB; Zhang, RJ; Xue, YM; Tang, CC</t>
  </si>
  <si>
    <t>Ji, Jiawei; Zhou, Zheng; Liu, Chaoze; Yan, Song; Yang, Shaobo; Zhang, Rongjuan; Xue, Yanming; Tang, Chengchun</t>
  </si>
  <si>
    <t>Covalent Bond Hybrid Nanostructure of N-doped rGO and Ultrathin SnS2 with High Porosity for Lithium-Ion Batteries</t>
  </si>
  <si>
    <t>The two-dimensionally layered material tin disulfide (SnS2) has a large layer spacing (0.59 nm) that accelerates the diffusion of Li+ and electrons. However, the poor conductivity and huge volume expansion limit its further use. Herein, a covalently tightly assembled SnS2@NRGO hybrid nanostructure with high porosity was successfully synthesized by sacrificing PMMA template support strategies. The high porosity and pore volume of SnS2@NRGO not only increases the permeability of active material and electrolyte and improves the utilization of active material, but also provides buffer space for the huge volume expansion of ultrathin SnS2 during the charging and discharging process. In addition, the strong synergistic effect of the covalent bonding and stable hybridization nanostructure provides an efficient Li+ transport path through the 3D tightly connected NRGO network. N doping introduces a large number of defects and adds more active sites for lithium intercalation. The SnS2@NRGO-3 used as the anodes for LIBs deliver excellent rate performance (540.1 mAh g(-1) at a rate of 30 A g(-1)) and outstanding cycle stability (1031.9 mAh g(-1) after 500 cycles at 5 A g(-1); the capacity degradation rate of 0.048% per cycle), which attributed to stable hybrid nanostructure and high pore volume. Therefore, the SnS2@NRGO created by us would be a very promising candidate for the future advanced high-rate long-life Li+ storage anode.</t>
  </si>
  <si>
    <t>Zhang, Rongjuan/GZA-3436-2022; Xue, Yanming/G-5603-2018</t>
  </si>
  <si>
    <t>OCT 26</t>
  </si>
  <si>
    <t>10.1021/acsanm.3c03935</t>
  </si>
  <si>
    <t>WOS:001092824900001</t>
  </si>
  <si>
    <t>Yang, CL; Liu, HH; Wang, MX; Yan, H; Wang, J; Hu, RD; Wang, ZP; Zhou, BH</t>
  </si>
  <si>
    <t>Yang, Chaolong; Liu, Huanhuan; Wang, Mingxi; Yan, Huan; Wang, Jing; Hu, Ruidong; Wang, Zhipeng; Zhou, Binghua</t>
  </si>
  <si>
    <t>Self-healing and robust polymer-based protective interlayer containing boronic esters for stabilizing lithium metal anode</t>
  </si>
  <si>
    <t>Lithium (Li) metal batteries have attracted wide research interests due to the ultrahigh theoretical capacity of Li anode. However, lithium metal anodes suffer from the inhomogeneous Li deposition, resulting in capacity fade and unacceptable safety hazards. More importantly, the huge volume change of the mechanically fragile solid electrolyte interphase (SEI) further induces the dendrite growth during repeated Li plating. Therefore, it is critical to protect Li metal anodes and inhibit the growth of Li dendrites for stabilizing the Li plating process. Herein, we fabricated a novel polymer-based protective interlayer (LBP) with a stable cross-linked network containing abundant boron moieties via the thiol-ene click reaction. The polymer-based protective interlayer obtains self-healing properties through the boronic ester transesterification and enhances the safety of lithium batteries. Besides, the dense layer with a cross-linked network effectively retards the air corrosion when the Li metal was exposed to the air environment. Furthermore, the vacant p orbital in the boron atoms of boronic ester can trap anions of Li salt and regulate a homogeneous Li deposition, enhancing the interface stability of Li metal. Consequently, the Li|Li symmetric cell with LBP protective interlayer shows stable stripping/plating voltage over 3500 h at 1.0 mA cm-2. The LBP-Li|LFP cell maintains a high capacity of 142.2 mAh/g after 300 cycles, demonstrating the cell with LBP-Li exhibits excellent cycling stability. The design of this advanced protective interlayer with multiple capabilities is potential to shed a light for high-performance lithium metal batteries.</t>
  </si>
  <si>
    <t>; Wang, Ming-Xi/JPN-3875-2023; Wang, Zhipeng/AAX-5431-2020; Yang, Chaolong/Q-7848-2016</t>
  </si>
  <si>
    <t>Zhou, Binghua/0000-0002-2482-769X; Hu, RuiDong/0009-0008-5537-7194;</t>
  </si>
  <si>
    <t>10.1016/j.cej.2023.146580</t>
  </si>
  <si>
    <t>WOS:001096509600001</t>
  </si>
  <si>
    <t>Liu, J; Li, Y; Zhang, K; Li, CQ; Zhou, ZF; Liu, XG; Mao, CM; Guo, XS; Liu, J; Zhang, ZH; Li, GC</t>
  </si>
  <si>
    <t>Liu, Jing; Li, Yong; Zhang, Kun; Li, Chunqiu; Zhou, Zhenfang; Liu, Xuguang; Mao, Changming; Guo, Xiaosong; Liu, Jing; Zhang, Zhonghua; Li, Guicun</t>
  </si>
  <si>
    <t>Robust bond linkage between boron-based coating layer and lithium polyacrylic acid binder enables ultra-stable micro-sized germanium anodes</t>
  </si>
  <si>
    <t>Micro-sized alloy type germanium (Ge) anodes possess appealing properties for next-generation lithium ions batteries, such as desirable capacity, easy accessibility and greater tap density. Nevertheless, volume expansion accompanied by severe pulverization and continuous growth of solid electrolyte interlayer (SEI) still represent fundamental obstacles to their practical applications. Herein, we propose a fresh strategy of constructing robust bond linkage between boron-based coating layer and lithiated polyacrylic acid (PAALi) binder to circumvent the pulverization problems of Ge anodes. Facile pyrolysis of boric acid can introduce an amorphous boron oxide interphase on Ge microparticles (noted as Ge@B2O3). Then in situ crosslinking reaction between B2O3 and PAALi via B-O-C bond linkage constructs a robust Ge anode (Ge@B-PAALi), which is proved by FTIR and Raman characterizations. Post morphological and compositional investigations reveal the minimized pulverization and a thinner SEI composition. The robust bond linkage strategy endows Ge anode with ultra-stable cycling properties of 1053.8 mAh/g after 500 cycles at 1 A/g vs. 500.7 mAh/g for Ge@PAALi and 372.7 mAh/g for Ge@B2O3, respectively. The proposed bond linkage strategy via artificial coating layer and functional binders unlocks huge potential of alloys and other anodes for next-generation battery applications.</t>
  </si>
  <si>
    <t>; Liu, Jing/AAB-9131-2019; Zhang, Zhonghua/HDO-2400-2022; Liu, Jing/IXW-9859-2023</t>
  </si>
  <si>
    <t>Liu, Jing/0009-0003-5044-2851; Liu, Jing/0000-0003-4308-4841; Zhang, Zhonghua/0000-0002-0073-9548;</t>
  </si>
  <si>
    <t>10.1016/j.jcis.2023.10.031</t>
  </si>
  <si>
    <t>WOS:001097284300001</t>
  </si>
  <si>
    <t>Zhang, YQ; Jiang, JM; Zhang, L; Tang, C; Tong, ZK; Wang, XM; Chen, ZY; Li, MR; Zhuang, QC</t>
  </si>
  <si>
    <t>Zhang, Yuqing; Jiang, Jiangmin; Zhang, Lei; Tang, Cai; Tong, Zhenkun; Wang, Xiaomin; Chen, Ziyu; Li, Murong; Zhuang, Quanchao</t>
  </si>
  <si>
    <t>BF3-based Electrolyte Additives Promote Electrochemical Reactions to Boost the Energy Density of Li/CFx Primary Batteries</t>
  </si>
  <si>
    <t>Lithium/fluorinated carbon (Li/CFx) batteries have attracted wide attention due to their high theoretical energy density. However, the reaction product of LiF is an insulator in their discharge process, which seriously hinders the Li+ migration, leading to the inferior capacity of CFx (x approximate to 1) cathodes. Herein, a low-cost and facile electrolyte additive containing the BF3 functional group has been proposed to effectively alleviate the voltage lag phenomenon and improve the energy density of Li/CFx batteries. In particular, the discharge voltage platform and energy density of CFx are significantly increased to 2.62 V (vs 2.51 V in the electrolyte without additives) and 2018 Wh Kg- 1 (vs 1863 Wh Kg-1 in the electrolyte without additives) when the electrolyte contains 1 wt % pyrazine di-boron trifluoride (PRZ), respectively. This significant improvement can be attributed to the BF3based additives effectively dissolving the insulation discharge product LiF, thereby increasing the Li+ migration rate and allowing more CFx to participate in the reaction and release capacity. This work provides a low-cost additive method to maintain high energy density for Li/CFx batteries, which has great potential for practical applications.</t>
  </si>
  <si>
    <t>10.1016/j.electacta.2023.143311</t>
  </si>
  <si>
    <t>WOS:001096492900001</t>
  </si>
  <si>
    <t>Xie, KJ; Liu, X; Li, HL; Fang, L; Xia, K; Yang, DJ; Zou, YH; Zhang, XD</t>
  </si>
  <si>
    <t>Xie, Kaijun; Liu, Xin; Li, Haolin; Fang, Long; Xia, Kai; Yang, Dongjiang; Zou, Yihui; Zhang, Xiaodong</t>
  </si>
  <si>
    <t>Heteroatom tuning in agarose derived carbon aerogel for enhanced potassium ion multiple energy storage</t>
  </si>
  <si>
    <t>The incorporation of heteroatoms into carbon aerogels (CAs) can lead to structural distortions and changes in active sites due to their smaller size and electronegativity compared to pure carbon. However, the evolution of the electronic structure from single-atom doping to heteroatom codoping in CAs has not yet been thoroughly investigated, and the impact of codoping on potassium ion (K+) storage and diffusion pathways as electrode material remains unclear. In this study, experimental and theoretical simulations were conducted to demonstrate that heteroatom codoping, composed of multiple heteroatoms (O/N/B) with different properties, has the potential to improve the electrical properties and stability of CAs compared to single-atom doping. Electronic states near the Fermi level have revealed that doping with O/N/B generates a greater number of active centers on adjacent carbon atoms than doping with O and O/N atoms. As a result of synergy with enhanced wetting ability (contact angle of 9.26 degrees) derived from amino groups and hierarchical porous structure, ON-CA has the most optimized adsorption capacity (-1.62 eV) and diffusion barrier (0.12 eV) of K+. The optimal pathway of K+ in ON-CA is along the carbon ring with N or O doping. As K+ storage material for supercapacitors and ion batteries, it shows an outstanding specific capacity and capacitance, electrochemical stability, and rate performance. Especially, the assembled symmetrical K+ supercapacitor demonstrates an energy density of 51.8 Wh kg-1, an ultrahigh power density of 443 W kg-1, and outstanding cycling stability (maintaining 83.3% after 10,000 cycles in 1 M KPF6 organic electrolyte). This research provides valuable insights into the design of high-performance potassium ion storage materials. O/N/B functionalized carbon aerogel (CA) derived from agarose was synthesized. Electronic states near the Fermi level have revealed that O/N/B codoping generates more active centers on adjacent carbon atoms than doping with O and O/N atoms. Synergy with enhanced wetting ability (contact angle of 9.26 degrees) derived from amino groups and hierarchical porous structure, ON-CA has the most optimized adsorption capacity (-1.62 eV), diffusion barrier (0.12 eV) of potassium ion, and outstanding K+ storage performance for supercapacitor and ion battery.image</t>
  </si>
  <si>
    <t>yang, dongjiang/AAF-9537-2019; Xia, Kai/B-7214-2014</t>
  </si>
  <si>
    <t>Zou, Yihui/0000-0003-1190-0752</t>
  </si>
  <si>
    <t>10.1002/cey2.427</t>
  </si>
  <si>
    <t>WOS:001075020100001</t>
  </si>
  <si>
    <t>Naren, T; Jiang, RH; Qing, P; Huang, SZ; Ling, CH; Lin, JL; Wei, WF; Ji, XB; Chen, YJ; Zhang, QC; Kuang, GC; Chen, LB</t>
  </si>
  <si>
    <t>Naren, Tuoya; Jiang, Ruheng; Qing, Piao; Huang, Shaozhen; Ling, Canhui; Lin, Jialin; Wei, Weifeng; Ji, Xiaobo; Chen, Yuejiao; Zhang, Qichun; Kuang, Gui-Chao; Chen, Libao</t>
  </si>
  <si>
    <t>Stabilizing Lithium Metal Batteries by Synergistic Effect of High Ionic Transfer Separator and Lithium-Boron Composite Material Anode</t>
  </si>
  <si>
    <t>The development of lithium (Li) metal batteries (LMBs) has been limited by problems, such as severe dendrite growth, drastic interfacial reactions, and large volume change. Herein, an LMB (8AP@LiB) combining agraphene oxide-poly(ethylene oxide) (PEO) functionalized polypropylene separator (8AP) with a lithium-boron (LiB) anode is designed to overcome these problems. Raman results demonstrate that the PEO chain on 8AP can influence the Li+ solvation structure in the electrolyte, resulting in Li+ homogeneous diffusion and Li+ deposition barrier reduction. 8AP exhibits good ionic conductivity (4.9 x 10(-4) S cm(-1)), a high Li+ migration number (0.88), and a significant electrolyte uptake (293%). The 3D LiB skeleton can significantly reduce the anode volume changes and local current density during the charging/discharging process. Therefore, 8AP@LiB effectively regulates the Li+ flux and promotes the uniform Li deposition without dendrites. The Li||Li symmetrical cells of 8AP@LiB exhibit a high electrochemical stability of up to 1000 h at 1 mA cm(-2) and 5 mAh cm(-2). Importantly, the Li||LiFePO4 full cells of 8AP@LiB achieve an impressive 2000 cycles at 2C, while maintaining a high-capacity retention of 86%. The synergistic effect of the functionalized separator and LiB anode might provide a direction for the development of high-performance LMBs.</t>
  </si>
  <si>
    <t>; Yuejiao, Chen/JOZ-5273-2023; Ji, Xiaobo/AFO-0372-2022; Kuang, Guichao/A-3644-2012; zhang, qichun/A-2253-2011; Wei, Weifeng/B-4613-2011; Shaozhen, Huang/IVU-7630-2023; Zhang, qichun/A-2253-2011</t>
  </si>
  <si>
    <t>Chen, Yuejiao/0000-0001-9554-8068; Huang, Shaozhen/0000-0001-5598-4316; zhang, qichun/0000-0003-1854-8659; Wei, Weifeng/0000-0002-3088-6549; Naren, Tuoya/0009-0000-2963-4910; Jiang, Ruheng/0009-0001-5678-9069</t>
  </si>
  <si>
    <t>OCT 3</t>
  </si>
  <si>
    <t>10.1021/acsnano.3c06336</t>
  </si>
  <si>
    <t>WOS:001077690700001</t>
  </si>
  <si>
    <t>Xiong, WX; Liu, YY; Zhu, GB; Wang, Y; Zheng, HH</t>
  </si>
  <si>
    <t>Xiong, Weixing; Liu, Yuyang; Zhu, Guobin; Wang, Yan; Zheng, Honghe</t>
  </si>
  <si>
    <t>Multifunctional composite interfacial layer based on aluminum and boron for single crystal LiNi0.8Co0.1Mn0.1O2 with enhanced electrochemical performance at high voltage and temperature</t>
  </si>
  <si>
    <t>Nickel-rich cathodes are unable to meet the requirements of widespread commercialization due to rapid capacity decay and poor thermal stability. This work greatly improves the capacity retention of the cathode with high cut-off voltage and high temperature by constructing a multifunctional composite interfacial layer of LiAlO2, LiBO2, Al2O3 and B2O3 on the surface of single crystal LiNi0.8Co0.1Mn0.1O2 (NCM811). The formation of the composite layer consumes the surface residual lithium and reduces the interfacial side reactions, contributing to further formation of a stable cathode-electrolyte interface. The fast ion conductor layer improves Li+ transport pathways and rate performance is enhanced. The oxide layer effectively resists the erosion of HF, inhibits the irreversible phase change and oxygen evolution reaction of the cathode. The thermal stability of the material is significantly improved. Ultimately, modified cathode exhibits excellent capacity retention of 78.4 % and 70.4 % after 100 cycles at high cutoff voltage (4.5 V) and high temperature (55 degrees C) at a rate of 0.5C, respectively.</t>
  </si>
  <si>
    <t>DEC 15</t>
  </si>
  <si>
    <t>C</t>
  </si>
  <si>
    <t>10.1016/j.est.2023.109086</t>
  </si>
  <si>
    <t>SEP 2023</t>
  </si>
  <si>
    <t>WOS:001097675400001</t>
  </si>
  <si>
    <t>Jia, XX; Bai, LN; Zhang, MY; Niu, L</t>
  </si>
  <si>
    <t>Jia, Xixi; Bai, Lina; Zhang, Mingyi; Niu, Li</t>
  </si>
  <si>
    <t>Transition Metal-Doped Boron Phosphide Monolayer in Lithium-Sulfur Batteries with Anchoring Ability and Catalytic Performance: A First-Principles Study</t>
  </si>
  <si>
    <t>The practical application of lithium-sulfur (Li-S) batteries is still hindered by some challenges, including sluggish transformation kinetics, the notorious shuttle effect, and the low utilization ratio of sulfur. Two-dimensional (2D) polar materials binding single atoms for catalysis are a promising approach to overcoming these obstacles. Herein, transition metal atom (Sc, Ti, and V)-doped hexagonal boron phosphide monolayers (TM-BP) are explored to reveal their potential as an anchoring and catalytic material using first-principles calculations. S-8/Li2Sn molecules can be anchored on TM-BP monolayers, and the solvent environment has only little effect on the anchoring strength. Importantly, the Sc-BP monolayer exhibits suitable catalytic activity through inhibiting the conversion of soluble Li2S8 to Li2S6, which can effectively suppress the accumulation of soluble lithium polysulfides in the electrolyte. The Ti/V-BP monolayer can improve the rate performance due to the fast reaction kinetics. Moreover, the decomposition of Li2S on monolayers shows low energy barrier, indicating that TM-BP can increase the utilization of sulfur and cycling performance of the Li-S battery. According to our results, TM-BP monolayers have the ability of addressing the obstacle in Li-S batteries due to their suitable anchoring performance and catalytic properties. They are a promising modification material for Li-S batteries.</t>
  </si>
  <si>
    <t>; Zhang, Mingyi/M-1328-2014</t>
  </si>
  <si>
    <t>Zhang, Mingyi/0000-0002-4970-2973;</t>
  </si>
  <si>
    <t>SEP 28</t>
  </si>
  <si>
    <t>10.1021/acs.jpcc.3c03997</t>
  </si>
  <si>
    <t>WOS:001074990600001</t>
  </si>
  <si>
    <t>Sun, J; Kang, CSM; Huang, GY; Vallana, FMF; Kumar, A; O'Dell, LA; Galceran, M; Hutt, O; Howlett, PC; Forsyth, M; Pringle, JM</t>
  </si>
  <si>
    <t>Sun, Ju; Kang, Colin S. M.; Huang, Gongyue; Vallana, Federico Maria Ferrero; Kumar, Ajit; O'Dell, Luke A.; Galceran, Montserrat; Hutt, Oliver; Howlett, Patrick C.; Forsyth, Maria; Pringle, Jennifer M.</t>
  </si>
  <si>
    <t>Development of tris(amino)phosphonium electrolytes for high performing sodium batteries</t>
  </si>
  <si>
    <t>Sodium batteries are promising alternatives to state-of-the-art lithium batteries, owing to the cheaper resources and more sustainable materials. To realise this promise, the requirement for electrochemically and thermally stable electrolytes with low volatility and flammability to enable high-performance sodium batteries is crucial. In this work, we reported a unique family of salts through the synthesis of tris(amino)phosphonium cations [P1(DEA)3]+ and pairing with [FSI]- and [TFSI]- anions. The unique organic ionic plastic crystal (OIPC) [P1(DEA)3][FSI] displays high ionic conductivity which is several orders of magnitude greater than that of its counterpart [P1(DMA)3][FSI]. Electrolytes composed of 50 mol% NaFSI in [P1(DEA)3][FSI] showed a high conductivity value of 1.6 x 10-2 S cm-1 at 50 degrees C. The electrolyte supports stable Na plating/stripping with a small overpotential of 70 mV at 0.5 mA cm-2 with 2 h polarization. This electrolyte exhibits a satisfactory performance in sodium metal full cells (Na metal and NaFePO4 electrodes) with a stable cycling performance of 125 mA h g-1 at C/10, a high capacity retention of similar to 80% after 112 cycles and a coulombic efficiency close to 99.5%. A unique family of salts utilising the new tris(amino)phosphonium cation [P1(DEA)3]+, paired with [FSI]- anions, supports stable Na plating/stripping with a small overpotential and non-dendritic morphology.</t>
  </si>
  <si>
    <t>O'Dell, Luke/I-2569-2013; Kumar, Ajit/AAA-2974-2021; Forsyth, Maria/ABH-8102-2020; Mestres, Montserrat/G-1146-2015; Pringle, Jennifer/D-5459-2012; Galceran Mestes, Montserrat/G-1146-2015; Hutt, Oliver/B-5064-2014</t>
  </si>
  <si>
    <t>O'Dell, Luke/0000-0002-7760-5417; HUANG, Gongyue/0000-0001-8797-2133; Kumar, Ajit/0000-0002-3311-507X; Galceran Mestes, Montserrat/0000-0002-8749-9371; Hutt, Oliver/0000-0002-0475-0605</t>
  </si>
  <si>
    <t>OCT 24</t>
  </si>
  <si>
    <t>10.1039/d3ta03741j</t>
  </si>
  <si>
    <t>WOS:001078126300001</t>
  </si>
  <si>
    <t>Ma, BY; Huang, S; Wang, SJ; Xiao, M; Han, DM; Meng, YZ</t>
  </si>
  <si>
    <t>Ma, Bingyi; Huang, Sheng; Wang, Shuanjin; Xiao, Min; Han, Dongmei; Meng, Yuezhong</t>
  </si>
  <si>
    <t>Composite Polymer Electrolytes with Multi-Dimensional Non-Lithium Inorganic Hybird Components for Lithium Batteries</t>
  </si>
  <si>
    <t>PROGRESS IN CHEMISTRY</t>
  </si>
  <si>
    <t>The traditional electrolyte is flammable, easy to leak, and toxic, which affects the safety performance of batteries working for a long time. In view of the above problems, recently researchers have focused on the development of (quasi) solid electrolyte. Solid composite electrolyte composed of inorganic fillers and polymer has the advantages of high ionic conductivity and mechanical stability of inorganic electrolyte, flexibility and low interface impedance of polymer electrolyte, which has attracted extensive attention of researchers. Inorganic components mainly include active Li+-containing fillers and inert Li+-free fillers. The inert Li+-free fillers possess the benefits of low cost and easy preparation process, so they have greater potential for large-scale industrial applications. In this paper, the performance requirements of composite polymer electrolytes are reviewed. Starting from non-lithium inorganic hybrid components, we summarize the research on improving the performance of composite polymer electrolyte with inert Li+-free fillers, including zero-dimensional nanoparticles, one-dimensional nanotubes (nanowires, nanorods), two-dimensional boron nitride nanosheets, and three-dimensional structure of fillers. Different dimensions of analysis and thinking aim to shed light on the design and application of inert fillers-polymer electrolytes, and we also look forward to the broad prospects of non-lithium inorganic components in the industrial application of composite electrolyte.</t>
  </si>
  <si>
    <t>Zhang, Jiahui/ISU-9234-2023; Xiao, Min/D-5218-2015; han, dongmei/D-5222-2015</t>
  </si>
  <si>
    <t>1005-281X</t>
  </si>
  <si>
    <t>SEP 24</t>
  </si>
  <si>
    <t>10.7536/PC221007</t>
  </si>
  <si>
    <t>WOS:001108855200001</t>
  </si>
  <si>
    <t>Warrington, A; Hasanpoor, M; Balkis, A; Howlett, PC; Hutt, OE; Forsyth, M; Pringle, JM</t>
  </si>
  <si>
    <t>Warrington, Anna; Hasanpoor, Meisam; Balkis, Ali; Howlett, Patrick C.; Hutt, Oliver E.; Forsyth, Maria; Pringle, Jennifer M.</t>
  </si>
  <si>
    <t>Investigation of properties and performance of three novel highly concentrated ether-functionalised ionic liquid electrolytes for lithium metal batteries</t>
  </si>
  <si>
    <t>Exploring highly concentrated (&gt;50 mol% Li-salt) ionic liquids as electrolytes for lithium metal batteries can lead to the development of safer, high-performance batteries with increased energy density and improved cycling stability. However, at high concentrations of Li-salt, ionic liquid electrolytes can have high viscosity and slow ion transport kinetics. Here, we investigate the use of novel ether-functionalised cations as a promising approach for increasing fluidity and weakening Li+-anion interactions in highly concentrated ionic liquid electrolytes to facilitate faster transport of Li+. Three small ether-functionalised cations, namely 1-methoxymethyl-1,1,1-trimethylammonium ([N-111,N-1O1](+)), N-methoxymethyl-N-methylpiperidinium ([C(1O1)mpip](+)) and N-methoxymethyl-N-methylmorpholinium ([C(1O1)mmor](+)) are compared when paired with bis(fluorosulfonyl)imide ([FSI]-) anion at a 1:1 mol ratio with LiFSI. The study provides insights into the relationship between the structure of the ether-functionalised cations and the properties of the resulting electrolytes, including thermal behaviour, ionic conductivity, viscosity, ion diffusivity, Li plating/stripping behaviour and Li+-transference number. The performance of the electrolytes was tested in Li|LiFePO4 (LFP) cells (1.14 mAh cm(-2)) at 0.57 mA cm(-2) (C/2) for 100 cycles at 50 C. (LiFSI)(0.5)([C1O1mpip][FSI])(0.5) and (LiFSI)(0.5)([N-111,N-1O1][FSI])(0.5), have high Litransference numbers of 0.47 +/- 0.02 and 0.37 +/- 0.02, respectively, and both display 0.85 mAh cm(-2) areal discharge capacity after 100 cycles, with capacity retention over 98.5% (in comparison to the first cycle after preconditioning cycles), demonstrating the feasibility of these electrolytes in Li-metal cells.</t>
  </si>
  <si>
    <t>Pringle, Jennifer/D-5459-2012; Forsyth, Maria/ABH-8102-2020; Hutt, Oliver/B-5064-2014</t>
  </si>
  <si>
    <t>Pringle, Jennifer/0000-0002-2729-2838; Hutt, Oliver/0000-0002-0475-0605</t>
  </si>
  <si>
    <t>10.1016/j.ensm.2023.102984</t>
  </si>
  <si>
    <t>WOS:001084854000001</t>
  </si>
  <si>
    <t>Cheng, H; Cao, JB; Li, FQ; Geng, XB; Li, DG; Wei, Y; Lin, X; Xu, HH; Huang, YH</t>
  </si>
  <si>
    <t>Cheng, Hang; Cao, Junbin; Li, Faqiang; Geng, Xiaobin; Li, Dinggen; Wei, Ying; Lin, Xing; Xu, Henghui; Huang, Yuihui</t>
  </si>
  <si>
    <t>Inorganic-Rich Interphase Induced by Boric Oxide Solid Acid toward Long Cyclic Solid-State Lithium-Metal Batteries</t>
  </si>
  <si>
    <t>Solid-state electrolytes paired with lithium-metal anodes is considered a next-generation energy storage technology. However, the slow ionic transportation of the solid-state electrolyte and the instability against the lithium-metal anode impede their practical application. Here a cellulose separator modified with highly uniform boric oxide solid acid, contributing to a high transference number (0.75) and good ionic conductivity of 0.52 mS cm-1 due to the strengthened binding of the salt anions with this solid acid, is reported. Moreover, the boron ions with occupied interstitial sites can release free electrons to regulate the electrochemical dynamics of the electrolyte, in situ inducing the formation of Li2CO3/LiF-rich heterostructured solid electrolyte interphase layer. The cellulose/B2O3-based composite electrolyte paired with LiNi0.6Co0.2Mn0.2O2 (NCM622) cathode and Li-metal anode displays a specific capacity of 155 mAh g-1 with a capacity retention of 92% in 200 cycles. Additionally, this electrolyte paired with high-mass-loading NCM622 cathode (10 mg cm-2) in a pouch cell can be stably operated for 50 cycles with a capacity retention of over 90%. Boron ions with occupied interstitial sites can release free electrons, which enhance the electrochemical dynamics of electrolyte to get an in situ formation of Li2CO3/LiF-rich heterostructured solid electrolyte interphase layer. Boric oxide with high acidity is supposed to bind with anions in the electrolyte, tuning the dissociation of lithium salt to improve the lithium-ion transport.image</t>
  </si>
  <si>
    <t>xu, henghui/J-3027-2017; Li, Faqiang/H-2043-2011; Wei, Ying/JYQ-3074-2024</t>
  </si>
  <si>
    <t>10.1002/adfm.202307677</t>
  </si>
  <si>
    <t>WOS:001066412600001</t>
  </si>
  <si>
    <t>Liu, S; Yu, XD; Yan, Y; Zeng, T; Wang, XX; Tian, GL; Wang, C; Wang, SH; Zeng, Y; Shu, CZ</t>
  </si>
  <si>
    <t>Liu, Sheng; Yu, Xudong; Yan, Yu; Zeng, Ting; Wang, Xinxiang; Tian, Guilei; Wang, Chuan; Wang, Shuhan; Zeng, Ying; Shu, Chaozhu</t>
  </si>
  <si>
    <t>Dendrite-free lithium deposition enabled by interfacial regulation via dipole-dipole interaction in anode-free lithium metal batteries</t>
  </si>
  <si>
    <t>The structure and composition of solid electrolyte interphase (SEI) on lithium (Li) electrode surface dictate Li plating/stripping behavior in Li metal batteries (LMBs), which is determined by the solvation structure of Li+ ion in the electrolyte. Herein, it is found that the dipole-dipole interaction between the electron-deficient boron (B) site in 3-(trifluoromethyl) phenylboronic acid (FBA) molecule and the TFSI- anion is capable of reducing the reduction stability of the TFSI- anion, and meanwhile promoting the participation of abundant TFSI- anions in the solvation sheath of Li+ ion in the electrolyte. Moreover, as an anion receptor, the FBA molecule with strong anionic affinity effectively enhances the contribution of NO3- anions in forming the SEI. Therefore, a favorable interphase enriched with LiF and Li3N is successfully constructed on the surface of Li electrode, which presents high mechanical strength, high Li+ ion conductivity and electronic insulation. As a result, Li plating/stripping reversibility can extend to over 1200 h with a low polarization potential of 42 mV in this anion receptor modified electrolyte. And the as-assembled anode-free Cu||LFP full cells can deliver excellent capacity retention of above 73.6% after 180 cycle.</t>
  </si>
  <si>
    <t>; wang, shuhan/HNJ-1164-2023; Jiang, Chengyang/E-3167-2012; Wang, Xinxiang/JPA-6230-2023; Shu, Chaozhu/AAC-2508-2019</t>
  </si>
  <si>
    <t>10.1016/j.ensm.2023.102959</t>
  </si>
  <si>
    <t>WOS:001078374900001</t>
  </si>
  <si>
    <t>Hu, YS; Liu, Z; Jiang, BL; Zhao, F; Yan, ZY; Wang, XY; Ma, B</t>
  </si>
  <si>
    <t>Hu, Yisheng; Liu, Zheng; Jiang, Bailing; Zhao, Fei; Yan, Ziyang; Wang, Xiaoyan; Ma, Bo</t>
  </si>
  <si>
    <t>Physiochemical properties of positive deposits in the lead fluoroborate flow batteries with tartaric acid additive</t>
  </si>
  <si>
    <t>In this work, tartaric acid is used as an additive to investigate its effect on the physiochemical properties of positive deposits in lead fluoroborate flow batteries since it can react with boric acid, which is produced by the hydrolysis of fluoroboric acid, to produce boron-tartaric acid with a pi-conjugated structure. With increasing the concentration of tartaric acid, the charge transfer resistance is lowered. The size of particle electrodeposited on the positive electrode is significantly decreased. The nonstoichiometric ratio of oxygen in the positive sediment PbOx is characterized by XPS. The value of x is gradually enhanced with increasing the content of tartaric acid, 1.73 at 50 mmol.L-1. However, the oxygen evolution reaction is serious at the high content of tartaric acid due to a large amount of OH. near the positive electrode surface. The flow cells are cycled at 25 mA.cm(-2) for 2 h in the electrolyte with different concentrations of tartaric acid. The overall efficiency of the cell containing 10 mmol.L-1 tartaric acid is much higher than that without any additive. Its average cycle efficiency is &gt;96 %, and the energy efficiency is &gt;80 %.</t>
  </si>
  <si>
    <t>Li, Xiang/IXX-2771-2023; Zhao, Fei/AAV-3045-2020; Wang, Xiaoyan/IVV-5727-2023; yan, ziyang/LIG-2248-2024</t>
  </si>
  <si>
    <t>10.1016/j.est.2023.108874</t>
  </si>
  <si>
    <t>WOS:001078613600001</t>
  </si>
  <si>
    <t>Horváth, DV; Nicolosi, V; Coleman, JN</t>
  </si>
  <si>
    <t>Horvath, Dominik V.; Nicolosi, Valeria; Coleman, Jonathan N.</t>
  </si>
  <si>
    <t>Increasing Volumetric Capacity Diminishes Rate Performance in Li-Ion Battery Electrodes</t>
  </si>
  <si>
    <t>Combining high-capacity electrodes with good rate performance is essential for maximising both energy and power density in Li-ion batteries. While much effort has been dedicated to increasing both capacity and rate performance, little consideration has been made as to how an increase in specific or volumetric capacity might directly affect rate performance. Here, we quantitatively examine the relationship between the volumetric capacity of Li-storing electrodes and their rate performance using graphite/boron-nitride composite electrodes with a range of compositions as a model system. The rate performance of these cells is evaluated by fitting capacity vs rate curves to a semi-empirical equation and extracting a characteristic charge/discharge time. As graphite content and so electrode capacity are increased, we observe a linear, threefold increase of this characteristic time, representing a significant degradation in rate performance. This shows that capacity and rate performance are anti-correlated, an observation is consistent with the predictions of a simple physical model which shows this effect to be associated with the RC charging time of the electrode. Using no adjustable parameters, we find excellent agreement between the model and our experimental data.</t>
  </si>
  <si>
    <t>Coleman, Jonathan/B-8403-2011; Nicolosi, Valeria/Y-2419-2019</t>
  </si>
  <si>
    <t>Coleman, Jonathan/0000-0001-9659-9721; Nicolosi, Valeria/0000-0002-7637-4813</t>
  </si>
  <si>
    <t>10.1149/1945-7111/acf624</t>
  </si>
  <si>
    <t>WOS:001076314700001</t>
  </si>
  <si>
    <t>Yadav, D; Jung, JH; Lee, Y; Kim, TYS; Park, E; Choi, KI; Cha, J; Song, WJ; Choi, JH; Doo, S; Kim, J</t>
  </si>
  <si>
    <t>Yadav, Dolly; Jung, Jung-Hwan; Lee, Yurim; Kim, Thomas You-Seok; Park, Eunkwang; Choi, Ki-In; Cha, Jungho; Song, Woo-Jin; Choi, Jae-Hak; Doo, Seokgwang; Kim, Jaewoo</t>
  </si>
  <si>
    <t>Enhancement of Columbic Efficiency and Capacity of Li-Ion Batteries using a Boron Nitride Nanotubes-Dispersed-Electrolyte with High Ionic Conductivity</t>
  </si>
  <si>
    <t>Carbon nanotubes (CNT) are currently used as conductive additives for the electrodes to enhance the capacity of the lithium-ion batteries (LIBs), and we herein for the first time demonstrate the feasibility of boron nitride nanotubes (BNNT) as an electrolyte additive for lithium ion batteries (LIBs). The 0.9 wt % BNNT electrolyte yielded enhanced Li-ion conductivity up to 30% (similar to 0.87 mS/cm) and a much higher Li-ion transference number (similar to 0.73) compared to electrolytes without BNNT. The BNNT dispersed electrolyte (1 M LiPF6 in ethylene carbonate/ dimethyl carbonate) prepared via sonication serves as a new electrolyte formulation, together with the NCM622//graphite full cell, and exhibits the highest reversible capacities of 153 mAh/g at 1 C and excellent cyclic retention over 500 cycles at high 10 C with a specific capacity of 71.5 mAh/g and a Coulombic efficiency of 99.6% compared to 125.3 mAh/g at 1 C and 40 mAh/g at 10 C with only 97.5% Coulombic efficiency without BNNT, respectively. Overall, we suggest BNNT as a new class of functional electrolyte material that resolves the major limitations of conventional carbonate-based electrolytes and is compatible for different electrolytes/electrode materials aimed at practical implementations for current as well as advanced LIBs.</t>
  </si>
  <si>
    <t>Yadav, Dolly/HJA-0473-2022; Choi, Jae-Hak/D-6252-2013; Yadav, Dolly/B-2507-2017</t>
  </si>
  <si>
    <t>Jung, Jung-Hwan/0000-0002-3352-1940; Kim, Thomas/0009-0006-9392-8431; Yadav, Dolly/0000-0003-1322-8074</t>
  </si>
  <si>
    <t>10.1021/acsmaterialslett.3c00538</t>
  </si>
  <si>
    <t>AUG 2023</t>
  </si>
  <si>
    <t>WOS:001060975300001</t>
  </si>
  <si>
    <t>Yang, XP; Cheng, F; Yang, ZQ; Ka, O; Wen, L; Wang, XQ; Liu, SX; Lu, W; Dai, LM</t>
  </si>
  <si>
    <t>Yang, Xiaoping; Cheng, Fang; Yang, Ziqian; Ka, Ou; Wen, Lang; Wang, Xiaoqu; Liu, Shixi; Lu, Wen; Dai, Liming</t>
  </si>
  <si>
    <t>Multifunctionalizing electrolytes in situ for lithium metal batteries</t>
  </si>
  <si>
    <t>Lithium metal batteries (LMBs) are next-generation high-energy rechargeable batteries, in which an ideal multifunctional electrolyte additive has been desired to simultaneously stabilize the electrolyte salt, scavenge the electrolyte detrimental impurities, and protect both the lithium anode and cathode. Here, we report a new concept of introducing Lewis acid-base coordinations into electrolytes to synthesize Lewis acid-base complexes in situ as multifunctional electrolyte additives for LMBs. For proof of concept, by introducing fluoroethylene carbonate (FEC) as the Lewis acid and tris(trimethylsilyl) phosphite (TMSP) as the Lewis base into a conventional carbonate electrolyte, an acid-base complex (TMSP: FEC) is formed in situ to act as an electrochemically-clean environment for cleaning and stabilizing the electrolyte while reinforcing the electrode surface coatings with multi-components from the complex. The preferential reduction and oxidation of the complex derive mechani-cally strong and lithium-ion conductive surface coatings to protect the lithium anode and cathode, respectively. Synergistically, these multifunctionalities of the complex ensure an extraordinary Li platting/stripping with an extremely low polarization overpotential of 11 mV for over 16,000 h, and thereby enable high-performance LMBs based on a high-potential LiNi0.5Mn1.5O4, high-capacity LiNi0.8Mn0.1Co0.1O2, or high-safety LiFePO4 cathode with a high packing and high areal capacity. This work opens up a new avenue for in-situ multi-functionalizing electrolytes for LMBs and beyond.</t>
  </si>
  <si>
    <t>Yang, Ziqian/AAK-6296-2021</t>
  </si>
  <si>
    <t>Cheng, Fang/0009-0009-9884-399X</t>
  </si>
  <si>
    <t>10.1016/j.nanoen.2023.108825</t>
  </si>
  <si>
    <t>WOS:001090651800001</t>
  </si>
  <si>
    <t>Zhang, TR; Zhang, SL; Li, LL; Hu, YX; Liu, XF; Lee, JY</t>
  </si>
  <si>
    <t>Zhang, Tianran; Zhang, Shengliang; Li, LanLan; Hu, Yuxiang; Liu, Xiangfeng; Lee, Jim Yang</t>
  </si>
  <si>
    <t>Self-Decoupled Oxygen Electrocatalysis for Ultrastable Rechargeable Zn-Air Batteries with Mild-Acidic Electrolyte</t>
  </si>
  <si>
    <t>Rechargeable zinc-air batteries (ZABs) have been consideredpromisingas next-generation sustainable energy storage devices; however, theirlarge-scale deployment is hampered by the unsatisfactory cyclic lifespan.Employing neutral and mild-acidic electrolytes is effective in extendingthe cyclability, but the rapid performance degradation of the bifunctionalcatalysts owing to different microenvironmental requirements of thealternative oxygen reduction reaction (ORR) and oxygen evolution reaction(OER) is still a serious limitation of their cyclic life. Herein,we propose a self-decoupling strategy to significantlyimprove the stability of the bifunctional catalysts by constructinga smart interface in the bifunctional air electrode. This smart interface,containing a resistance-switchable sulfonic acid doped polyanilinenanoarray interlayer, is nonconductive at high potential but conductiveat low potential, which enables spontaneous electrochemical decouplingof the bifunctional catalyst for the ORR and OER, respectively, andthus protects it from degradation. The resulting self-decoupled mild-acidicZAB delivers stable cyclic performances in terms of a negligible energyefficiency loss of 0.015% cycle(-1) and 3 times longercycle life (&amp; SIM;1400 h) compared with the conventional mild-acidicZAB using a normal bifunctional air electrode and the same low-costZnCo phosphide/nitrogen-doped carbon bifunctional catalyst. This workprovides an effective strategy for tolerating alternative oxidation-reductionreactions and emphasizes the importance of smart nanostructure designfor more sustainable batteries.</t>
  </si>
  <si>
    <t>; LEE, Jim Yang/E-5904-2010; Liu, Xiangfeng/AAG-2550-2020; HU, Yuxiang/S-1235-2019; zhang, tianran/KCY-4706-2024; Liu, Xiangfeng/F-8541-2015</t>
  </si>
  <si>
    <t>Zhang, Shengliang/0000-0001-6368-1147; hu, yuxiang/0000-0001-5641-0357; LEE, Jim Yang/0000-0003-1569-9718; Zhang, Tianran/0000-0003-2837-4971; Liu, Xiangfeng/0000-0001-9633-7721</t>
  </si>
  <si>
    <t>AUG 22</t>
  </si>
  <si>
    <t>10.1021/acsnano.3c05845</t>
  </si>
  <si>
    <t>WOS:001052715300001</t>
  </si>
  <si>
    <t>Garcia, A; Mueller, G; Cerny, R; Rentsch, D; Asakura, R; Battaglia, C; Remhof, A</t>
  </si>
  <si>
    <t>Garcia, Andrea; Mueller, Gian; Cerny, Radovan; Rentsch, Daniel; Asakura, Ryo; Battaglia, Corsin; Remhof, Arndt</t>
  </si>
  <si>
    <t>Li4B10H10B12H12 as solid electrolyte for solid-state lithium batteries</t>
  </si>
  <si>
    <t>Hydridoborates are a promising class of solid electrolytes for solid-state batteries, combining liquid-like room temperature ionic conductivity, high (electro-)chemical stability, low gravimetric density, easy processability, and low toxicity. We show that cation exchange is a feasible method to prepare Li2B10H10 and Li2B12H12 from Na2B10H10 and Na2B12H12, respectively, with high yields. Ball milling of an equimolar mixture of Li2B10H10 and Li2B12H12 yields a single phase, isomorphic to the low temperature Li2B12H12 phase (space group Pa3) with ordered [B12H12](2-) and disordered [B10H10](2-) anions sharing the same position in the structure. The ionic conductivity of the equimolar mixture Li4B10H10B12H12 exhibits 4 x 10(-4) S cm(-1) at 25 degrees C and 4 x 10(-)3 S cm-1 at 60 degrees C, respectively, exceeding those of the unmixed phases by several orders of magnitude. The electrolyte possesses an oxidative stability &gt;3 V vs. Li+/Li and thermal stability beyond 300 degrees C, and is evaluated in proof-of-concept solid-state batteries with a lithium metal anode and with titanium disulfide (TiS2) or lithium iron phosphate (LiFePO4) as a cathode active material. Discharge capacities of 83% and 73% of the theoretical capacity were achieved for TiS2 and LiFePO4, respectively, at the end of the first dis-/charge cycle. For LiFePO4, the de-/lithiation potential lies outside the electrochemical stability window of the electrolyte, requiring additional measures to protect the electrolyte from decomposition. Our study demonstrates the feasibility of using closohydridoborates as ionic conductors in solid-state lithium batteries.</t>
  </si>
  <si>
    <t>Remhof, Arndt/ABA-5731-2020; Rentsch, Daniel/D-9717-2018</t>
  </si>
  <si>
    <t>Muller, Gian/0009-0000-9165-2781; Rentsch, Daniel/0000-0002-9335-9527; Remhof, Arndt/0000-0002-8394-9646</t>
  </si>
  <si>
    <t>SEP 12</t>
  </si>
  <si>
    <t>10.1039/d3ta03914e</t>
  </si>
  <si>
    <t>WOS:001063435700001</t>
  </si>
  <si>
    <t>Wong, HL; Li, YY; Wang, J; Tang, TW; Cai, YT; Xu, MY; Li, HL; Kim, TH; Luo, ZT</t>
  </si>
  <si>
    <t>Wong, Hoilun; Li, Yuyin; Wang, Jun; Tang, Tsz Wing; Cai, Yuting; Xu, Mengyang; Li, Hongliang; Kim, Tae-Hyung; Luo, Zhengtang</t>
  </si>
  <si>
    <t>Two-dimensional materials for high density, safe and robust metal anodes batteries</t>
  </si>
  <si>
    <t>NANO CONVERGENCE</t>
  </si>
  <si>
    <t>With a high specific capacity and low electrochemical potentials, metal anode batteries that use lithium, sodium and zinc metal anodes, have gained great research interest in recent years, as a potential candidate for high-energy-density storage systems. However, the uncontainable dendrite growth during the repeated charging process, deteriorates the battery performance, reduces the battery life and more importantly, raises safety concerns. With their unique properties, two-dimensional (2D) materials, can be used to modify various components in metal batteries, eventually mitigating the dendrite growth, enhancing the cycling stability and rate capability, thus leading to safe and robust metal anodes. In this paper, we review the recent advances of 2D materials and summarize current research progress of using 2D materials in the applications of (i) anode design, (ii) separator engineering, and (iii) electrolyte modifications by guiding metal ion nucleation, increasing ion conductivity, homogenizing the electric field and ion flux, and enhancing the mechanical strength for safe metal anodes. The 2D material modifications provide the ultimate solution for obtaining dendrite-free metal anodes, realizes the high energy storage application, and indicates the importance of 2D materials development. Finally, in-depth understandings of subsequent metal growth are lacking due to research limitations, while more advanced characterizations are welcome for investigating the metal deposition mechanism. The more facile and simplified preparation of 2D materials possess great prospects in high energy density metal anode batteries, and thus fulfils the development of EVs.</t>
  </si>
  <si>
    <t>Luo, Zhengtang/C-4270-2008; luo, Zhengtang/C-4270-2008; li, hongliang/IVH-1698-2023</t>
  </si>
  <si>
    <t>Luo, Zhengtang/0000-0002-5134-9240; Li, Hongliang/0000-0003-0348-7910;</t>
  </si>
  <si>
    <t>2196-5404</t>
  </si>
  <si>
    <t>AUG 10</t>
  </si>
  <si>
    <t>10.1186/s40580-023-00384-4</t>
  </si>
  <si>
    <t>WOS:001048237200001</t>
  </si>
  <si>
    <t>Liu, TC; Fan, K; Lin, ZZ; Liang, ZJ; Chen, CS; Li, GC; Guo, XY; Zhu, YP; Chen, G; Li, H; Wu, TS; Soo, YL; Li, MMJ; Zhu, Y; Dong, MX; Huang, HT</t>
  </si>
  <si>
    <t>Liu, Tiancheng; Fan, Ke; Lin, Zezhou; Liang, Zhuojian; Chen, Changsheng; Li, Guangchao; Guo, Xuyun; Zhu, Yanping; Chen, Gao; Li, Hao; Wu, Tai-Sing; Soo, Yun-Liang; Li, Molly Meng-Jung; Zhu, Ye; Dong, Mingxia; Huang, Haitao</t>
  </si>
  <si>
    <t>Dual-functional boron-modification on a cobalt-free single-crystal layered cathode for high-voltage lithium-ion batteries</t>
  </si>
  <si>
    <t>A Ni-rich cobalt-free layered cathode material (LiNixMn1-xO2) is promising due to its low cost, excellent structural stability, and thermal stability. However, low Li-ion diffusion kinetics, highly reactive Ni4+, and stress-induced intragranular micro-cracking restrict its further application. Here, we report dual-functional boron-modification (doping and coating) on a cobalt-free single-crystal layered cathode (B-LiNi0.75Mn0.25O2) via a simple solid-state method. The boron atoms prefer to occupy the tetrahedral interstices in the Li layer during the sintering process, which enlarges the c-axis for fast Li-ion diffusion kinetics and can also serve as a pillar to achieve an ultra-low (1.62%) c-axis lattice contraction at 80% state of charge (SOC). And boron doping passivates the lattice O, inhibits the irreversible phase transition and provides excellent thermal stability at a high cut-off voltage of 4.5 V. On the other hand, the byproduct LiBO2 can improve Li-ion diffusion and alleviate side reactions at the electrode/electrolyte interface by serving as a Li-ion conductive coating layer. As a result, B-LiNi0.75Mn0.25O2 is almost free of inter- and intragranular micro-cracking with faster Li-ion diffusion kinetics. It delivers 176.6 mA h g(-1) at 1C and achieves 82.9% capacity retention after 200 cycles. This work not only provides a low-cost and scalable method to remove Co from conventional Ni-rich layered cathodes, but also reveals the commercial feasibility of highly safe single-crystal layered cathode materials.</t>
  </si>
  <si>
    <t>GUO, Xuyun/K-8714-2015; Li, Molly/KHV-3262-2024; dong, mingxia/JKJ-4272-2023; Zhu, Ye/A-1844-2011; LI, Guangchao/MFH-1780-2025; chen, changsheng/HJA-3224-2022; Chen, Gao/HPG-4185-2023; Zhu, Ye/U-3836-2019; Li, Guangchao/HJA-6800-2022</t>
  </si>
  <si>
    <t>GUO, Xuyun/0000-0003-0365-7545; Chen, Gao/0000-0001-6561-4167; Zhu, Yanping/0000-0002-1224-9925; LI, Hao/0000-0002-1615-558X; Zhu, Ye/0000-0002-5217-493X; LI, Guangchao/0000-0001-7521-8336; Fan, Ke/0000-0002-3960-9505; Lin, Zezhou/0000-0002-1799-6591;</t>
  </si>
  <si>
    <t>10.1039/d3ta02784h</t>
  </si>
  <si>
    <t>WOS:001046081600001</t>
  </si>
  <si>
    <t>Yang, M; Feng, F; Ren, YF; Chen, SZ; Chen, FF; Chu, DK; Guo, JH; Shi, ZH; Cai, TX; Zhang, WL; Ma, ZF; Chen, SL; Liu, TX</t>
  </si>
  <si>
    <t>Yang, Meng; Feng, Fan; Ren, Yufeng; Chen, Shuzhou; Chen, Fangfang; Chu, Dongkun; Guo, Junhong; Shi, Zhenhai; Cai, Tongxiang; Zhang, Wenli; Ma, Zi-Feng; Chen, Suli; Liu, Tianxi</t>
  </si>
  <si>
    <t>Coupling Anion-Capturer with Polymer Chains in Fireproof Gel Polymer Electrolyte Enables Dendrite-Free Sodium Metal Batteries</t>
  </si>
  <si>
    <t>Sodium metal batteries (SMBs) using gel polymer electrolytes (GPEs) with high theoretical capacity and low production cost are regarded as a promising candidate for high energy-density batteries. However, the inherent flammability of GPEs and uncontrolled Na dendrite caused by inferior mechanical properties and interfacial stability hinder their practical applications. Herein, an anion-trapping fireproof composite gel electrolyte (AT-FCGE) is designed through a chemical grafting-coupling strategy, where functionalized boron nitride nanosheets (M-BNNs) used as both nanosized crosslinker and anion capturer are coupled with poly(ethylene glycol)diacrylate in poly(vinylidene fluoride-co-hexafluoropropylene) matrix, to expedite Na+ transport and suppress dendrite growth. Experimental and calculation studies suggest that the anion-trapping effect of M-BNNs with abundant Lewis-acid sites can promote the dissociation of salts, thus remarkably improving the ionic conductivity and Na+ transference number. Meanwhile, the formation of highly crosslinked semi-interpenetrating network can effectively in situ encapsulate non-flammable phosphate without sacrificing the mechanical properties. Consequently, the resulting AT-FCGE shows significantly enhanced Na+ conductivity, mechanical properties, and excellent interfacial stability. The AT-FCGE enables a long-cycle stability dendrite-free Na/Na symmetric cell, and prominent electrochemical performance is demonstrated in solid-state SMBs. The approach provides a broader promise for the great potential of fire-retardant gel electrolytes in high-performance SMBs and the beyond.</t>
  </si>
  <si>
    <t>Liu, Tianxi/E-6628-2011; Ren, yu/KYY-9101-2024; chen, fangfang/HHC-2292-2022; Feng, Fan/AAH-2619-2021</t>
  </si>
  <si>
    <t>Zhang, Wenli/0000-0002-6781-2826;</t>
  </si>
  <si>
    <t>10.1002/adfm.202305383</t>
  </si>
  <si>
    <t>JUL 2023</t>
  </si>
  <si>
    <t>WOS:001040099800001</t>
  </si>
  <si>
    <t>Li, JN; Yang, JZ; Ji, ZQ; Su, M; Li, HJ; Wu, YC; Su, X; Zhang, ZC</t>
  </si>
  <si>
    <t>Li, Jianing; Yang, Jianzhong; Ji, Zhaoqi; Su, Min; Li, Huijing; Wu, Yanchao; Su, Xin; Zhang, Zhengcheng</t>
  </si>
  <si>
    <t>Prospective Application, Mechanism, and Deficiency of Lithium Bis(oxalate)Borate as the Electrolyte Additive for Lithium-Batteries</t>
  </si>
  <si>
    <t>Lithium bis(oxalate)borate (LiBOB) is one of the most common film-forming electrolyte additives used in lithium ion batteries (LIBs), since it can form a dense boron-containing polymer as a solid electrolyte interlayer (or cathode electrolyte interlayer) in order to isolate the electrode material from the electrolyte and prevent side reactions. LiBOB can serve as HF scavenger to maintain the structural integrity of electrodes via avoiding the transition metal dissolution caused by HF attack. LiBOB also can react with LiPF6 to generate lithium difluoro (oxalate)borate (LiDFOB) that can be further used as a clean-up agent for reactive oxygen radicals. This article lists the application of LiBOB in high capacity and high voltage cathode materials, and also reviews the working mechanisms of LiBOB used in these materials to improve the performance of LIBs. Finally, it presents the current shortcomings of LiBOB and strategies to overcome these. This article is expected to provide useful insights for employing LiBOB as a feasible method of dealing with the difficulty of running high capacity LIBs stably under high voltage.</t>
  </si>
  <si>
    <t>Yang, Jianzhong/T-8037-2018; Li, Huijing/AAU-5279-2020; zhang, zhengcheng/AFA-9944-2022; Li, Jianing/AAE-2394-2020; Su, Xin/M-1162-2013</t>
  </si>
  <si>
    <t>Ji, Zhaoqi/0000-0001-9999-3839; Su, Xin/0000-0002-1615-2856</t>
  </si>
  <si>
    <t>10.1002/aenm.202301422</t>
  </si>
  <si>
    <t>WOS:001039193100001</t>
  </si>
  <si>
    <t>Xu, RJ; Gao, X; Chen, Y; Peng, CX; Zhang, ZY; Wang, C; Sun, HC; Chen, XD; Cui, LF</t>
  </si>
  <si>
    <t>Xu, Runjing; Gao, Xin; Chen, Ya; Peng, Chengxin; Zhang, Zhiyuan; Wang, Cheng; Sun, Hongchao; Chen, Xiaodong; Cui, Lifeng</t>
  </si>
  <si>
    <t>Research advances of the electrolytes for rechargeable magnesium ion batteries</t>
  </si>
  <si>
    <t>MATERIALS TODAY PHYSICS</t>
  </si>
  <si>
    <t>Magnesium ion batteries (MIBs) are gaining popularity as lithium ion batteries (LIBs) alternatives due to their non-negligible advantages of high energy density, abundance and low expenditure of Mg, as well as especially non-toxic safety and low risk of dendrite formation in anodes, which enables them to be more easily assembled in electric-power vehicles for the extensive utilization of civilian-military fields. Nevertheless, there are some intrinsic drawbacks including the formation of passivation film of Mg anode-electrolyte interface, narrow elec-trochemical window and sluggish Mg2+ diffusion kinetic, inevitably existing in the conventional MIBs systems. These factors not only cause the undesirable electronic and ionic conductivity but also disapprove the revers-ibility of Mg deposition/dissolution process, thus hindering their extended commercial applications. Corre-spondingly, there are some evidences disclosed that the preferential development of Mg2+ electrolytes is regarded as an effective strategy to response above-mentioned challenges. In this contribution, we systemically summarize several typical strategies to improve the performance of MIBs by analyzing studies related to Mg2+ electrolytes, mainly by enhancing the desolventization of Mg ions in the electrolyte. More specially, we present the challenges, developments and promising strategies adopted for the MIBs electrolytes. This review covers several electrolytes, including MACC, APC, Mg (TFSI)2, HMDS, polymer electrolytes, molten salt electrolytes and boron-based electrolytes. This allows researchers to understand the current issues faced and motivates them to make the most suitable electrolytes for commercial applications. Finally, the development status of electrolytes for MIBs is summarized and the future development trend of electrolyte system for MIBs is prospected.</t>
  </si>
  <si>
    <t>; Gao, Xin/IQS-1866-2023; Wang, Cheng/A-9815-2014; zhiyuan, zhang/E-5774-2019; Peng, Chengxin/AAS-7729-2020</t>
  </si>
  <si>
    <t>Chen, Ya/0009-0009-5076-1522; Gao, Xin/0000-0002-1542-1153;</t>
  </si>
  <si>
    <t>2542-5293</t>
  </si>
  <si>
    <t>10.1016/j.mtphys.2023.101186</t>
  </si>
  <si>
    <t>WOS:001051869100001</t>
  </si>
  <si>
    <t>Ren, YF; Yang, M; Shi, ZH; Guo, JH; Chu, DK; Feng, F; Li, HP; Ma, ZF; Chen, SL; Liu, TX</t>
  </si>
  <si>
    <t>Ren, Yufeng; Yang, Meng; Shi, Zhenhai; Guo, Junhong; Chu, Dongkun; Feng, Fan; Li, Hongping; Ma, Zi-Feng; Chen, Suli; Liu, Tianxi</t>
  </si>
  <si>
    <t>A metalophilic, anion-trapped composite gel electrolyte enables highly stable electrode/electrolyte interfaces in sodium metal batteries</t>
  </si>
  <si>
    <t>Next-generation rechargeable sodium batteries consisted of layered oxide cathode and sodium metal anode, are desired to meet future energy-storage needs with high energy density and intrinsic low cost. But the undesirable dissolution of transition-metal from layered oxide cathode and severe growth of Na dendrites in the liquid electrolyte block their practical application. Herein, to address these issues, we report a metalophilic, anion -trapped composite gel electrolyte (MACGE) that is capable of simultaneously stabilizing Na metal anode and layered oxide cathode to form stable electrode/electrolyte interfaces. The MACGE is achieved by grafting sodium alginate on one side of boron-contained polymer in-situ modified glass fiber, leading to excellent mechanical properties and high electrolyte wettability/uptake capability. The resulting MACGE shows high ionic conduc-tivity (4.12 mS cm-1), considerable Na+ transference number (0.76), and superior interfacial compatibility. Benefiting from the unique structure and composition, the MACGE can not only selectively transfer Na+ through anion trapping effect of boron moiety, reducing interfacial polarization and suppressing dendrite growth, but also act as cathode protecting layer to effectively suppress continuous dissolution of transition-metal from the cathode through the chemical chelating interaction. As a result, the sodium metal batteries using MACGE exhibit remarkably enhanced cell performances, including excellent cycling stability with 91.5% capacity retention at 0.2 C after 200 cycles, and superior rate capability with 85.8% capacity retention at 3 C after 800 cycles.</t>
  </si>
  <si>
    <t>Ren, yu/KYY-9101-2024; Li, Hongping/AAE-7330-2020; Feng, Fan/AAH-2619-2021; Guo, Junhong/O-6316-2017; Liu, Tianxi/E-6628-2011</t>
  </si>
  <si>
    <t>10.1016/j.ensm.2023.102909</t>
  </si>
  <si>
    <t>WOS:001055405500001</t>
  </si>
  <si>
    <t>Wu, BC; Huang, L; Yan, L; Gang, HY; Cao, YY; Wei, D; Wang, HY; Guo, ZP; Zhang, WC</t>
  </si>
  <si>
    <t>Wu, Bichao; Huang, Lei; Yan, Lvji; Gang, Haiyin; Cao, Yiyun; Wei, Dun; Wang, Haiying; Guo, Zaiping; Zhang, Wenchao</t>
  </si>
  <si>
    <t>Boron-Modulated Electronic-Configuration Tuning of Cobalt for Enhanced Nitric Oxide Fixation to Ammonia</t>
  </si>
  <si>
    <t>Electrocatalytic nitric oxide reduction (eNORR) to ammonia(NH3) provides an environmental route to alleviate NO pollutionand yield great-value chemicals. The evolution of eNORR has been primarilyhindered, however, by the poor reaction kinetics and low solubilityof the NO in aqueous electrolytes. Herein, we have rationally designeda cobalt-based composite with a heterostructure as a highly efficienteNORR catalyst. In addition, by integrating boron to modulate theelectronic structure, the catalyst CoB/Co@C delivered a significantNH(3) yield of 315.4 &amp; mu;mol h(-1) cm(-2) for eNORR and an outstanding power density of 3.68mW cm(-2) in a Zn-NO battery. The excellent electrochemicalperformance of CoB/Co@C is attributed to the enrichment of NO by cobaltand boron dual-site adsorption and fast charge-transfer kinetics.It is demonstrated that the boron is pivotal in the enhancement ofNO, the suppression of hydrogen evolution, and Co oxidation to boosteNORR performance.</t>
  </si>
  <si>
    <t>Guo, Zaiping/O-9848-2018; Huang, Lei/AAF-5312-2021; wang, xiaoqiang/JMT-2783-2023; Cao, Yiyun/MFI-9517-2025</t>
  </si>
  <si>
    <t>Guo, Zaiping/0000-0003-3464-5301; Huang, Lei/0000-0002-4574-7250; Zhang, Wenchao/0000-0001-9810-2248;</t>
  </si>
  <si>
    <t>10.1021/acs.nanolett.3c01994</t>
  </si>
  <si>
    <t>WOS:001033258900001</t>
  </si>
  <si>
    <t>Rizell, J; Zubayer, A; Sadd, M; Lundin, F; Mozhzhukhina, N; Eriksson, F; Birch, J; Vorobiev, A; Xiong, SZ; Matic, A</t>
  </si>
  <si>
    <t>Rizell, Josef; Zubayer, Anton; Sadd, Matthew; Lundin, Filippa; Mozhzhukhina, Nataliia; Eriksson, Fredrik; Birch, Jens; Vorobiev, Alexei; Xiong, Shizhao; Matic, Aleksandar</t>
  </si>
  <si>
    <t>Neutron Reflectometry Study of Solid Electrolyte Interphase Formation in Highly Concentrated Electrolytes</t>
  </si>
  <si>
    <t>Highly concentrated electrolytes have been found to improve the cycle life and Coulombic efficiency of lithium metal anodes, as well as to suppress dendrite growth. However, the mechanism for these improvements is not well understood. Partly, this can be linked to the difficulty of accurately characterizing the solid electrolyte interphase (SEI), known to play an important role for anode stability and stripping/plating efficiency. Herein, in situ neutron reflectometry is used to obtain information about SEI formation in a highly concentrated ether-based electrolyte. With neutron reflectometry, the thickness, scattering length density (SLD), and roughness of the SEI layer formed on a Cu working electrode are nondestructively probed. The reflectivity data point to the formation of a thin (5 nm) SEI in the highly concentrated electrolyte (salt:solvent ratio 1:2.2), while a considerably thicker (13 nm) SEI is formed in an electrolyte at lower salt concentration (salt:solvent ratio 1:13.7). Further, the SEI formed in the electrolyte with high salt concentration has a higher SLD, suggesting that the chemical composition of the SEI changes. The results from neutron reflectometry correlate well with the electrochemical data from SEI formation.</t>
  </si>
  <si>
    <t>Matic, Aleksandar/AAH-3175-2021; Xiong, shizhao.xiong@hotmail.com/H-4078-2019; Mozhzhukhina, Nataliia/H-6497-2017; Xiong, Shizhao/H-4078-2019; Birch, Jens/M-4794-2016; Eriksson, Fredrik/T-6481-2018</t>
  </si>
  <si>
    <t>Zubayer, Anton/0000-0002-5327-609X; Xiong, Shizhao/0000-0003-1795-7805;</t>
  </si>
  <si>
    <t>10.1002/sstr.202300119</t>
  </si>
  <si>
    <t>WOS:001029281100001</t>
  </si>
  <si>
    <t>Cui, MY; Zhao, HY; Qin, YY; Zhang, SS; Zhao, RX; Zhang, M; Yu, W; Gao, GX; Hu, XF; Su, YQ; Xi, K; Ding, SJ</t>
  </si>
  <si>
    <t>Cui, Manying; Zhao, Hongyang; Qin, Yanyang; Zhang, Shishi; Zhao, Ruxin; Zhang, Miao; Yu, Wei; Gao, Guoxin; Hu, Xiaofei; Su, Yaqiong; Xi, Kai; Ding, Shujiang</t>
  </si>
  <si>
    <t>Regulation of Lithium-Ion Flux by Nanotopology Lithiophilic Boron-Oxygen Dipole in Solid Polymer Electrolytes for Lithium-Metal Batteries</t>
  </si>
  <si>
    <t>Inhomogeneous lithium-ion (Li+) deposition is one of the most crucial problems, which severely deteriorates the performance of solid-state lithium metal batteries (LMBs). Herein, we discovered that covalent organic framework (COF-1) with periodically arranged boron-oxygen dipole lithiophilic sites could directionally guide Li+ even deposition in asymmetric solid polymer electrolytes. This in situ prepared 3D cross-linked network Poly(ACMO-MBA) hybrid electrolyte simultaneously delivers outstanding ionic conductivity (1.02 x 10(-3) S cm(-1) at 30 &amp; DEG;C) and excellent mechanical property (3.5 MPa). The defined nanosized channel in COF-1 selectively conducts Li+ increasing Li+ transference number to 0.67. Besides, The COF-1 layer and Poly(ACMO-MBA) also participate in forming a boron-rich and nitrogen-rich solid electrolyte interface to further improve the interfacial stability. The Li||Li symmetric cell exhibits remarkable cyclic stability over 1000 h. The Li||NCM523 full cell also delivers an outstanding lifespan over 400 cycles. Moreover, the Li||LiFePO4 full cell stably cycles with a capacity retention of 85% after 500 cycles. the Li||LiFePO4 pouch full exhibits excellent safety performance under pierced and cut conditions. This work thereby further broadens and complements the application of COF materials in polymer electrolyte for dendrite-free and high-energy-density solid-state LMBs.</t>
  </si>
  <si>
    <t>Zhao, Hongyang/I-7550-2018; Xi, Kai/A-2312-2015; , 丁书江/G-5025-2011; Hu, Xiaofei/AAB-6959-2021; yu, wei/GYE-1667-2022; Qin, Yanyang/JTT-8944-2023; Zhang, Shishi/HSI-1551-2023</t>
  </si>
  <si>
    <t>e12659</t>
  </si>
  <si>
    <t>10.1002/eem2.12659</t>
  </si>
  <si>
    <t>WOS:001024791900001</t>
  </si>
  <si>
    <t>Irmawati, Y; Balqis, F; Persada, PB; Destyorini, F; Yudianti, R; Iskandar, F; Sumboja, A</t>
  </si>
  <si>
    <t>Irmawati, Yuyun; Balqis, Falihah; Persada, Pilar Bela; Destyorini, Fredina; Yudianti, Rike; Iskandar, Ferry; Sumboja, Afriyanti</t>
  </si>
  <si>
    <t>Iron-Decorated Nitrogen/Boron co-Doped Reduced Graphene Oxide Aerogel for Neutral Rechargeable Zn-Air Batteries</t>
  </si>
  <si>
    <t>Zn-air batteries (ZABs) with neutral electrolytes offer a significantly longer lifespan and better recyclability than alkaline ones. However, low-performance bifunctional catalytic activities for oxygen reduction or evolution reaction (i.e., ORR/OER) in neutral electrolytes still hamper their development. Here, we report iron nanoparticle-decorated nitrogen/boron co-doped reduced graphene oxide aerogel (Fe-NBrGO) with distinguished ORR/OER activity, enabling its application in neutral rechargeable ZABs. Taking advantage of the formation of 3D porous structure of graphene aerogel, N/B-moieties active sites, and Fe-containing active sites, Fe-NBrGO exhibits high ORR onset potential (1.074 and 0.817 V) and adequate OER overpotential (476 and 615 mV) in alkaline and neutral electrolytes, respectively. Fe-NBrGO enables the production of a neutral-ZAB with 34 mW cm(-2) in peak power density and remains stable for a 284 h (similar to 852 cycles) cycling test. This research highlights the rational design of highly active oxygen catalysts for the widespread implementation of new energy storage technologies.</t>
  </si>
  <si>
    <t>Sumboja, Afriyanti/F-3929-2017; Yudianti, Rike/HLQ-4141-2023; Iskandar, Ferry/A-6696-2009; Iskandar, Ferry/D-4881-2017; Balqis, Falihah/JXM-4326-2024</t>
  </si>
  <si>
    <t>Sumboja, Afriyanti/0000-0002-7389-4442; Iskandar, Ferry/0000-0002-0464-0035; Destyorini, Fredina/0000-0001-8330-4429; Balqis, Falihah/0000-0003-0362-8517</t>
  </si>
  <si>
    <t>10.3390/batteries9070356</t>
  </si>
  <si>
    <t>WOS:001037955200001</t>
  </si>
  <si>
    <t>Mateti, S; Sultana, I; Chen, Y; Kota, M; Rahman, MM</t>
  </si>
  <si>
    <t>Mateti, Srikanth; Sultana, Irin; Chen, Ying; Kota, Manikantan; Rahman, Md Mokhlesur</t>
  </si>
  <si>
    <t>Boron Nitride-Based Nanomaterials: Synthesis and Application in Rechargeable Batteries</t>
  </si>
  <si>
    <t>Conventional boron nitride material is a resistant refractory compound of boron and nitrogen with various crystalline forms. The hexagonal form, which corresponds to graphite, is used as a lubricant and an additive to cosmetic products because of its higher stability and softness. Recently, various nanostructured boron nitride materials, including nanosheets, nanotubes, nanoparticles, and nanocomposites with diverse new properties, have been achieved through the development of advanced synthesis techniques as well as a deeper understanding of the properties and related applications. As nanostructured boron nitride materials exhibit high chemical, thermal and mechanical stability, the incorporation of nanostructured boron nitride materials into the key components (electrolytes, separators, and electrodes) of electrochemical systems can alleviate various inherent problems. This review article systematically summarizes the integration of nanostructured boron nitride into electrolytes, separators, and electrodes of lithium-ion, sodium-ion, and lithium-sulfur batteries. Various structures, synthesis methods, properties, and electrochemical performance of nanostructured boron nitride incorporated electrolytes, separators, and electrodes in rechargeable batteries are discussed. The challenges and possibilities for future application of boron nitride-based nanomaterials in electrochemical energy storage systems are also highlighted.</t>
  </si>
  <si>
    <t>; Mateti, srikanth/ABA-8744-2020; Ye, Guanchen/GPT-3657-2022; Rahman, Mokhlesur/J-1434-2017</t>
  </si>
  <si>
    <t>Rahman, Mokhlesur M/0000-0003-0379-3686; Chen, Ying Ian/0000-0002-7322-2224;</t>
  </si>
  <si>
    <t>10.3390/batteries9070344</t>
  </si>
  <si>
    <t>WOS:001037940800001</t>
  </si>
  <si>
    <t>Thirumal, V; Rajkumar, P; Yoo, K; Kim, J</t>
  </si>
  <si>
    <t>Thirumal, Vediyappan; Rajkumar, Palanisamy; Yoo, Kisoo; Kim, Jinho</t>
  </si>
  <si>
    <t>Hydrothermal Synthesis of Boron-Doped Graphene for High-Performance Zinc-Ion Hybrid Capacitor Using Aloe Vera Gel Electrolyte</t>
  </si>
  <si>
    <t>INORGANICS</t>
  </si>
  <si>
    <t>The great interest in developing emerging zinc-ion capacitors (ZIC) for energy storage applications is due to their inexpensiveness and the future necessity for hybrid electrical energy storage devices. The Zn-ion hybrid capacitor device was assembled using boron (B)-doped reduced graphene oxide (B-RGO) material, which acts as the cathode, and pure zinc metal as an anode. This research work aims to study the influence of B-doped reduced graphene oxide (B-RGO) with Aloe vera gel as an electrolyte. The reduced graphene oxide (RGO) and B-RGO electrode active materials were confirmed through X-ray diffraction (XRD), RAMAN, Fourier transformation infrared spectroscopy (FT-IR), X-ray photoelectron spectroscopy (XPS), field emission scanning electron microscopy (FE-SEM) and field emission-transmission electron microscopy (FE-TEM) analysis. The surface morphological images reveal that a few-layered nanostructure B-RGO was used in the Zn-ion hybrid capacitor device. The electrochemical performance of the Zn-ion hybrid capacitor was evaluated through cyclic voltammetry (CV) and galvanostatic charge-discharge (GCD) measurements, with a wide active potential range of 0-2 V versus Zn/Zn+. The mixture composition of Aloe vera extract and 1M ZnSO4 electrolyte generated a stable voltage and exhibited good capacitive behavior. The fabricated ZIC coin cell device with the Aloe vera gel semi-gel electrolyte containing ZnSO4 demonstrated improved Zn+ ionic exchange and storage efficiency. Moreover, the B-RGO electrode active material exhibited excellent cycle stability. The simple one-step electrochemical technique is the most suitable process for boron doping into graphene nanosheets for future energy storage applications.</t>
  </si>
  <si>
    <t>Palanisamy, Rajkumar/AAQ-4331-2020; THIRUMAL, Prof. VEDIYAPPAN/O-8290-2017</t>
  </si>
  <si>
    <t>Kim, Jinho/0000-0002-6371-2828; Thirumal, Dr. V./0000-0003-4452-7464; Palanisamy, Rajkumar/0000-0002-8543-9738</t>
  </si>
  <si>
    <t>2304-6740</t>
  </si>
  <si>
    <t>10.3390/inorganics11070280</t>
  </si>
  <si>
    <t>WOS:001038681200001</t>
  </si>
  <si>
    <t>Yang, YL; Chen, ZL; Lv, T; Dong, KY; Liu, YA; Qi, YL; Cao, SK; Chen, T</t>
  </si>
  <si>
    <t>Yang, Yunlong; Chen, Zilin; Lv, Tian; Dong, Keyi; Liu, Yanan; Qi, Yunlong; Cao, Shaokui; Chen, Tao</t>
  </si>
  <si>
    <t>Ultrafast self-assembly of supramolecular hydrogels toward novel flame-retardant separator for safe lithium ion battery</t>
  </si>
  <si>
    <t>Traditional polyolefin separators for lithium-ion batteries (LIBs) often experience limited thermal stability and intrinsic flammability, resulting in great safety risks during their usage. Therefore, it is highly important to develop novel flame-retardant separators for safe LIBs with high performance. In this work, we report a flameretardant separator derived from boron nitride (BN) aerogel with a high BET surface area of 1127.3 m2 g-1. The aerogel was pyrolyzed from a melamine-boric acid (MBA) supramolecular hydrogel, which was self-assembled at an ultrafast speed. The in-situ evolution details of the nucleation-growth process of the supramolecules could be observed in real-time using a polarizing microscope under ambient conditions. The BN aerogel was further composited with bacterial cellulose (BC) to form a BN/BC composite aerogel with excellent flame-retardant performance, electrolyte-wetting ability and high mechanical property. By using the BN/BC composite aerogel as the separator, the developed LIBs exhibited high specific discharge capacity of 146.5 mAh g-1 and excellent cyclic performance, maintaining 500 cycles with a capacity degradation of only 0.012% per cycle. The highperformance flame-retardant BN/BC composite aerogel represents a promising candidate for separators not only in LIBs but also in other flexible electronics.</t>
  </si>
  <si>
    <t>Yang, Yunlong/NCV-4038-2025; Chen, Tao/AAG-9685-2019</t>
  </si>
  <si>
    <t>10.1016/j.jcis.2023.06.058</t>
  </si>
  <si>
    <t>JUN 2023</t>
  </si>
  <si>
    <t>WOS:001062802400001</t>
  </si>
  <si>
    <t>Li, F; Su, BH; Shi, LL; Mu, JB; Xu, F; Wang, JP; Yang, H; Guo, ZC</t>
  </si>
  <si>
    <t>Li, Feng; Su, Bihai; Shi, Linlin; Mu, Jingbo; Xu, Feng; Wang, Junpeng; Yang, Hang; Guo, Zengcai</t>
  </si>
  <si>
    <t>Hybrid Poly(Ethylene Oxide)-Based composite polymer electrolyte for high-performance all-solid-state lithium batteries</t>
  </si>
  <si>
    <t>Composite solid-state electrolytes (CSSEs) using solid-state lithium metal batteries (SSLMBs) are widely used as one among the primary technological paths aimed towards chemically necessary safety with acceptable energy density. Nevertheless, the unchecked growth of lithium dendrites and the sluggish transport of lithium ions impede the development of SSLMBs based on CSSEs. Herein, the simultaneous introduction of multilayer g-C3N4 and exceptionally thermally stable boron nitride (BN) into the PVDF/PEO system is presented. Benefitting from the unique trait and synergistic effect of g-C3N4 and BN in the synthesized CSSEs (g-C3N4/BN/PVDF/PEO-LiTFSI), the prepared CSSEs yield excellent Li+ transfer number (0.75), surprising thermal stability (shrinkage of only 14.13% after heated at 130 degrees C for 4 h), and high electrochemical stability window over 4.73 V vs. Li/Li+, which are much higher than those reported in the current literature PEO-based CSSEs. Moreover, the Li||CSSEs|| LiFePO4 cell applying the CSSEs attained outstanding cycling stability (capacity retention rate of 85% after 350 cycles) and excellent rate performance (58.6 mAh g- 1 at 5C). This study offers a simple, promising application, robust, and scalable manufacturing strategy to develop a dual role for stable and safe polymer-based all -solid-state lithium batteries.</t>
  </si>
  <si>
    <t>Li, Feng/IZQ-6141-2023; Mu, Jianpeng/MVX-5083-2025; Shi, Linlin/P-4218-2019</t>
  </si>
  <si>
    <t>10.1016/j.ceramint.2023.05.195</t>
  </si>
  <si>
    <t>WOS:001027761100001</t>
  </si>
  <si>
    <t>Li, YA; Ma, SC; Zhao, YH; Chen, SL; Xiao, TT; Yin, HX; Song, HY; Pan, XM; Cong, LA; Xie, HM</t>
  </si>
  <si>
    <t>Li, Yanan; Ma, Shunchao; Zhao, Yuehua; Chen, Silin; Xiao, Tingting; Yin, Hongxing; Song, Huiyu; Pan, Xiumei; Cong, Lina; Xie, Haiming</t>
  </si>
  <si>
    <t>Synergetic Control of Li+ Transport Ability and Solid Electrolyte Interphase by Boron-Rich Hexagonal Skeleton Structured All-Solid-State Polymer Electrolyte</t>
  </si>
  <si>
    <t>High Li+ transference number electrolytes have long been understood to provide attractive candidates for realizing uniform deposition of Li+. However, such electrolytes with immobilized anions would result in incomplete solid electrolyte interphase (SEI) formation on the Li anode because it suffers from the absence of appropriate inorganic components entirely derived from anions decomposition. Herein, a boron-rich hexagonal polymer structured all-solid-state polymer electrolyte (BSPE+10% LiBOB) with regulated intermolecular interaction is proposed to trade off a high Li+ transference number against stable SEI properties. The Li+ transference number of the as-prepared electrolyte is increased from 0.23 to 0.83 owing to the boron-rich cross-linker (BC) addition. More intriguingly, for the first time, the experiments combined with theoretical calculation results reveal that BOB- anions have stronger interaction with B atoms in polymer chain than TFSI-, which significantly induce the TFSI- decomposition and consequently increase the amount of LiF and Li3N in the SEI layer. Eventually, a LiFePO4|BSPE+10% LiBOB|Li cell retains 96.7% after 400 cycles while the cell without BC-resisted electrolyte only retains 40.8%. BSPE+10% LiBOB also facilitates stable electrochemical cycling of solid-state Li-S cells. This study blazes a new trail in controlling the Li+ transport ability and SEI properties, synergistically.</t>
  </si>
  <si>
    <t>10.1002/eem2.12648</t>
  </si>
  <si>
    <t>WOS:001014986700001</t>
  </si>
  <si>
    <t>Guzmán-González, G; Avila-Paredes, HJ; Santos-Mendoza, I</t>
  </si>
  <si>
    <t>Guzman-Gonzalez, Gregorio; Avila-Paredes, Hugo J.; Santos-Mendoza, Ilda</t>
  </si>
  <si>
    <t>The role of nanoceramic additives surface charge on the ionic transport of single lithium-ion conducting polymer electrolytes</t>
  </si>
  <si>
    <t>JOURNAL OF SOLID STATE ELECTROCHEMISTRY</t>
  </si>
  <si>
    <t>In the context of designing solid polymer electrolytes for reliable, efficient, and durable lithium batteries, the present study was developed to have a better understanding of the role of the surface charge of ceramic nanoparticles, on the ionic transport used as additives in single lithium-ion conducting polymer electrolytes. A polymer based on sp(3) boron with polyethylene glycol (with an average Mn = 400 g mol(-1)) bridges was used as a model system; SiO2, ZrO2, and TiO2 nanoparticles (NPs), having a negative, neutral, and positive effective surface charge, respectively, were incorporated during synthesis. Samples were characterized by XRD and EIS; a DRT analysis of impedance spectra was also performed. The results obtained showed that the electrostatic interactions of Li+ with the surface charge of nanoceramics resulted in an enhancement of 2.5% of ionic conductivity for the TiO2-containing polymer with respect to the electrolyte without NPs (due to repulsion between Li+ and nanoceramics surface. The sample with ZrO2, compared to the NP-free polymer showed a similar conductivity and a decreased conductivity of 1.2% with respect to the NP-free polymer for the SiO2 case (due to attraction between Li+ and nanoceramics surface, that anchors Li+, hindering its transport). The pseudo-activation energy values (from VTF plots) indicated no change in the transport mechanism for all samples.</t>
  </si>
  <si>
    <t>Guzman-Gonzalez, Gregorio/0000-0002-8080-0862; Avila Paredes, Hugo Joaquin/0000-0002-9386-4160</t>
  </si>
  <si>
    <t>1432-8488</t>
  </si>
  <si>
    <t>1433-0768</t>
  </si>
  <si>
    <t>10.1007/s10008-023-05563-1</t>
  </si>
  <si>
    <t>WOS:001009369100001</t>
  </si>
  <si>
    <t>Hu, AJ; Chen, W; Pan, Y; Zhu, J; Li, YN; Yang, H; Li, RJ; Li, BH; Hu, Y; Chen, DJ; Li, F; Long, JP; Yan, CY; Lei, TY</t>
  </si>
  <si>
    <t>Hu, Anjun; Chen, Wei; Pan, Yu; Zhu, Jun; Li, Yinuo; Yang, Hui; Li, Runjing; Li, Baihai; Hu, Yin; Chen, Dongjiang; Li, Fei; Long, Jianping; Yan, Chaoyi; Lei, Tianyu</t>
  </si>
  <si>
    <t>N, F-enriched inorganic/organic composite interphases to stabilize lithium metal anodes for long-life anode-free cells</t>
  </si>
  <si>
    <t>The practical application of lithium metal batteries is considered to be one of the most promising successors for lithium-ion batteries due to their ability to meet the high-energy storage demands of modern society. However, their application is still hindered by the unstable solid electrolyte interphase (SEI) and uncontrollable dendrite growth. In this study, we propose a robust composite SEI (C-SEI) that consists of a fluorine doped boron nitride (F-BN) inner layer and an organic polyvinyl alcohol (PVA) outer layer. Both theoretical calculations and experimental results demonstrate that the F-BN inner layer induces the formation of favourable components (LiF and Li3N) at the interface, promoting rapid ionic transport and inhibiting electrolyte decomposition. The PVA outer layer acts as a flexible buffer in the C-SEI, ensuring the structural integrity of the inorganic inner layer during lithium plating and stripping. The C-SEI modified lithium anode shows a dendrite-free performance and stable cycle over 1200 h, with an ultralow overpotential (15 mV) at 1 mA cm-2 in this study. This novel approach also enhances the stability of capacity retention rate by 62.3% after 100 cycles even in anode-free full cells (C-SEI@Cu||LFP). Our findings suggest a feasible strategy for addressing the instability inherent in SEI, showing great prospects for the practical application of lithium metal batteries.</t>
  </si>
  <si>
    <t>YAN, CHAOYI/C-8514-2013; Pan, Yu/JQO-5094-2023; Hu, Yin/GPG-0881-2022; Chen, Dongjiang/NRB-3115-2025; Chen, Wei/LFS-5385-2024; lei, tianyu/AAQ-6796-2020; Long, Jianping/AGZ-0234-2022; Yang, Hui/IVU-9572-2023; Hu, Anjun/AAS-2043-2020</t>
  </si>
  <si>
    <t>YANG, Hui/0000-0002-7890-5411;</t>
  </si>
  <si>
    <t>10.1016/j.jcis.2023.06.021</t>
  </si>
  <si>
    <t>WOS:001036067800001</t>
  </si>
  <si>
    <t>Parida, R; Lee, JY</t>
  </si>
  <si>
    <t>Parida, Rakesh; Lee, Jin Yong</t>
  </si>
  <si>
    <t>Boron based podand molecule as an anion receptor additive in Li-ion battery electrolytes: A combined density functional theory and molecular dynamics study</t>
  </si>
  <si>
    <t>JOURNAL OF MOLECULAR LIQUIDS</t>
  </si>
  <si>
    <t>This article explores the potential of boron based molecules as electrolyte additives in lithium ion batteries (LIBs) to increase conductivity and solid electrolyte interface formation. Specifically, a new class of B-based podand molecule is introduced as an anion receptor additive in LIB electrolytes. The efficacy of this novel additive is studied using Density functional theory (DFT) and atomistic molecular dynamics (MD) simulation, and its performance is compared to a commonly used B-based additive, TPF, in different solvent environments. Results show that the designed additive is more efficient in binding PF6- ion, promoting the diffusion of Li+ and lowering viscosity under various conditions. Some calculated properties are validated with existing experimental data. This research holds promise for the development of more efficient and effective energy storage solutions.</t>
  </si>
  <si>
    <t>; Parida, Rakesh/LJL-4811-2024</t>
  </si>
  <si>
    <t>Parida, Rakesh/0000-0003-1209-6866;</t>
  </si>
  <si>
    <t>0167-7322</t>
  </si>
  <si>
    <t>1873-3166</t>
  </si>
  <si>
    <t>10.1016/j.molliq.2023.122236</t>
  </si>
  <si>
    <t>WOS:001018913300001</t>
  </si>
  <si>
    <t>Chu, BB; Xu, RY; Li, GX; Chen, JY; Xu, ZJ; Huang, T; Wang, B; Yu, AS</t>
  </si>
  <si>
    <t>Chu, Binbin; Xu, Ruoyu; Li, Guangxin; Chen, Jinyu; Xu, Zijian; Huang, Tao; Wang, Bo; Yu, Aishui</t>
  </si>
  <si>
    <t>Simultaneous B/W dual coating on ultra-high nickel single crystal cathode material for lithium-ion batteries</t>
  </si>
  <si>
    <t>The ultra-high nickel LiNixCoyMn1-x-yO2 (x &gt; 0.9) cathode material is a prime candidate for powering next -generation electric vehicles. However, its inherent structural instability and complicated interface side -reactions limit its commercialization. Here, the LiNi0.92Co0.04Mn0.04O2 single-crystal cathode material with an average particle size of 1.69 &amp; mu;m is prepared via a simple temperature fluctuation method combined with B and W surface modification. As-formed surface Li-B-O and Li2WO4 lithium ion conductors can successfully enhance the discharge capacity of single crystal LiNi0.92Co0.04Mn0.04O2 from 219.9 to 226.5 mAh g- 1 by facilitating lithium ion diffusion. At 4.5 V, the B and W surface modification significantly enhances the cycle retention from 71.8% to 87.1% at 1 C after 100 cycles due to the construction of a uniform boron-rich cathode/electrolyte interface (CEI) layer. The specific composition of the as-formed CEI film is clearly identified. The analysis results of B and W modifications show that the presence of boron-rich CEI and Li2WO4 coating layer protects the particles from electrolyte erosion under high voltage and enhances lithium-ion diffusion on the particle surface. Therefore, the chemical states of Ni within the particle for B-and W-modified samples are distributed more homogeneously after long cycling.</t>
  </si>
  <si>
    <t>Huang, Tao/IQU-9175-2023; Xu, Zijian/HHZ-7926-2022; Wang, Bo/LIG-5404-2024</t>
  </si>
  <si>
    <t>Wang, Bo/0000-0001-7189-1531;</t>
  </si>
  <si>
    <t>10.1016/j.jpowsour.2023.233260</t>
  </si>
  <si>
    <t>MAY 2023</t>
  </si>
  <si>
    <t>WOS:001011669200001</t>
  </si>
  <si>
    <t>Patrike, A; Karbhal, I; Wasnik, K; Torris, A; Maibam, A; Krishnamurty, S; Shelke, M</t>
  </si>
  <si>
    <t>Patrike, Apurva; Karbhal, Indrapal; Wasnik, Kundan; Torris, Arun; Maibam, Ashakiran; Krishnamurty, Sailaja; Shelke, Manjusha, V</t>
  </si>
  <si>
    <t>High rate, high temperature, dendrite free plating/stripping of Li in 3-dimensional honeycomb boron carbon nitride to realize an ultrastable lithium metal anode</t>
  </si>
  <si>
    <t>Lithium (Li) metal could be the anode of choice for energy dense Li-batteries owing to its high theoretical specific capacity. However, low coulombic efficiency and poor safety on account of the occurrence of the Li-dendrites during charging-discharging pose a bottleneck for practical applications. In this work, we report a high-rate plating and stripping of Li through host engineering to realize ultrastable Li metal anode (LMA). Benchmark plating/stripping efficiency could be achieved via uniquely structured, highly ordered honeycomb boron carbon nitride (HBCN) as a functional scaffold. Boron and nitrogen doping, large surface area and ordered mesoporous structure induce homogeneous solid electrolyte interface (SEI) layer formation and provide numerous nucleation sites with subsequent dendrite-free growth with 99.98 % coulombic efficiency at 8 mA cm(-2) high current and 10 mAh cm(-2) capacity over 3000 cycles. Via post-cycling advanced characterizations techniques of Ex-situ XPS, 3D X-ray micro-tomography analyses and FESEM, we demonstrate the formation of a stable SEI layer and morphological changes that occurred during Li plating cycles in the HBCN structure. Computational studies validate the high lithium plating-stripping efficacy of HBCN to its highly ordered porous nature, exothermic Li-binding and upshift in the Fermi levels. When tested at elevated temperature (50 degrees C), a stable Li plating-stripping in HBCN is realised at 4 mA cm(-2) current and 10 mAh cm(-2) capacity values with similar to 100 % C.E. Furthermore, we report the results of testing a Li metal cell comprised of Li deposited HBCN anode and LiFePO4 (LFP) cathode.</t>
  </si>
  <si>
    <t>Karbhal, Indrapal/KFC-0535-2024; Maibam, Ashakiran/NHP-7869-2025; Torris, Arun/I-7115-2013</t>
  </si>
  <si>
    <t>Maibam, Ashakiran/0000-0003-0168-5374;</t>
  </si>
  <si>
    <t>10.1016/j.est.2023.107547</t>
  </si>
  <si>
    <t>WOS:001010873700001</t>
  </si>
  <si>
    <t>Samadi, Z; Amjad-Iranagh, S; Rashidi, F; Choobar, BG; Modarress, H</t>
  </si>
  <si>
    <t>Samadi, Zeynab; Amjad-Iranagh, Sepideh; Rashidi, Fariborz; Choobar, Behnam Ghalami; Modarress, Hamid</t>
  </si>
  <si>
    <t>Chain length dependence of structural and transport properties of single lithium-ion conducting polymer electrolytes: A molecular dynamics simulation study</t>
  </si>
  <si>
    <t>In this work, the parameters affecting the performance of polymer electrolytes, for utilization in lithium-ion batteries (LiBs) are investigated. For this purpose, by using density functional theory (DFT) and molecular dynamics (MD) simulation, the structural and transport properties of single lithium-ion conducting polymer electrolytes (SLICPEs) based on boron ethylene glycol (BEG), as the anion, with the molecular structure of(BO-3 - (C2H4O)n - BO- ) are evaluated. The calculated structural properties, include density, glass transition temperature, and radial distribution function (RDF). The simulated transport properties are diffusion coefficient, transference number, and ionic conductivity. In the first step, the optimization of molecular structures is obtained by DFT calculations with B3LYP functional approximation and Mullikan partial charges for the polymer chain lengths of 1, 4, 8, and 15 monomers. Then, by using MD simulations and an ten-stages compressionexpansion procedure, the studied electrolyte systems are equilibrated. The results indicate that the transference numbers of these electrolytes are significantly higher than those of commonly used electrolytes based on polyethylene oxide (PEO). Inspection of the obtained results indicates that the diffusion and ionic conductivity coefficients are influenced by the interaction of Li+ with oxygen atoms in the polymer chain. Analysis of the transport properties of Li+ along the polymer chain structure reveals that the presence of a boron atom in the polymer chain backbone induces a significant non-uniform charge distribution along the polymer chain and as a result weakens the interaction between Li+ with an oxygen atom in the polymer chain. Therefore compared to the conventional electrolytes, Li+ can move more freely along the polymer chain, and as a result, the performance of LiBs is promoted significantly.</t>
  </si>
  <si>
    <t>Amjad-Iranagh, Sepideh/ABC-1354-2021</t>
  </si>
  <si>
    <t>10.1016/j.ssi.2023.116256</t>
  </si>
  <si>
    <t>WOS:001009403700001</t>
  </si>
  <si>
    <t>Pavcnik, T; Forero-Saboya, JD; Ponrouch, A; Robba, A; Dominko, R; Bitenc, J</t>
  </si>
  <si>
    <t>Pavcnik, Tjasa; Forero-Saboya, Juan D.; Ponrouch, Alexandre; Robba, Ana; Dominko, Robert; Bitenc, Jan</t>
  </si>
  <si>
    <t>A novel calcium fluorinated alkoxyaluminate salt as a next step towards Ca metal anode rechargeable batteries</t>
  </si>
  <si>
    <t>Ca metal anode rechargeable batteries are seen as a sustainable high-energy density and high-voltage alternative to the current Li-ion battery technology due to the low redox potential of Ca metal and abundance of Ca. Electrolytes are key enablers on the path towards next-generation battery systems. Within this work, we synthesize a new calcium tetrakis(hexafluoroisopropyloxy) aluminate salt, Ca[Al(hfip)(4)](2), and benchmark it versus the state-of-the-art boron analogue Ca[B(hfip)(4)](2). The newly developed aluminate-based electrolyte exhibits improved performance in terms of conductivity, Ca plating/stripping efficiency, and oxidative stability as well as Ca battery cell performance. A marked improvement of 0.5 V higher oxidative stability can pave the path towards high-voltage Ca batteries. A critical issue of solvent quality during salt synthesis is identified as well as solvent decomposition at the Ca metal/electrolyte interface, which leads to passivation of the Ca metal anode. However, the new aluminate salt with preferable electrochemical properties over the existing boron analogue opens up a new area for future Ca battery research based on aluminium compounds.</t>
  </si>
  <si>
    <t>; Forero-Saboya, Juan/GWQ-9803-2022; Dominko, Robert/K-6476-2019; Pavcnik, Tjasa/NBX-3166-2025; Ponrouch, Alexandre/IWD-4879-2023</t>
  </si>
  <si>
    <t>Ponrouch, Alexandre/0000-0002-8232-6324; Forero-Saboya, Juan/0000-0002-3403-6066; Bitenc, Jan/0000-0002-0109-8121; Dominko, Robert/0000-0002-6673-4459;</t>
  </si>
  <si>
    <t>JUL 11</t>
  </si>
  <si>
    <t>10.1039/d3ta02084c</t>
  </si>
  <si>
    <t>WOS:001014464000001</t>
  </si>
  <si>
    <t>Lei, HL; Peng, M; Liu, J; Zhang, JL; Li, W</t>
  </si>
  <si>
    <t>Lei, Hailin; Peng, Mao; Liu, Jing; Zhang, Jinli; Li, Wei</t>
  </si>
  <si>
    <t>Boron &amp; nitrogen synergistically enhance the performance of LiNi0.6Co0.1Mn0.3O2</t>
  </si>
  <si>
    <t>Nickel-rich ternary material faces up with the performance degradation problem associated with its poor structural stability and interfacial side reactions with the electrolyte. Herein, boron and nitrogen co-modified LiNi0.6Co0.1Mn0.3O2 material was synthesized, aiming at studying the effect on the crystal struc-ture, electronic conductivity and the electrochemical performance. It is interesting to find out that the rate performance and the cycle stability of the B&amp;N co-modified materials are greatly associated with the ratio of B/N. The optimal sample NCM/B4N4 has initial specific discharge capacity 198.4 mAh g-1, the retention of 81.3% after 200 cycles (1 C) as well as the electronic conductivity of 5.00 x 10-4 S/cm, against the pristine NCM (194.0 mAh g-1, 56.7%, 1.22 x10-4 S/cm). Moreover, the discharge capacity of the modified sample is improved obviously at high rate (5 C). TEM and XPS show that boron and nitrogen were successfully doped into the surface of the materials. Compared the PXRD patterns after 300 cycles and in situ XRD tests, it is found that the boron and nitrogen co-modification can inhibit the irreversible phase transition. DFT cal-culations disclose that Li layer thickness of the B&amp;N co-doped sample is larger than that in individual B doped sample and the pristine material. GITT test confirms the higher lithium ions diffusion rate of NCM/ B4N4. This work suggests that Nitrogen-doping can improve the electronic conductivity of Boron-doped material, consequently facilitating the Li ion diffusion of nickel-rich cathode materials.(c) 2023 Elsevier B.V. All rights reserved.</t>
  </si>
  <si>
    <t>Jing, LIU/JCP-2850-2023; Li, Wei/ABD-9290-2021</t>
  </si>
  <si>
    <t>Peng, Mao/0000-0002-8873-6295;</t>
  </si>
  <si>
    <t>10.1016/j.jallcom.2023.170522</t>
  </si>
  <si>
    <t>WOS:000998322100001</t>
  </si>
  <si>
    <t>Yang, C; Yin, HS; Lou, Q; Cheng, Z; Bai, YG; Su, YN; Li, X; Zhao, B; Xia, MG; Han, XG</t>
  </si>
  <si>
    <t>Yang, Chao; Yin, Haosen; Lou, Qi; Cheng, Zhi; Bai, Yuge; Su, Yining; Li, Xin; Zhao, Bin; Xia, Minggang; Han, Xiaogang</t>
  </si>
  <si>
    <t>Ultrafast microwave heated form-stable thermal package providing operating temperature for PEO all-solid-state batteries</t>
  </si>
  <si>
    <t>All-solid-state batteries (ASSBs) have been regarded as satisfying future energy storage devices owing to the advantages of notably high energy density and outstanding safety. However, their attainable energy density, especially in poly(ethylene oxide) (PEO)-based ASSBs, is limited by low operating ambient temperature due to sluggish lithium-ion transport of solid electrolyte. Herein, a functional anti-leakage skeleton (alumina ceramic and boron nitride) with efficient graphene-modified phase change material (GPCM) and microwave thermal energy storage system is proposed for providing the operating temperature of ASSBs. The composite, prepared by alumina ceramic fiber, boron nitride, and GPCM, presenting excellent thermal properties such as great enhancement of thermal conductivity (64.6%) and low enthalpy loss (11.27%). The superior thermal effect is confirmed by experiments and simulations of microwave absorption. Through microwave irradiating the ASSBs wrapped with the composite, ASSBs can realize cold-starting in 1 min from room temperature in a fast, safe and low-power heating pathway. Significantly, the combination of multi-scale characteristics in graphene increases the thermal energy generated by the composite during microwave processing. Furthermore, the composite material (GPBC), used as portable auxiliary heating equipment, enables the ASSB to exhibit 92% capacity of those ASSBs placed in 55 degrees C ovens at 1C. This work provides a distinctive route to achieve efficient and extensive applications of ASSBs through external preheating.</t>
  </si>
  <si>
    <t>Han, Xiaogang/AFZ-6979-2022; SU, yi/NQF-5063-2025; Li, Xin/KIE-1565-2024</t>
  </si>
  <si>
    <t>Xin, Li/0000-0003-0661-6212;</t>
  </si>
  <si>
    <t>10.1016/j.ensm.2023.102814</t>
  </si>
  <si>
    <t>WOS:000999182100001</t>
  </si>
  <si>
    <t>Zhou, XZ; Chen, XM; Yang, Z; Liu, XH; Hao, ZQ; Jin, S; Zhang, LH; Wang, R; Zhang, CF; Li, L; Tan, X; Chou, SL</t>
  </si>
  <si>
    <t>Zhou, Xunzhu; Chen, Xiaomin; Yang, Zhuo; Liu, Xiaohao; Hao, Zhiqiang; Jin, Song; Zhang, Longhai; Wang, Rui; Zhang, Chaofeng; Li, Lin; Tan, Xin; Chou, Shu-Lei</t>
  </si>
  <si>
    <t>Anion Receptor Weakens ClO4- Solvation for High-Temperature Sodium-Ion Batteries</t>
  </si>
  <si>
    <t>Sodium-ion batteries (SIBs) with wide operating temperature are regarded as promising candidates for large-scale energy storage systems. However, SIBs operating under elevated temperature aggravate the electrolyte decomposition with unstable cathode-electrolyte interphase (CEI), causing a rapid capacity degradation. Herein, anion receptor tris(pentafluorophenyl)borane (TPFPB) is selected as electrolyte additive to construct robust NaF-rich CEI. The strong interactions between anion and TPFPB via the electron-deficient boron atoms weaken ClO4- solvation and promote the coordination capability between solvents and Na+ cations, demonstrating greatly improved oxidative stability. Na3V2(PO4)(3) cathode in TPFPB-containing electrolyte delivers long-term stability with a capacity retention of 86.9% after 100 cycles at a high cut-off voltage of 4.2 V (vs. Na+/Na) and a high temperature of 60 degrees C. Besides, TPFPB also works well with enhanced performance over a temperature range from -30 to 60 degrees C. This study proposes a prospective method by manipulating the solvation chemistry for constructing high-temperature rechargeable SIBs.</t>
  </si>
  <si>
    <t>wang, rui/LJL-7769-2024; yang, zhuo/JPK-3133-2023; zhou, xunzhu/GNO-9884-2022; Zhang, Chaofeng/NYS-2516-2025; Li, Lin/ABB-2902-2021; zhang, longhai/AAR-3886-2021; Chen, Xiaomin/Z-2734-2019; Liu, Xiaohao/GRS-1357-2022; Hao, Zhiqiang/AAU-5809-2021; Tan, Xin/HJA-4548-2022; Chou, Shulei/D-9895-2011; Zhang, Chaofeng/AAR-3873-2021</t>
  </si>
  <si>
    <t>Li, Lin/0000-0002-4342-6816; Zhang, Chaofeng/0000-0001-6188-6886</t>
  </si>
  <si>
    <t>10.1002/adfm.202302281</t>
  </si>
  <si>
    <t>WOS:000989586200001</t>
  </si>
  <si>
    <t>Chen, H; Chen, YC; Liu, HW; Chang, SJ; Liao, CH; Parthasarathi, SK; Bolloju, S; Weng, YT; Lee, JF; Chen, JM; Sheu, HS; Pao, CW; Wu, NL</t>
  </si>
  <si>
    <t>Chen, Hsi; Chen, Yan-Cheng; Liu, Hao-Wen; Chang, Shu-Jui; Liao, Cheng-Hung; Parthasarathi, Senthil-Kumar; Bolloju, Satish; Weng, Yu-Ting; Lee, Jyh-Fu; Chen, Jin-Ming; Sheu, Hwo-Shuenn; Pao, Chih-Wen; Wu, Nae-Lih</t>
  </si>
  <si>
    <t>A boron-nitride based dispersive composite coating on nickel-rich layered cathodes for enhanced cycle stability and safety</t>
  </si>
  <si>
    <t>While Ni-rich cathodes have been widely adopted in high-energy lithium-ion batteries, there remains room for improvement regarding their cycle stability and safety. Herein, hexagonal boron nitride (h-BN) is demonstrated, for the first time, to be an effective surface modification additive for Ni-rich cathodes. The h-BN coated Ni-rich cathode, prepared via a rapid low-temperature post-calcination process, shows markedly improved cycle stability and safety with only a trace amount of h-BN being added (1 wt% relative to the cathode oxide). Systematic synchrotron post-mortem and operando X-ray analyses reveal that the improvements could be attributed to the anion-trapping ability of the B atoms in h-BN, which mitigates surface Ni-ion reduction and carbonate accumulation caused by electrolyte corrosion during both cycling and thermal runaway. Furthermore, the high thermal conductivity of h-BN contributes to efficient heat dissipation during the early stages of thermal runaway and therefore delays the onset temperature. This work identifies h-BN as well as the concept of anion-trapping as promising strategies for enhancing the cycle life and safety of Ni-rich cathodes and presents an industrially facile method to accomplish such applications.</t>
  </si>
  <si>
    <t>Chen, Hsi/KFR-0647-2024; Bolloju, Satish/AAI-4205-2021</t>
  </si>
  <si>
    <t>Bolloju, Satish/0000-0002-4437-8879; Chen, Hsi/0009-0006-0753-4234</t>
  </si>
  <si>
    <t>JUN 27</t>
  </si>
  <si>
    <t>10.1039/d3ta01500a</t>
  </si>
  <si>
    <t>WOS:000999647800001</t>
  </si>
  <si>
    <t>Ma, LL; Tan, J; Wang, Y; Liu, Z; Yang, YF; Gray, T; Zhang, X; Ye, MX; Shen, JF</t>
  </si>
  <si>
    <t>Ma, Longli; Tan, Jian; Wang, Yuan; Liu, Zhu; Yang, Yifan; Gray, Tia; Zhang, Xiang; Ye, Mingxin; Shen, Jianfeng</t>
  </si>
  <si>
    <t>Boron-Based High-Performance Lithium Batteries: Recent Progress, Challenges, and Perspectives</t>
  </si>
  <si>
    <t>With the development of energy storage technology, the demand for high energy density and high security batteries is increasing, making the research of lithium battery (LB) technology an extremely important pursuit. However, the poor structural stability of electrode materials, high interfacial impedance between electrolyte and electrode, and the growth of lithium dendrites have seriously hindered the commercialization of LBs. Recently, due to their unique electronic structures and hybrid forms, boron-based materials have been widely used in different LB components, such as electrodes, electrolytes, separators, additives, and binders, to resolve these problems. Here, a basic understanding of boron and boron-based materials is first introduced. Subsequently, the recent research progress on the application of boron in each component of the LB is summarized, aiming to understand the hybrid forms of boron and their potential for use in LB materials. Finally, some new strategies and perspectives on the application of boron in LB materials are proposed. Here, the aim is to provide a clear insight on the study of boron in energy storage materials and contribute to the promotion of further research in this area.</t>
  </si>
  <si>
    <t>Yang, Yi-Fang/HSH-0926-2023</t>
  </si>
  <si>
    <t>10.1002/aenm.202300042</t>
  </si>
  <si>
    <t>WOS:000985774500001</t>
  </si>
  <si>
    <t>Yang, JW; Cao, CC; Qiao, W; Qiao, JX; Tang, CC; Xue, YM</t>
  </si>
  <si>
    <t>Yang, Jingwen; Cao, Chaochao; Qiao, Wei; Qiao, Jiaxiao; Tang, Chengchun; Xue, Yanming</t>
  </si>
  <si>
    <t>B/N co-doping rGO/BNNSs heterostructure with synergistic adsorption-electrocatalysis function enabling enhanced electrochemical performance of lithium-sulfur batteries</t>
  </si>
  <si>
    <t>The practical applications of lithium-sulfur (Li-S) batteries are obstructed by low sulfur utilization and poor cycling stability caused by notorious shuttle effect of soluble lithium polysulfide (LiPSs) and sluggish redox reaction kinetics. Herein, a creative B/N co-doping reduced graphene oxide/boron nitride nanosheets (B/N co -doping rGO/BNNSs) heterostructure prepared by a facile in-situ pyrolysis reaction strategy, is rationally designed as a multifunctional coating for high-performance Li-S batteries. The modified separator with B/N co-doping rGO/BNNSs displays excellent flexibility, thermal conductivity and electrolyte wettability. The superior shielding effect to LiPSs provided by the high density of B-N, B-C and C-N polar bonds and hierarchical pore structures, not only enhance the utilization of sulfur but also prevent the Li-anode from corrosion by LiPSs. Meanwhile, the improved electrochemical kinetics resulting from B/N co-doping sites and rGO/BNNSs hetero -structure, effectively promote Li-ions diffusion and catalyze the redox kinetics of Li2S and LiPSs. Encouraged by the synergistic effect, the Li-S battery with B/N co-doping rGO/BNNSs coating shows a reversible capacity of 966.6 mAh g-1 at 1C. Upon increased current density of 4C, a desirable initial discharge capacity of 741.5 mAh g- 1can be acquired with ultralow capacity decay of 0.015% per cycle after 500 cycles. Even under high sulfur areal loading configuration, the cell still has remarkable cycling stability. The fundamental explorations on inhibiting LiPSs shuttle and promoting various sulfur species conversion demonstrate the great potential of B/N co-doping rGO/BNNSs in practical Li-S batteries.</t>
  </si>
  <si>
    <t>Xue, Yanming/G-5603-2018; Yang, Jingwen/LXB-2921-2024</t>
  </si>
  <si>
    <t>Xue, Yanming/0000-0003-1061-229X;</t>
  </si>
  <si>
    <t>10.1016/j.cej.2023.143377</t>
  </si>
  <si>
    <t>WOS:001006441400001</t>
  </si>
  <si>
    <t>Huo, HB; Radhakrishnan, S; Shaw, LL; Nemeth, K</t>
  </si>
  <si>
    <t>Huo, Haobin; Radhakrishnan, Sivaviswa; Shaw, Leon L.; Nemeth, Karoly</t>
  </si>
  <si>
    <t>High-Energy and High-Power Primary Li-CFx Batteries Enabled by the Combined Effects of the Binder and the Electrolyte</t>
  </si>
  <si>
    <t>Several effective methods have been developed recently to demonstrate simultaneous high energy and high power density in Lithium - carbon fluoride (Li-CFx) batteries. These methods can achieve as high as a 1000 Wh/kg energy density at a 60-70 kW/kg power density (40-50 C rate) in coin cells and a 750 Wh/kg energy density at a 12.5 kW/kg power density (20 C rate) in pouch cells. This performance is made possible by an ingenious nano-architecture design, controlled porosity, boron doping, and electrolyte additives. In the present study, we show that a similarly great performance, a 931 Wh/kg energy density at a 59 kW/kg power density, can be achieved by using a polyacrylonitrile binder and a LiBF4 electrolyte in Li-graphite fluoride coin cells. We also demonstrate that the observed effect is the result of the right combination of the binder and the electrolyte. We propose that the mechanistic origin of the observed phenomena is an electro-catalytic effect of the polyacrylonitrile binder. While our proposed method has a competitive performance, it also offers a simple implementation and a scalable production of high-energy and high-power primary Li-CF(x )cells.</t>
  </si>
  <si>
    <t>; Nemeth, Karoly/V-7614-2017; Shaw, Leon/AAF-7168-2021</t>
  </si>
  <si>
    <t>, Leon/0000-0002-2170-1573; Nemeth, Karoly/0000-0001-8366-1397</t>
  </si>
  <si>
    <t>MAY 12</t>
  </si>
  <si>
    <t>10.3390/batteries9050268</t>
  </si>
  <si>
    <t>WOS:000995607000001</t>
  </si>
  <si>
    <t>Sungur, B; Kizil, Ç; Bayram, E</t>
  </si>
  <si>
    <t>Sungur, Berkay; Kizil, Cagdas; Bayram, Edip</t>
  </si>
  <si>
    <t>Scalable synthesis of nitrogen and nitrogen-silicon co-doped graphene: SiC4 and SiN1C3 as new active centers for boosting ORR performance</t>
  </si>
  <si>
    <t>INTERNATIONAL JOURNAL OF HYDROGEN ENERGY</t>
  </si>
  <si>
    <t>Innovations in energy storage and conversion technologies are closely dependent on developing superior materials that can be used in this field. Here, we present an indus-trially scalable and low-cost solvothermal method for synthesizing Si-N-co-doped (Si-N-GN) and N-doped graphene (N-GN) with a high specific surface area of 523 m2 g-1 and 1289 m2 g-1, respectively. Silicon atoms were successfully incorporated into the 2D gra-phene at a doping rate of 2.28 at.% via Si-C, Si-N, and Si-O bonds, thanks to the decar-bonylation of N,N-dimethyl formamide (DMF) into dimethylamine and highly reactive carbonyl at the solvothermal conditions. The Si-N-GN exhibited an average electron transfer number of 3.83 e- per mole of O2 in a wide potential range with similar on-set potential (0.988 V vs. 1.012 V), greater methanol tolerance capability, and higher diffu-sion limiting current density (7.2 vs. 6.5 mA cm-2 at 0.4 V) for oxygen reduction reaction (ORR) in alkaline electrolytes compared to the commercial Pt/C catalyst. The improved ORR performance of Si-N-GN was attributed to the effectively decreased adsorption energy of O2 on SiC4 and SiN1C3 type bondings supported by the density functional theory (DFT) cal-culations based on the model created according to the XPS results. The promising electrocatalytic activity of Si-N-GN for ORR could also be enlarged to other electrochemical applications, including metal-air batteries.(c) 2023 Hydrogen Energy Publications LLC. Published by Elsevier Ltd. All rights reserved.</t>
  </si>
  <si>
    <t>BAYRAM, Edip/C-1917-2016; Sungur, Berkay/IAQ-7722-2023</t>
  </si>
  <si>
    <t>Bayram, Edip/0000-0001-9800-7451; Sungur, Berkay/0000-0002-5567-0146</t>
  </si>
  <si>
    <t>0360-3199</t>
  </si>
  <si>
    <t>1879-3487</t>
  </si>
  <si>
    <t>MAY 29</t>
  </si>
  <si>
    <t>10.1016/j.ijhydene.2023.01.264</t>
  </si>
  <si>
    <t>WOS:001004564100001</t>
  </si>
  <si>
    <t>Sun, ZY; Li, FK; Ding, JY; Lin, ZY; Xu, MQ; Zhu, M; Liu, J</t>
  </si>
  <si>
    <t>Sun, Zhaoyu; Li, Fangkun; Ding, Jieying; Lin, Zhiye; Xu, Mengqing; Zhu, Min; Liu, Jun</t>
  </si>
  <si>
    <t>High-Voltage and High-Temperature LiCoO2 Operation via the Electrolyte Additive of Electron-Defect Boron Compounds</t>
  </si>
  <si>
    <t>Commercial LIBs have the problem of instability interface of electrolyte/cathode at high voltage and high temperature. This work reports a novel series of electron-defect boron compounds to construct stable interfaces of LCO/electrolyte. The results of theoretical calculation indicate that compounds of DPD scaffold can win in the competitive oxidation decomposition for interface regulation. F-rich and B-rich interface is designed by modifying the functional group of DPD scaffold. This strategy of in situ interface design successfully suppresses the dissolution of harmful transition metal ions and the nucleophilic reaction between electrolyte and cathode. Li/ LCO cell can remain stable at high voltage (4.5 V) and high temperature (70 degrees C) in commercial carbonate electrolyte after DPD-F interphase formation. Meanwhile, faster Li+ extraction and insertion kinetics of DPD-F-interface make the Li/LCO cell stable at 4.6 V. Spectral characterizations and theoretical calculations uncover the secret of the forming process of this DPD-F-interface.</t>
  </si>
  <si>
    <t>Liu, Jun/K-4045-2015; Li, Fangkun/MVV-5360-2025; Ding, Jieying/GVR-7996-2022; Zhu, Min/JPK-2887-2023</t>
  </si>
  <si>
    <t>Liu, Jun/0000-0002-7078-8046; Li, Fangkun/0009-0006-1204-7393;</t>
  </si>
  <si>
    <t>MAY 4</t>
  </si>
  <si>
    <t>10.1021/acsenergylett.3c00324</t>
  </si>
  <si>
    <t>WOS:000984402200001</t>
  </si>
  <si>
    <t>Yu, LP; Xu, LY; Shearer, C; Zhou, XH; Lu, L</t>
  </si>
  <si>
    <t>Yu, LePing; Xu, Lyu; Shearer, Cameron; Zhou, XiaoHong; Lu, Lu</t>
  </si>
  <si>
    <t>Solutions to the Challenges of Lithium-Sulfur Batteries by Carbon Nanotubes</t>
  </si>
  <si>
    <t>ADVANCED SUSTAINABLE SYSTEMS</t>
  </si>
  <si>
    <t>The continuously increasing demands for energy storage devices for portable electronics and electric vehicles have aroused massive research interest in developing lithium-sulfur batteries (LSBs) with high energy density and long-term stability. Carbon nanotubes (CNTs), possessing numerous superior properties, are integrated into various components of LSBs for performance improvement. Nevertheless, a systematic and insightful issue-based study of their inherent roles in addressing the practical challenges of LSBs is lacking. There is a growing consensus that CNTs do not directly contribute to the specific capacity (i.e., being involved in the redox reactions with electron loss/gain), while their auxiliary roles, such as providing a conductive and mechanically reinforced framework for active materials, are of prime significance in regulating the electrochemical reaction, charge transport, and mass transfer in the system. In this paper, after briefly introducing the working principles of LSBs and the promising applicability of CNTs, current challenges in various components of LSBs are discussed with the corresponding CNT-based solutions, followed by an evaluation of the potential for commercializing CNT-involved LSBs. Finally, some future research directions are provided to improve the device performance further.</t>
  </si>
  <si>
    <t>Shearer, Cameron/F-7265-2014</t>
  </si>
  <si>
    <t>Shearer, Cameron/0000-0002-8192-3696</t>
  </si>
  <si>
    <t>2366-7486</t>
  </si>
  <si>
    <t>10.1002/adsu.202300061</t>
  </si>
  <si>
    <t>APR 2023</t>
  </si>
  <si>
    <t>WOS:000976998500001</t>
  </si>
  <si>
    <t>Ji, JW; Duan, HL; Zhou, Z; Liu, CZ; Wang, D; Yan, S; Yang, SB; Bai, WJ; Xue, YM; Tang, CC</t>
  </si>
  <si>
    <t>Ji, Jiawei; Duan, Hongliang; Zhou, Zheng; Liu, Chaoze; Wang, Dong; Yan, Song; Yang, Shaobo; Bai, Wenjuan; Xue, Yanming; Tang, Chengchun</t>
  </si>
  <si>
    <t>Highly dispersed and functionalized boron nitride nanosheets contribute to ultra-stable long-life all-solid-state batteries</t>
  </si>
  <si>
    <t>Composite polymer electrolytes (CPEs) are considered the most promising all-solid-state battery (ASSB) electrolytes. However, they are limited by their low ionic conductivity and poor stability with Li metal. Herein, highly dispersed and surface-functionalized active boron nitride nanosheets (BNNSs) were prepared using the boric acid assisted ball milling method, and only a small amount of addition (3%) could significantly improve the physical and electrochemical properties of CPEs. The uniform dispersion of BNNSs forms fast lithium-ion transport pathways, significantly improving the ionic conductivity (6.7 x 10(-6) S cm(-1) at 30 degrees C, 2.77 x 10(-4) S cm(-1) at 50 degrees C). The excellent thermal conductivity of BNNSs avoids the space-charge region accumulation caused by the agglomeration of inorganic fillers, weakens the growth of lithium dendrites, enhances the interface stability, and optimizes the thermal management of the batteries. In addition, improving mechanical properties reduces the risk of short circuits and extends the service life. The LFP/CPE-BNNS/Li battery was optimized by systematically increasing Li+ diffusion, widening the electrochemical stability window, and enhancing interface stability and delivers excellent rate performance (88.7 mA h g(-1) at a rate of 2.0C) and perfect cycle stability (160.1 mA h g(-1) after 200 cycles at 0.5C and 60 degrees C with a capacity degradation rate of 0.009% per cycle). Therefore, the CPE-BNNSs created by us would open a new avenue to improve the performance of ASSBs.</t>
  </si>
  <si>
    <t>10.1039/d3ta01252b</t>
  </si>
  <si>
    <t>WOS:000984893600001</t>
  </si>
  <si>
    <t>Zhai, K; Li, XN; Fu, CJ; Long, HY; Huang, HB; Liu, CL; Xie, ML; Ma, D; Luo, SH</t>
  </si>
  <si>
    <t>Zhai, Kun; Li, Xian-ning; Fu, Chuan-jun; Long, Hai-yang; Huang, Hong-bo; Liu, Cai-ling; Xie, Mei-lan; Ma, Dui; Luo, Shao-hua</t>
  </si>
  <si>
    <t>Trace boron-doped porous carbon with a suitable amount of defects as anode for enhanced long-life potassium storage performance</t>
  </si>
  <si>
    <t>Heteroatom doping is one of the common methods to modify structural defects and improve the electrochemical properties of carbonaceous material. A boron-doped three-dimensional porous carbon (BC) material with defective structure was successfully prepared by a simple template and solid-phase method. Compared with pure carbon material, BC materials show superior anode electrochemistry for potassium-ion batteries (PIBs). Exper-imental evidence shows that the doping concentration of boron atoms affects the electrochemistry performance of the electrode material. The first charge-specific capacities were 231, 289, 445, and 325 mAh g-1 at 100 mA g-1 when the boron concentration was 0, 0.3, 0.4, and 0.5 at.%. As the current density came back to 200 mA g- the capacity immediately recovered to 182, 222, 361, and 246 mAh g-1. When the boron doping concentration was 0.4 at.%, this sample had a high reversible capacity of 283 mAh g-1 after 1000 cycles, and the coulomb efficiency approached 100 %. The interconnected porous structure provides channels for the penetration of the electrolyte and the transport of potassium ions. The stencil method gives the carbon material a large specific surface area and porous properties, and the boron doping introduces defects and active sites. The synergistic effect of these two results in an increased contribution to the capacitance control of the BC material. The cyclic stability of the BC material for high rate performance is further improved. So BC materials exhibit excellent capacity, cycle and rate performance in PIBs.</t>
  </si>
  <si>
    <t>10.1016/j.diamond.2023.109969</t>
  </si>
  <si>
    <t>WOS:000989441500001</t>
  </si>
  <si>
    <t>Kim, Y; Kim, H; Shin, W; Jo, E; Manthiram, A</t>
  </si>
  <si>
    <t>Kim, Youngjin; Kim, Hanseul; Shin, Woochul; Jo, Eunmi; Manthiram, Arumugam</t>
  </si>
  <si>
    <t>Insights into the Microstructural Engineering of Cobalt-Free, High-Nickel Cathodes Based on Surface Energy for Lithium-Ion Batteries</t>
  </si>
  <si>
    <t>In order to reduce cost and increase energy density, it is critical to eliminate cobalt and increase nickel content in practical LiNi1-x-yMnxCoyO2 (NMC) and LiNi1-x-yCoxAlyO2 (NCA) cathodes. However, the implementation of cobalt-free, high-nickel layered oxide cathodes in lithium-ion batteries (LIBs) is hindered by the inherent issue of high surface reactivity with the electrolyte and microcrack formation during cycling. Herein, the origin of key parameters for microstructural engineering in cobalt-free LiNiO2 (LNO) is comprehensively investigated with two representative dopants, B and Al. A notable difference in the segregation energy between B and Al results in different morphologies of LNO particles. The low solubility of B into the host structure leads to a surface-confined distribution of B, inhibiting the growth of primary particles, whereas the highly soluble Al facilitates primary particle growth. Recognition of this key parameter can help improve the cycle life of cobalt-free LIBs via microstructural engineering by increasing the aspect ratio inside the cathode particle. It is demonstrated that boron-doping in LNO (B-LNO) is the most effective dopant strategy for microstructural engineering of the primary particles. The B-LNO exhibits an excellent capacity retention of 81% in full cells after 300 cycles compared to both LNO and Al-doped LNO (Al-LNO).</t>
  </si>
  <si>
    <t>Kim, Youngjin/AFL-6591-2022; Manthiram, Arumugam/AAO-3331-2020</t>
  </si>
  <si>
    <t>Manthiram, Arumugam/0000-0003-0237-9563; Kim, Youngjin/0000-0003-3985-9931</t>
  </si>
  <si>
    <t>10.1002/aenm.202204054</t>
  </si>
  <si>
    <t>WOS:000974673200001</t>
  </si>
  <si>
    <t>Reddy, BS; Ahn, HJ; Ahn, JH; Cho, GB; Cho, KK</t>
  </si>
  <si>
    <t>Reddy, B. S.; Ahn, Hyo-Jun; Ahn, Jou-Hyeon; Cho, Gyu-Bong; Cho, Kwon-Koo</t>
  </si>
  <si>
    <t>Cost-effective water-soluble three-dimensional cross-linked polymeric binder for high-performance lithium-sulfur batteries</t>
  </si>
  <si>
    <t>In lithium-sulfur (Li-S) batteries, the feasible sulfur-cathode applications are limited mainly by the rapid ca-pacity loss and poor cycle life of the cathodes because of the considerable volumetric expansion, sulfur insu -lation, and polysulfide formation. To solve these problems, a water-soluble three-dimensional (3D) binder network was developed using organic poly(vinyl alcohol) (PVA) crosslinked with a boric acid (BA). Different BA concentrations (0, 0.035, 0.07, and 0.105 M) were used to compare the Li-S battery performances. The PVA-BA0.07 binder exhibited a higher strength at breakage (31 MPa) than the PVA-BA0, PVA-BA0.035, and PVA-BA0.105 binders (12, 17.5, and 19.1 MPa, respectively). To prepare the acetylene-carbon black (AB)/sulfur (S) composite (ABS), elemental S was added to acetylene-carbon black (AB) using heat diffusion. The prepared 3D-crosslinked polymeric binder effectively reduced the volumetric expansion and lithium polysulfide formation during cycling. Moreover, the boron (B), which is electron deficient, freely accepted electrons during cycling and, thus, helped form an effective solid electrolyte interface layer. The obtained lithium borate species considerably suppressed the interfacial side reactions and increased the initial coulombic efficiency. The PVA-BA0.07 binder with ABS electrode exhibited an outstanding cycling performance at a high sulfur loading. After 300 charge/ discharge cycles at 0.2 C-rate, the PVA-BA0.07 containing electrode exhibited a high discharge capacity and sulfur loading of 946.8 mAh/g and up to 3.5 mg/cm2, respectively. The study findings will enable the devel-opment of high-performance Li-S batteries using cost-effective water-soluble 3D-crosslinked polymeric binders.</t>
  </si>
  <si>
    <t>N. S., Reddy/G-8286-2012</t>
  </si>
  <si>
    <t>Cho, Gyu-bong/0000-0001-9103-1491</t>
  </si>
  <si>
    <t>10.1016/j.est.2023.107400</t>
  </si>
  <si>
    <t>WOS:000985242800001</t>
  </si>
  <si>
    <t>Zhu, DW; Xu, JT; Ding, K; Xu, QJ; Shi, PH; Min, YL</t>
  </si>
  <si>
    <t>Zhu, Dawei; Xu, Jinting; Ding, Kun; Xu, Qunjie; Shi, PengHui; Min, YuLin</t>
  </si>
  <si>
    <t>Boron-Doped Electrolytes as Interfacial Modifiers for High-Rate Stable Lithium Metal Batteries</t>
  </si>
  <si>
    <t>In this article BF3 etching is applied to fabricate basic SEI (B-SEI) layers enriched with LiF and LixBFy. Artificial solid electrolyte interface (A-SEI) with a stromatolite structure is formed on top of the B-SEI growth during the charge-discharge cycles. The structure of A-SEI is characterized laterally and longitudinally by distribution of TEM elements and depth-profile XPS, providing evidence for the elucidation of a new lattice-tuning Li+ layered deposition-type SEI structure. At the same time, the SEI is kept from electrolyte erosion fracturing during deposition, resulting in the growth of dendrites along the fracture and significantly enhanced cycling stability under high-rate cycling conditions. In particular, A-SEI endows significantly enhanced cycling capability to the full battery at high cycling rate and high current density. The full cell of A-SEI@Li||LiPF6||LFP exhibits an extended lifetime after 2000 cycles at current densities up to 10 C, and still process a CE above 99.0%.</t>
  </si>
  <si>
    <t>xu, jia/GSD-6347-2022; zhu, dawei/HIK-0564-2022; DING, KUN/HNJ-1709-2023</t>
  </si>
  <si>
    <t>yulin min, yulin min/0000-0001-7192-4890</t>
  </si>
  <si>
    <t>10.1002/adfm.202213822</t>
  </si>
  <si>
    <t>WOS:000971815300001</t>
  </si>
  <si>
    <t>Wu, MX; Li, J; Liu, ZY; Liu, HZ; Wang, GD; Ma, JF</t>
  </si>
  <si>
    <t>Wu, Mengxue; Li, Jing; Liu, Ziyi; Liu, Huize; Wang, Guandong; Ma, Jinfu</t>
  </si>
  <si>
    <t>Boron doped partially wrapped hierarchical porous carbon materials towards oxygen reduction reaction</t>
  </si>
  <si>
    <t>Heteroatom-doped metal-free materials have been widely investigated as promising oxygen reduction electro-catalysts because of their cheapness, high activity and environmental friendliness. Herein, a convenient strat-egy to exploit the volatility of zinc-based MOF (ZIF-8) is cleverly presented in this work, and then ZIF-8 is successfully wrapped with melamine and boric acid as a template to form highly B and N doped metal-free par-tially wrapped hierarchical porous carbon materials (BN/MPC). The developed BN/MPC catalyst has good cat-alytic activity for ORR in alkaline electrolytes (Eonset= 0.96 V vs. RHE, E1/2 = 0.78 V vs. RHE) and outstanding long-term stability (retain = 95.7 %). Delightfully, the extraordinary performance is attributed to the struc-tural and compositional features of BN/MPC, including large surface area (937.7 m2 g-1), hierarchical porous structure, B and N co-doping. The electron spin resonance (ESR) can confirm the electron-deficient nature of element B in BN/MPC, proper binding to OH* which in turn facilitates the adsorption of O2 and improves the ORR performance. The as-prepared BN/MPC cathode catalysts exhibits a power density of 105.4 mW cm-2 and a specific capacity of 770 mAh gZn-1 after forming a zinc-air batteries.</t>
  </si>
  <si>
    <t>; ma, jinfu/N-2412-2016; Ziyi, Liu/IZE-3373-2023</t>
  </si>
  <si>
    <t>Liu, Huize/0009-0004-9408-0052; Wang, Guandong/0009-0008-4006-7900; Ma, Jinfu/0000-0002-9087-7054</t>
  </si>
  <si>
    <t>10.1016/j.jelechem.2023.117456</t>
  </si>
  <si>
    <t>WOS:000983584600001</t>
  </si>
  <si>
    <t>Shakel, Z; Loureiro, FJA; Melo, BMG; Pukazhselvan, D; Mikhalev, SM; Shaula, AL; Fagg, DP</t>
  </si>
  <si>
    <t>Shakel, Zinaida; Loureiro, Francisco J. A.; Melo, B. M. G.; Pukazhselvan, D.; Mikhalev, Sergey M.; Shaula, Aliaksandr L.; Fagg, Duncan P.</t>
  </si>
  <si>
    <t>Investigating the grain boundary features of lithium titanium phosphate as an electrolyte for all-solid-state lithium-ion batteries and their optimization by boron doping</t>
  </si>
  <si>
    <t>This work reports a detailed analysis of the grain boundary electrochemical properties of lithium titanium phosphate for application in all-solid-state lithium-ion batteries and their improvement by boron addition, Li1+xTi2_xBx(PO4)3 (x = 0, 0.2). The results demonstrate that highly resistive grain boundaries exist in the undoped material, which preclude its ability to attain a high overall Li-ion conductivity. Conversely, boron addition provides a significant improvement of both bulk and grain boundary conductivities, resulting from the Li-enrichment associated with charge compensation for the boron doping. A detailed analysis using the brick layer model and a space charge analysis reveals a lower depletion of Li+ species at the space charge layers of the grain boundaries of the boron-doped sample, which allow a higher intrinsic grain boundary conductivity to be offered by this material. This factor permits a much higher overall conductivity to be attained in the boron-containing sample, despite a finer microstructure. Overall, this work provides new insights regarding the elec-trochemical nature of the grain boundary of NASICON-based solid-state Li-electrolytes, underscoring the effec-tiveness of composition-driven grain boundary engineering for performance improvement; a factor that is currently understudied for this category of material.</t>
  </si>
  <si>
    <t>Loureiro, Francisco/AAM-7795-2021; Shaula, Aliaksandr/A-7669-2014; Shakel, Zinaida/AFP-7592-2022; fagg, duncan/D-2370-2013; Melo, Bruno/ABG-5317-2020; D, Pukazhselvan/N-1083-2013</t>
  </si>
  <si>
    <t>Shaula, Aliaksandr/0000-0003-1732-3562; Mikhalev, Sergey/0000-0001-5452-8191; fagg, duncan/0000-0001-6287-9223; Goncalves Melo, Bruno Miguel/0000-0002-6436-7376;</t>
  </si>
  <si>
    <t>10.1016/j.est.2023.107387</t>
  </si>
  <si>
    <t>WOS:000984083300001</t>
  </si>
  <si>
    <t>Vandana, M; Bijapur, K; Soman, G; Hegde, G</t>
  </si>
  <si>
    <t>Vandana, Molahalli; Bijapur, Kiran; Soman, Gowri; Hegde, Gurumurthy</t>
  </si>
  <si>
    <t>Recent advances in the development, design and mechanism of negative electrodes for asymmetric supercapacitor applications</t>
  </si>
  <si>
    <t>CRITICAL REVIEWS IN SOLID STATE AND MATERIALS SCIENCES</t>
  </si>
  <si>
    <t>Continuous technical advancements in a variety of industries, such as portable electronics, transportation, green energy, are frequently hampered by the inadequacy of energy-storage technologies. Asymmetric supercapacitors can expand their operating voltage window past the thermodynamic breakdown voltage of electrolytes by utilizing two distinct electrode materials, providing a workaround for the symmetric supercapacitors' energy storage constraints. This evaluation offers a thorough understanding of this area. To comprehend the extensive research done in this field, we first examine the fundamental energy-storage mechanisms and performance evaluation standards for asymmetric supercapacitors. The most recent developments in the design and manufacture of electrode materials as well as the general structure of asymmetric supercapacitors. We have also discussed a number of significant scientific issues and offer our opinions on how to improve the electrochemical properties of future asymmetric energy storage devices. First, methods for designing high-performance electrode materials for supercapacitors must be developed; next, controllably built supercapacitor types must be attained (such as symmetric capacitors including double-layer and pseudocapacitors, asymmetric capacitors, and Li-ion capacitors). This review is timely because of the rapid expansion of research in this area. It summarizes recent developments in the study and creation of high-performance electrode materials with high supercapacitors. A number of crucial topics for enhancing the energy density of supercapacitors are examined, along with some reciprocal correlations between the main impacting parameters. Difficulties and prospects in this fascinating field are also covered. This offers a fundamental understanding of supercapacitors and serves as a crucial design rule for enhanced next-generation supercapacitors that will be used in both industrial and consumer applications. In this context, we extensively reviewed the classification of supercapacitor, EDLC (activated carbon, carbon aerogel, carbon nanotube), Pseudocapacitors, conducting polymers, metal oxides, hybrid materials, composite hybrids, rechargeable batteries, asymmetric devices and its design, aqueous solid state, fiber based asymmetric device, graphene based asymmetric device, terminologies used during the electrode selection, positive and negative electrodes in asymmetric device, material used for fabrication of negative electrodes, electrochemical performance of various devices which are fabricated by different electrode materials. Performance of material for various asymmetric device applications, conclusions outlook, recent developments in asymmetric devices. The current review may offer a thorough understanding and future prospects for developing negative electrodes to enhance asymmetric supercapacitor performance.</t>
  </si>
  <si>
    <t>Bijapur, Kiran/JDW-5858-2023; Hegde, Gurumurthy/A-1192-2012</t>
  </si>
  <si>
    <t>BIJAPUR, KIRAN/0000-0002-8614-9214; soman, Gowri/0000-0001-9701-4756</t>
  </si>
  <si>
    <t>1040-8436</t>
  </si>
  <si>
    <t>1547-6561</t>
  </si>
  <si>
    <t>MAY 3</t>
  </si>
  <si>
    <t>10.1080/10408436.2023.2202225</t>
  </si>
  <si>
    <t>WOS:000974702400001</t>
  </si>
  <si>
    <t>Bakar, R; Darvishi, S; Aydemir, U; Yahsi, U; Tav, C; Menceloglu, YZ; Senses, E</t>
  </si>
  <si>
    <t>Bakar, Recep; Darvishi, Saeid; Aydemir, Umut; Yahsi, Ugur; Tav, Cumali; Menceloglu, Yusuf Ziya; Senses, Erkan</t>
  </si>
  <si>
    <t>Decoding Polymer Architecture Effect on Ion Clustering, Chain Dynamics, and Ionic Conductivity in Polymer Electrolytes</t>
  </si>
  <si>
    <t>Poly(ethylene oxide) (PEO)-based polymer electro-lytes are a promising class of materials for use in lithium-ion batteries due to their high ionic conductivity and flexibility. In this study, the effects of polymer architecture including linear, star, and hyperbranched and salt (lithiumbis(trifluoromethanesulfonyl)-imide (LiTFSI)) concentration on the glass transition (Tg), microstructure, phase diagram, free volume, and bulk viscosity, all of which play a significant role in determining the ionic conductivity of the electrolyte, have been systematically studied for PEO-based polymer electrolytes. The branching of PEO widens the liquid phase toward lower salt concentrations, suggesting decreased crystallization and improved ion coordination. At high salt loadings, ion clustering is common for all electrolytes, yet the cluster size and distribution appear to be strongly architecture-dependent. Also, the ionic conductivity is maximized at a salt concentration of [Li/EO approximate to 0.085] for all architectures, and the highly branched polymers displayed as much as three times higher ionic conductivity (with respect to the linear analogue) for the same total molar mass. The architecture-dependent ionic conductivity is attributed to the enhanced free volume measured by positron annihilation lifetime spectroscopy. Interestingly, despite the strong architecture dependence of ionic conductivity, the salt addition in the highly branched architectures results in accelerated yet similar monomeric friction coefficients for these polymers, offering significant potential toward decoupling of conductivity from segmental dynamics of polymer electrolytes, leading to outstanding battery performance.</t>
  </si>
  <si>
    <t>menceloglu, yusuf/A-6545-2017; Bakar, Recep/HSA-9431-2023; Darvishi, Saeid/HMP-2675-2023; Aydemir, Umut/P-8424-2015; Yahsi, Ugur/Y-2116-2019; tav, cumali/Z-3048-2019; Senses, Erkan/L-4897-2019</t>
  </si>
  <si>
    <t>Senses, Erkan/0000-0003-2593-1146; Darvishi, Saeid/0000-0003-0561-2447; Menceloglu, Yusuf/0000-0003-0296-827X; Yahsi, Ugur/0000-0002-6587-883X; Aydemir, Umut/0000-0003-1164-1973;</t>
  </si>
  <si>
    <t>10.1021/acsaem.3c00310</t>
  </si>
  <si>
    <t>WOS:000969613100001</t>
  </si>
  <si>
    <t>Li, MN; Gao, Y; Yu, D; Hu, ZW; Liu, ZE; Wang, XW; Weng, QH; Chen, YF; Zhang, Y; Zhang, SG</t>
  </si>
  <si>
    <t>Li, Mingnan; Gao, Yang; Yu, Da; Hu, Zewei; Liu, Zhaoen; Wang, Xiwen; Weng, Qunhong; Chen, Yufang; Zhang, Yan; Zhang, Shiguo</t>
  </si>
  <si>
    <t>Boron nitride as an ?all-in-one? gelator to immobilize concentrated sulfone electrolyte towards high performance lithium metal batteries</t>
  </si>
  <si>
    <t>Quasi-solid-state electrolytes obtained by gelation of liquid electrolytes are promising for use in high-safety and high-energy-density Li metal batteries (LMBs). However, the efficient development of a solid-electrolyte inter-face (SEI) and suppression of Al corrosion through the rational design of a gelator and liquid electrolyte remains challenging for gel electrolytes. Herein, a concentrated sulfone electrolyte possessing Li+ hopping conduction was immobilized with boron nitride (BN) as an all-in-one gelator via simple grinding. This method produced a BN-gel with high electrochemical stability, nonflammability, Li+conductivity, and modulus in a wide tempera-ture range. The desolvation energy and diffusion barrier of Li+ was reduced in BN-gel, which resulted in an abundant release of free Li+ ions for fast ion transport. BN-gel suppresses Al corrosion and promotes the formation of a robust SEI that efficiently protects the current collector and prevents Li dendrite growth. The multifunctional merits of BN-gels endow LMBs based on LiFePO4 (LFP) and high-voltage Li(Ni0.8Co0.1Mn0.1)O2 (NCM) cathodes with excellent battery performance at room and high temperatures.</t>
  </si>
  <si>
    <t>zhang, shiguo/AAL-6478-2020; Wang, Xiwen/KXR-5967-2024; Weng, Qunhong/G-9665-2014</t>
  </si>
  <si>
    <t>Zhang, Shiguo/0000-0001-6651-2752;</t>
  </si>
  <si>
    <t>10.1016/j.ensm.2023.03.031</t>
  </si>
  <si>
    <t>WOS:000979798700001</t>
  </si>
  <si>
    <t>Song, Y; Mao, QY; Li, QZ; Huang, ZY; Wan, Y; Hong, B; Zhong, QF</t>
  </si>
  <si>
    <t>Song, Ying; Mao, Qiuyun; Li, Qianze; Huang, Zeyu; Wan, Ye; Hong, Bo; Zhong, Qifan</t>
  </si>
  <si>
    <t>Structure Property and Reaction Mechanism of Boron-Based High- Voltage Electrolyte Additives via First-Principles Calculations</t>
  </si>
  <si>
    <t>Boron-based additives are currently the mainstream film -forming additives. They generate B-F-containing species and then participate in the formation of the cathode-electrolyte interphase (CEI) film. However, little is known about their oxidative decomposition mechanisms, reaction processes, and the relationship between their molecular structure and interface stability in electrolyte. Here, the reaction mechanisms and processes of trimethyl borate (TMB) with fluorides (F-, PF6 -, HF, and PF5) in electrolyte were calculated and studied by combining theoretical and experimental methods. TMB was found to be capable of reacting with fluorides and self-dimerize in a nucleophilic manner. In addition, a comparative study was performed with tris(2-cyanoethyl) borate (TCEB), structurally similar to TMB. TMB and TCEB had the same reaction sites and almost the same energy barriers, and they participated in similar reaction processes. The decomposition of boron-based additives was analyzed through simulations and experiments to fill the gap in the information on the reaction mechanisms and processes of boron-based additives. This work also explored the influence of molecular structure on the mechanism of film formation, thus providing theoretical guidance for the molecular structure design of high-pressure additives and offering ideas for developing electrolyte additives.</t>
  </si>
  <si>
    <t>hong, bo/HHS-4080-2022; Zhong, Qifan/Q-3480-2019</t>
  </si>
  <si>
    <t>Zhong, Qifan/0000-0003-4963-0516;</t>
  </si>
  <si>
    <t>APR 24</t>
  </si>
  <si>
    <t>10.1021/acsaem.3c00196</t>
  </si>
  <si>
    <t>WOS:000969182200001</t>
  </si>
  <si>
    <t>Chen, MG; Dai, YL; Li, TT; Zhang, XF; Li, C; Zhang, J</t>
  </si>
  <si>
    <t>Chen, Miaogen; Dai, Yilian; Li, Taotao; Zhang, Xiaofei; Li, Can; Zhang, Jing</t>
  </si>
  <si>
    <t>Semi-metallic bilayer borophene for lithium-ion batteries anode material: A first-principles study</t>
  </si>
  <si>
    <t>Rechargeable lithium-ion batteries are increasingly in demand in the social sciences and the economy. The search for high-performance anode materials with high specific capacity and good structural reversibility is a major challenge. In this work, we employ the first-principles calculations to investigate the possibility of a semi-metallic bilayer boron structure as the anode material for lithium-ion batteries. The results show that the Li32B88 structure has a theoretical storage capacity of 902 mAh g-1 and the open circuit voltage is 0.18-1.17 V. The material delivers high structural stability with small volume change ratio of 0.77% during lithiation process. Meanwhile, the indirect diffusion barrier of lithium-ion is 0.47 eV, which shows a fast charge and discharge ability. The theoretical findings in this work suggest that the semi-metallic bilayer borophene is a potential anode material candidate for lithium-ion batteries.</t>
  </si>
  <si>
    <t>zhang, xiaofei/GZB-2066-2022; li, taotao/IAQ-4479-2023</t>
  </si>
  <si>
    <t>CHEN, Miaogen/0000-0003-1930-8331</t>
  </si>
  <si>
    <t>10.1016/j.chemphys.2023.111911</t>
  </si>
  <si>
    <t>WOS:001008969000001</t>
  </si>
  <si>
    <t>Yuan, LB; Hao, JN; Johannessen, B; Ye, C; Yang, FH; Wu, C; Dou, SX; Liu, HK; Qiao, SZ</t>
  </si>
  <si>
    <t>Yuan, Libei; Hao, Junnan; Johannessen, Bernt; Ye, Chao; Yang, Fuhua; Wu, Chao; Dou, Shi-Xue; Liu, Hua-Kun; Qiao, Shi-Zhang</t>
  </si>
  <si>
    <t>Hybrid working mechanism enables highly reversible Zn electrodes</t>
  </si>
  <si>
    <t>ESCIENCE</t>
  </si>
  <si>
    <t>Zn dendrite growth and water-related side reactions have been criticized to hinder actual applications of aqueous Zn-ion batteries. To address these issues, a series of Zn interfacial modifications of building solid/electrolyte interphase (SEI) and nucleation layers have been widely proposed, however, their effectiveness remains debatable. Here, we report a boron nitride (BN)/Nafion layer on the Zn surface to efficiently solve Zn problems through combining the hybrid working mechanisms of SEI and nucleation layers. In our protective layer, Nafion exhibits the SEI mechanism by blocking water from the Zn surface and providing abundant channels for rapid Zn2+ transmission, whilst BN nanosheets induce Zn deposition underneath with a preferred (002) orientation. Accordingly, dendrite-free and side-reaction-free Zn electrode with (002) deposition under the protective layer is realized for the first time, as reflected by its high reversibility with average Coulombic efficiency of 99.2% for &gt; 3000 h. The protected Zn electrode also shows excellent performance in full cells when coupling with polyaniline cathode under the strict condition of lean electrolyte addition. This work highlights insights for designing highly reversible metal electrodes towards practical applications.</t>
  </si>
  <si>
    <t>Qiao, Shizhang/A-6057-2010; YE, Chao/KII-3581-2024; Yang, Fuhua/IVV-2913-2023; Hao, Junnan/HNC-2109-2023; Dou, Shi Xue/D-5179-2012; Johannessen, Bernt/IVH-3881-2023; Liu, Hua/G-1349-2012</t>
  </si>
  <si>
    <t>Johannessen, Bernt/0000-0002-3027-0816; Yang, Fuhua/0000-0002-4866-3036; Ye, Chao/0000-0002-8249-4897;</t>
  </si>
  <si>
    <t>2667-1417</t>
  </si>
  <si>
    <t>10.1016/j.esci.2023.100096</t>
  </si>
  <si>
    <t>WOS:001083401000001</t>
  </si>
  <si>
    <t>Zhu, KP; Li, LH; Xue, P; Pu, J; Wu, LY; Guo, GD; Wang, R; Zhang, Y; Peng, HS; Hong, G; Zhang, Q; Yao, YG</t>
  </si>
  <si>
    <t>Zhu, Kaiping; Li, Luhe; Xue, Pan; Pu, Jun; Wu, Liyun; Guo, Gengde; Wang, Ran; Zhang, Ye; Peng, Huisheng; Hong, Guo; Zhang, Qiang; Yao, Yagang</t>
  </si>
  <si>
    <t>Three-in-one strategy: Heat regulation and conversion enhancement of a multifunctional separator for safer lithium-sulfur batteries</t>
  </si>
  <si>
    <t>The safety problems encountered with lithium-sulfur batteries (LSBs) hinder their development for practical applications. Herein, a highly thermally conductive separator was constructed by cross-weaving super-aligned carbon nanotubes (SA-C) on super-aligned boron nitride@carbon nanotubes (SA-BC) to create a composite film (SA-BC/SA-C). This separator was used to fabricate safe LSBs with improved electrochemical performance. The highly aligned separator structure created a uniform thermal field that could rapidly dissipate heat accumulated during continuous operation due to internal resistance, which prevented the development of extremely high temperatures. The array of boron nitride nanosheets endowed the composite separator with a large number of adsorption sites, while the highly graphitized carbon nanotube skeleton accelerated the catalytic conversion of high-valence polysulfides into low-valence polysulfides. The arrayed molecular brush design enabled the regulation of local current density and ion flux, and considerably alleviated the growth of lithium dendrites, thus promoting the smooth deposition of Li metal. Consequently, a battery constructed with the SA-BC/SA-C separator showed a good discharge capacity of 685.2 mAh g(-1) over 300 cycles (a capacity decay of 0.026% per cycle) at 2 C and 60 degrees C. This three-in-one multifunctional separator design strategy constitutes a new path forward for overcoming the safety problems of LSBs.</t>
  </si>
  <si>
    <t>Peng, Hui-Sheng/HHM-1931-2022; Hong, Guo/HOH-1836-2023; Xue, Pan/JPL-9797-2023; Pu, Jun/T-2313-2017; Zhang, Qiang/IWU-5000-2023; Zhang, Ye/F-7972-2019; 武, 武丽云/HME-1102-2023; zhang, ye/F-7972-2019</t>
  </si>
  <si>
    <t>Pu, Jun/0000-0001-9393-3798; Zhang, Ye/0000-0002-7376-6547; Xue, Pan/0009-0005-3110-3947;</t>
  </si>
  <si>
    <t>10.1002/cey2.352</t>
  </si>
  <si>
    <t>MAR 2023</t>
  </si>
  <si>
    <t>WOS:000952536900001</t>
  </si>
  <si>
    <t>Vijayakumar, V; Ghosh, M; Asokan, K; Sukumaran, SB; Kurungot, S; Mindemark, J; Brandell, D; Winter, M; Nair, JR</t>
  </si>
  <si>
    <t>Vijayakumar, Vidyanand; Ghosh, Meena; Asokan, Kiran; Sukumaran, Santhosh Babu; Kurungot, Sreekumar; Mindemark, Jonas; Brandell, Daniel; Winter, Martin; Nair, Jijeesh Ravi</t>
  </si>
  <si>
    <t>2D Layered Nanomaterials as Fillers in Polymer Composite Electrolytes for Lithium Batteries</t>
  </si>
  <si>
    <t>Polymer composite electrolytes (PCEs), i.e., materials combining the disciplines of polymer chemistry, inorganic chemistry, and electrochemistry, have received tremendous attention within academia and industry for lithium-based battery applications. While PCEs often comprise 3D micro- or nanoparticles, this review thoroughly summarizes the prospects of 2D layered inorganic, organic, and hybrid nanomaterials as active (ion conductive) or passive (nonion conductive) fillers in PCEs. The synthetic inorganic nanofillers covered here include graphene oxide, boron nitride, transition metal chalcogenides, phosphorene, and MXenes. Furthermore, the use of naturally occurring 2D layered clay minerals, such as layered double hydroxides and silicates, in PCEs is also thoroughly detailed considering their impact on battery cell performance. Despite the dominance of 2D layered inorganic materials, their organic and hybrid counterparts, such as 2D covalent organic frameworks and 2D metal-organic frameworks are also identified as tuneable nanofillers for use in PCE. Hence, this review gives an overview of the plethora of options available for the selective development of both the 2D layered nanofillers and resulting PCEs, which can revolutionize the field of polymer-based solid-state electrolytes and their implementation in lithium and post-lithium batteries.</t>
  </si>
  <si>
    <t>Vijayakumar, Vidyanand/AAB-3507-2021; Ghosh, Meena/GOK-2872-2022; Nair, Jijeesh/AAP-8686-2021; Winter, Martin/AEY-7433-2022; Mindemark, Jonas/K-7691-2014; Asokan, Kiran/AAU-7344-2020; Kurungot, Sreekumar/M-6363-2013</t>
  </si>
  <si>
    <t>Winter, Martin/0000-0003-4176-5811; Asokan, Kiran/0000-0002-5243-2724; Kurungot, Sreekumar/0000-0001-5446-7923</t>
  </si>
  <si>
    <t>10.1002/aenm.202203326</t>
  </si>
  <si>
    <t>WOS:000947031300001</t>
  </si>
  <si>
    <t>Wang, DM; Du, XF; Chen, GS; Song, FC; Du, JH; Zhao, JW; Ma, YL; Wang, J; Du, AB; Cui, ZL; Zhou, XH; Cui, GL</t>
  </si>
  <si>
    <t>Wang, Dingming; Du, Xiaofan; Chen, Guansheng; Song, Fuchen; Du, Jiahao; Zhao, Jingwen; Ma, Yinglei; Wang, Jia; Du, Aobing; Cui, Zili; Zhou, Xinhong; Cui, Guanglei</t>
  </si>
  <si>
    <t>Cathode Electrolyte Interphase (CEI) Endows Mo6S8 with Fast Interfacial Magnesium-Ion Transfer Kinetics</t>
  </si>
  <si>
    <t>Magnesium (Mg) metal secondary batteries have attracted much attention for their high safety and high energy density characteristics. However, the significant issues of the cathode/electrolyte interphase (CEI) in Mg batteries are still being ignored. In this work, a significant CEI layer on the typical Mo6S8 cathode surface has been unprecedentedly constructed through the oxidation of the chloride-free magnesium tetrakis(hexafluoroisopropyloxy)borate (Mg[B(hfip)(4)](2)) salt under a proper charge cut-off voltage condition. The CEI has been identified to contain BxOy effective species originating from the oxidation of [B(hfip)(4)](-) anion. It is confirmed that the BxOy species is beneficial to the desolvation of solvated Mg2+, speeding up the interfacial Mg2+ transfer kinetics, thereby improving the Mg2+-storage capability of Mo6S8 host. The firstly reported CEI in Mg batteries will give deeper insights into the interface issues in multivalent electrochemical systems.</t>
  </si>
  <si>
    <t>; Cui, Guanglei/D-4816-2011; 王, 嘉/C-1030-2012; Du, Xiaofan/IWU-7063-2023</t>
  </si>
  <si>
    <t>Du, Xiaofan/0000-0002-7415-6791;</t>
  </si>
  <si>
    <t>MAR 27</t>
  </si>
  <si>
    <t>e202217709</t>
  </si>
  <si>
    <t>10.1002/anie.202217709</t>
  </si>
  <si>
    <t>FEB 2023</t>
  </si>
  <si>
    <t>WOS:000935845600001</t>
  </si>
  <si>
    <t>Long, JC; An, YK; Yang, ZZ; Zhang, G; Zhang, JY; Tan, SS; An, QY</t>
  </si>
  <si>
    <t>Long, Juncai; An, Yongkang; Yang, Zhongzhuo; Zhang, Ge; Zhang, Jianyong; Tan, Shuangshuang; An, Qinyou</t>
  </si>
  <si>
    <t>Efficient boron-based electrolytes constructed by anionic and interfacial co-regulation for rechargeable magnesium batteries</t>
  </si>
  <si>
    <t>Rechargeable magnesium batteries (RMBs) based on two-electron transfer chemistry offer great opportunities for realizing high energy density storage technology. However, the lack of magnesium-compatible electrolytes is still the biggest research and development challenge. Boron-based electrolytes, as a viable solution, have always been plagued by complex synthesis processes and high costs. In this work, an efficient boron-based electrolyte was present by a facile one-step mixed reaction of MgCl2, triphenyl borate [B(OPh)3], and tris(pentafluorophenyl) boron (TPFPB) in tetrahydrofuran (THF). By adjusting the composition and ratio of boron-based salts in the electrolyte, a modified anion structure with lower HOMO states was obtained. Besides, the as-prepared elec-trolyte also contributes to the formation of MgF2-rich solid electrolyte interphase (SEI) layer, which significantly inhibits the electrolyte decomposition, enhance the cycling stability of Mg anodes. Eventually, the electrolyte exhibits a wide electrochemical window (&gt;3 V vs Mg/Mg2+), low polarization voltage (150 mV) and an average Coulombic efficiency above 98 %. Finally, the successful assembly of the Mg/CuS and Mg/Mo6S8 full batteries confirms the practicability of this electrolyte in RMBs. More importantly, the dual regulation strategy of anions and interfaces offers a novel idea for designing efficient electrolytes in RMBs.</t>
  </si>
  <si>
    <t>An, Qinyou/IAO-4199-2023; zhang, jianyong/LPQ-2607-2024; An, Yoon-Kyo/AAV-2664-2020</t>
  </si>
  <si>
    <t>An, Qinyou/0000-0003-0605-4942; Long, Juncai/0009-0007-6342-597X; zhang, jianyong/0000-0002-8922-6270</t>
  </si>
  <si>
    <t>10.1016/j.cej.2023.141901</t>
  </si>
  <si>
    <t>WOS:000938282500001</t>
  </si>
  <si>
    <t>Pramoda, K; Rao, CNR</t>
  </si>
  <si>
    <t>Pramoda, K.; Rao, C. N. R.</t>
  </si>
  <si>
    <t>Electrostatic restacking of two-dimensional materials to generate novel hetero-superlattices and their energy applications</t>
  </si>
  <si>
    <t>APL MATERIALS</t>
  </si>
  <si>
    <t>Among the 2D materials, van der Waals heterostructures formed by vertically placing a monolayer of one 2D material over a single layer of another 2D material are gaining importance. As an alternative to such structures, ladder-like networks composed of two different 2D materials with an alternate arrangement of heterolayers can be generated by an electrostatic restacking strategy. The electrostatic restacking of 2D materials is achieved a great success. Various 2D/2D hetero-superlattices reported in the literature are MoS2/graphene, MnO2/Ti3C2, Ti3C2/graphene, NiAl-layered double hydroxides (LDHs)/graphene, and NiAl-LDHs/Ti3C2. The electrostatic restacking of different 2D materials generates novel 2D/2D hetero-superlattices. These hetero-superlattices display interesting electrocatalytic properties as supercapacitor electrodes, for water splitting reactions, as well as a noteworthy activity as cathode materials in lithium/sodium ion batteries. Ladder-like 3D networks of heterolayers obtained by phase-to-phase restacking improve charge-transfer interactions and the accessible area between active sites and electrolyte, thereby showing a higher electrocatalytic activity. The volumetric energy density of 32.6 Wh L-1 obtained with Ti3C2/graphene as a supercapacitor electrode is the highest reported among carbon-based materials. While the BCN/MoS2 superlattice shows a hydrogen evolution reaction (HER) activity comparable to Pt/C, unilamellar metallic MoS2/graphene and MnO2/graphene hetero-superlattices are reported to be efficient for both HER and sodium storage. The ambient instability of various 2D materials under electrocatalytic environments can be improved either by surface-functionalization or by forming hetero-superlattices.</t>
  </si>
  <si>
    <t>Rao, C.N.R./B-1569-2009</t>
  </si>
  <si>
    <t>2166-532X</t>
  </si>
  <si>
    <t>10.1063/5.0128738</t>
  </si>
  <si>
    <t>WOS:000933626500001</t>
  </si>
  <si>
    <t>Li, M; Guo, F; Xiao, L; Wang, YB; Zhang, YJ; Bo, XJ; Liu, TT</t>
  </si>
  <si>
    <t>Li, Mian; Guo, Fei; Xiao, Lan; Wang, Yibin; Zhang, Yingjie; Bo, Xiangjie; Liu, Tingting</t>
  </si>
  <si>
    <t>Carboxyl induced ultrahigh defects and boron/nitrogen active centers in cobalt-embedded hierarchically porous carbon nanofibers: The stable oxygen reduction reaction catalysis in acid</t>
  </si>
  <si>
    <t>Transition metal-nitrogen-carbon (M-N-C) type catalysts have been considered a promising alternative to noble metals for oxygen reduction reaction (ORR) electrocatalysis. Nevertheless, poor stabilities of M-N-C catalysts in acidic solutions limit their commercialization. In this study, we design and synthe-size novel three-dimensional (3D) cobalt (Co) nanoparticles encapsulated in ultrahigh content of boron (B) and nitrogen (N)-doped hierarchically porous carbon nanofibers (denoted as Co@BN-PCNFs) by car-bonizing the 3D acetic acid/cobalt nitrate/4-hydroxybenzeneboronic acid/polyvinylpyrrolidone precursor networks woven using electrospinning method under a nitrogen atmosphere. The optimal Co@BN-PCNFs-900 catalyst has abundant micro/mesopores and numerous topological defects and exhibits the largest surface area. Under the synergistic effect of oxygen-containing acetic acid molecules and the electrospinning technology, 5.87 at.% of B and 5.91 at.% of N atoms were doped into carbon nanofibers. Specifically, B/N electrocatalytic active centers (including BC3, pyridinic-N/Co-N-C, pyrrolic-N, and graphitic-N) of approximately 8.70 at.% were successfully introduced into the skeletons of Co@BN-PCNFs-900. In 0.1 M KOH, the ORR onset potential (Eonset) and half-wave potential (E1/2) of Co@BN-PCNFs-900 were ti 64 and -63 mV, respectively, more positive than those of 20 wt% Pt/C. Additionally, in 0.5 M H2SO4, the ORR Eonset and E1/2 values of Co@BN-PCNFs-900 were only ti 11 and ti 7 mV, respectively, more negative than those of 20 wt% Pt/C. As the 3D hierarchically porous archi-tectures, topological carbon edges, BC3, and partial N-C/Co-N-C are relatively stable, the Co@BN-PCNFs-900 exhibits excellent stability toward ORR catalysis in both acidic and basic media. These favor-able properties of Co@BN-PCNFs-900 nanofibers make them the best non-noble metal-based carbona-ceous electrocatalysts for ORR in acidic electrolytes.(c) 2023 Elsevier Inc. All rights reserved.</t>
  </si>
  <si>
    <t>xiangjie, bo/B-6703-2012; Liu, Tingting/C-3529-2017; Mian, Li/JOZ-4844-2023; Yang, Jing/HZJ-3722-2023</t>
  </si>
  <si>
    <t>10.1016/j.jcis.2023.01.065</t>
  </si>
  <si>
    <t>JAN 2023</t>
  </si>
  <si>
    <t>WOS:000926418700001</t>
  </si>
  <si>
    <t>Restle, TMF; Scherf, L; Dums, JV; Mutschke, AG; Spranger, RJ; Kirchhain, H; Karttunen, AJ; van Wüllen, L; Fässler, TF</t>
  </si>
  <si>
    <t>Restle, Tassilo M. F.; Scherf, Lavinia; Dums, Jasmin V.; Mutschke, Alexander G.; Spranger, Robert J.; Kirchhain, Holger; Karttunen, Antti J.; van Wuellen, Leo; Faessler, Thomas F.</t>
  </si>
  <si>
    <t>Lithium-ion Mobility in Li6B18(Li3N) and Li Vacancy Tuning in the Solid Solution Li6B18(Li3N)1-x(Li2O)x</t>
  </si>
  <si>
    <t>All-solid-state batteries are promising candidates for safe energy-storage systems due to non-flammable solid electrolytes and the possibility to use metallic lithium as an anode. Thus, there is a challenge to design new solid electrolytes and to understand the principles of ion conduction on an atomic scale. We report on a new concept for compounds with high lithium ion mobility based on a rigid open-framework boron structure. The host-guest structure Li6B18(Li3N) comprises large hexagonal pores filled with infinity 1[Li7N] strands that represent a perfect cutout from the structure of alpha-Li3N. Variable-temperature Li-7 NMR spectroscopy reveals a very high Li mobility in the template phase with a remarkably low activation energy below 19 kJ mol(-1) and thus much lower than pristine Li3N. The formation of the solid solution of Li6B18(Li3N) and Li6B18(Li2O) over the complete compositional range allows the tuning of lithium defects in the template structure that is not possible for pristine Li3N and Li2O.</t>
  </si>
  <si>
    <t>Faessler, Thomas/B-8035-2010; Kirchhain, Holger/GNP-7913-2022; Karttunen, Antti/F-1053-2010; Mutschke, Alexander/KZG-1755-2024</t>
  </si>
  <si>
    <t>Karttunen, Antti/0000-0003-4187-5447; Mutschke, Alexander/0000-0003-1876-8053; Fassler, Thomas/0000-0001-9460-8882;</t>
  </si>
  <si>
    <t>10.1002/anie.202213962</t>
  </si>
  <si>
    <t>WOS:000919913100001</t>
  </si>
  <si>
    <t>Lin, JX; Guo, H; Sun, K; Fang, L</t>
  </si>
  <si>
    <t>Lin, Jianxiong; Guo, Hui; Sun, Kun; Fang, Liang</t>
  </si>
  <si>
    <t>A nickel-rich oxide, Li(Ni0.90Co0.06Mn0.04)0.995Al0.0 05 O2, with a dual conductive coating</t>
  </si>
  <si>
    <t>Nickel (Ni)-rich layered oxides have high specific capacities and are inexpensive, but their synthesis and electrochemical performance continue to present difficulties. In this study, we investigated the effect of a dual conductive compound of dot-like Nb12WO33 and film-like lithium boron oxide (Li-B-O; applied using a simple dry-coating method) on the Ni-rich oxide layer in Li batteries. The film-like Li-B-O homogeneous coating segregated the cathode from the electrolyte, which improved the initial efficiency and cycle sta-bility, and the dot-like Nb12WO33 provided a fast Li-ion transition channel, which improved the rate per-formance of the Ni-rich oxide layer. The modified cathode with dual conductive coating exhibited significantly improved electrochemical performance. Its discharge capacity was 225.6 mAh g-1, with high initial efficiency of 92.73% in the voltage range of 3.0-4.3 V at 0.1 C, whereas that of the uncoated sample was 219.4 mAh g-1, with an initial efficiency of 90.4%. The modified cathode had a discharge capacity of 179.1 mAh g-1 at 5 C, compared with that of 161.1 mAh g-1 for the uncoated sample; the capacity retention of the coated sample was 92.84% at 0.5 C after 50 cycles at 25 celcius, whereas that of the uncoated sample was only 81.41%. A similar strategy could be utilized to enhance the performance of other cathode materials.(c) 2023 Published by Elsevier B.V.</t>
  </si>
  <si>
    <t>Fang, Liang/G-4317-2012; Lin, Jianxiong/AAX-6379-2020</t>
  </si>
  <si>
    <t>10.1016/j.jallcom.2023.168870</t>
  </si>
  <si>
    <t>WOS:000961373400001</t>
  </si>
  <si>
    <t>Deng, RH; Tao, JM; Zhong, WH; Wen, L; Yang, YM; Li, JX; Lin, YB</t>
  </si>
  <si>
    <t>Deng, Ruihua; Tao, Jianming; Zhong, Wenhao; Wen, Lang; Yang, Yanmin; Li, Jiaxin; Lin, Yingbin</t>
  </si>
  <si>
    <t>Tri-functionalized Li2B4O7 coated LiNi0.5Co0.2Mn0.3O2 for boosted performance lithium-ion batteries</t>
  </si>
  <si>
    <t>Building stable interfacial structure is regarded as an effective strategy to enhance structure stability and facilitate Li+ migration. Herein, LiNi0.5Co0.2Mn0.3O2 (NCM523) cathode materials are surface-modified with amorphous Li2B4O7 (LBO) Li+-conductor with high relative permittivity. Comparing to pristine NCM, sur-face-modified electrodes exhibit a significant improvement in capacity retention and rate capability, deli-vering a reversible capacity of 163.4 mAh center dot g-1 and 87.6 % capacity retention over 100 cycles at 1 C. Besides the protection from HF-attack, enlarged crystal lattice volume by boron-doping and Li+-conductor char-acteristic of Li2B4O7 is beneficial for Li+-ion diffusion in NCM523 and reduces charge transfer resistance. In addition, the reduced work function induced by Li2B4O7-coating is helpful for the suppression of the electrolyte oxidation, the enhanced rate capability and improved cyclic stability in terms of interfacial stability. Moreover, dielectric polarization field induced by high-permittivity Li2B4O7 at NCM523-Li2B4O7- electrolyte triple-phase interface would synergistically facilitate Li-ion migration across electric double -layer. Our work would provide a new insight into the enhanced performance of cathode material surface -modified by Li+-conductor with large relative permittivity.(c) 2023 Elsevier B.V. All rights reserved.</t>
  </si>
  <si>
    <t>Li, Jiaxin/GOV-4862-2022</t>
  </si>
  <si>
    <t>10.1016/j.jallcom.2023.168767</t>
  </si>
  <si>
    <t>WOS:000996450400001</t>
  </si>
  <si>
    <t>Zang, ZH; Liu, JL; Tao, XY; Zou, CF; Chen, XY; Yi, LG; Chang, BB; Wang, XY</t>
  </si>
  <si>
    <t>Zang, Zihao; Liu, Jiali; Tao, Xiyuan; Zou, Changfei; Chen, Xiaoyi; Yi, Lingguang; Chang, Baobao; Wang, Xianyou</t>
  </si>
  <si>
    <t>Mn2+doped BaSnF4-based solid state electrolyte for room-temperature fluoride ion batteries</t>
  </si>
  <si>
    <t>Rechargeable solid-state fluoride ion batteries (RT-SSFIB) are expected to become the leader of the new gen-eration of energy storage devices in order to fully respond to the growing demand for large energy storage devices. Theoretically, fluoride ion batteries have a high energy density (greater than 1000 Wh kg-1). However, the development and research of fluoride ion battery is still in the preliminary stage. Although in recent years, the study of solid electrolytes with good conductivity of fluoride ions at room temperature is pro-gressing rapidly, it still faces some challenges from electrode active material to electrolyte. In order to be able to make solid electrolyte up to the use of fluoride ion battery standards, herein a Ba1-xMnxSnF4 compound was designed and prepared. The conductivity of Ba0.96Mn0.04SnF4 is successfully improved from 9.6 x 10-5 S cm-1 to 2.7 x 10-4 S cm-1 by Mn2+ doping and sintering at 300 celcius for 2 h. In addition, Ba0.96Mn0.04SnF4 was used as electrolyte, BiF3 and Sn as electrodes to construct a RT-SSFIB. The results show that the assembled battery pro-vides 162 mAh/g capacity in first cycles and still retain 100 mAh/g capacity in the 50th cycle. Therefore, Mn2+ doping can effectively improve the ionic conductivity of BaSnF4, and thus promote the electrochemical perfor-mance of RT-SSFIB.</t>
  </si>
  <si>
    <t>Yi, Lingguang/NPI-6658-2025; Chang, B./MSX-9568-2025</t>
  </si>
  <si>
    <t>10.1016/j.jelechem.2023.117145</t>
  </si>
  <si>
    <t>WOS:000921105200001</t>
  </si>
  <si>
    <t>Zhou, BH; Deng, TZ; Yang, CL; Wang, MX; Yan, H; Yang, Z; Wang, ZP; Xue, ZG</t>
  </si>
  <si>
    <t>Zhou, Binghua; Deng, Tingzhi; Yang, Chaolong; Wang, Mingxi; Yan, Huan; Yang, Zhen; Wang, Zhipeng; Xue, Zhigang</t>
  </si>
  <si>
    <t>Self-Healing and Recyclable Polymer Electrolyte Enabled with Boronic Ester Transesterification for Stabilizing Ion Deposition</t>
  </si>
  <si>
    <t>Damage to solid polymer electrolytes can lead to mechanical degradation, short circuits, or functional failures. Therefore, introducing a self-healing function to solid polymer electrolytes is an ideal strategy to improve the safety and reliability of electrolyte systems. Herein, dynamic boronic ester-based self-healing polymer electrolytes (DB-SHPEs) with excellent mechanical properties and interfacial stability are developed via a thermally initiated ring-opening reaction between thiol and epoxy groups. The DB-SHPEs containing boronic ester bonds can not only alter the topologies via boronic ester transesterification and exhibit good self-healing capability but also enable homogeneous deposition of Li ions on the Li metal through the Lewis acid-base interactions between boron atoms and salt anions. Furthermore, the boronic ester bonds can endow the DB-SHPE with reprocessability and recyclability taking advantage of associative transesterification reaction. More significantly, the Li/DB-SHPE/Li symmetric cells exhibit a stable voltage plateau after cycling for 1200 h and the LiFePO4/DB-SHPE/Li batteries present excellent cycling performance, suggesting that high-performance self-healing polymer electrolytes with multiple functions are promising materials for the next-generation lithium metal batteries.</t>
  </si>
  <si>
    <t>Yang, Chaolong/Q-7848-2016; Wang, Zhipeng/L-2789-2013; Wang, Ming-Xi/JPN-3875-2023</t>
  </si>
  <si>
    <t>Zhou, Binghua/0000-0002-2482-769X; Wang, Zhipeng/0000-0003-4415-7213</t>
  </si>
  <si>
    <t>10.1002/adfm.202212005</t>
  </si>
  <si>
    <t>WOS:000913953100001</t>
  </si>
  <si>
    <t>Wang, CW; Zhang, SJ; Lin, C; Xue, SD; Deng, YP; Zhang, BK; Yang, LY; Yao, XY; Zeng, LY; Li, JT; Pan, F; Yin, ZW</t>
  </si>
  <si>
    <t>Wang, Chuan-Wei; Zhang, Shao-Jian; Lin, Cong; Xue, Shida; Deng, Ya-Ping; Zhang, Bingkai; Yang, Luyi; Yao, Xiayin; Zeng, Leiying; Li, Jun-Tao; Pan, Feng; Yin, Zu-Wei</t>
  </si>
  <si>
    <t>Mechanochemical reactions between polyanionic borate and residue Li2CO3 on LiCoO2 to stabilize cathode/electrolyte interface in sulfide-based all-solid-state batteries</t>
  </si>
  <si>
    <t>Sulfide-based all-solid-state Li-ion batteries (ASSLIBs) are recognized as promising next-generation batteries, due to its advantage of high energy density, high safety and high Li+ diffusivity in sulfide solid electrolytes (SEs). However, interfacial instability between cathode (like LiCoO2) and sulfide SEs hinders its commercial applica-tions. Herein, a simple mechanochemical strategy, which mechanically mixed polyanionic borate precursor and Li2CO3 residue on LiCoO2 (LCO) cathode with subsequent thermochemical reactions, was proposed to achieve analogous solid electrolyte interphase (SEI) to address such issues. The artificial SEI consists of crystalline LiBa (B3O5)3 (LBBO), Li3BO3 (LBO) and amorphous lithium boron oxide (Li-B-O). Therein, the former two endow high interfacial stability with SEs and ionic conductivity respectively, while the latter presented in the former interspace isolated the LCO cathode from Li10GeP2S12 (LGPS) solid electrolyte and constructed a continuous interlayer with LBBO and LBO. According to the phase diagram and direct observation through TEM, it is confirmed that a suitable ratio of raw LBBO precursor and Li2CO3 residue can realize an appropriate proportion of LBO to balance the interfacial stability and the diffusion of Li+ in obtained artificial interlayer, which enables high cyclability and rate performance in LCO/LGPS/Li-In ASSLIBs. Specifically, SEI with 9.4 mol.% LBO boosts an initial discharge capacity of 153.8 mAh g+1 (2.6-4.3 V (vs. Li/Li+), 0.1 C) with 74.4 % retention (150 cycles) and an excellent rate capability of 92.9 and 56.1 mAh g+1 at 1 C and 2 C respectively. Upon increased cut-off voltage of 4.5 V, an initial 167.3 mAh g+1 capacity (0.2 C) and 64.7 % retention (150 cycles) can also be ach-ieved. The present strategy utilizing mechanochemical reactions between polyanionic borate and Li2CO3 residue to construct analogous SEI will offer fresh insights to stabilize the electrode/electrolyte interface of ASSLIBs derived from diverse polyanionic-type borates or phosphates, which can be widely used in other all-solid-state batteries with various cathodes and electrolytes.</t>
  </si>
  <si>
    <t>Yin, Zuwei/KIA-6261-2024; Lin, Cong/AAN-3636-2020; Pan, Feng/IXN-2297-2023; Yang, Luyi/IWU-7888-2023; Yin, Zu-Wei/KIA-6261-2024; Zhang, Shaojian/GSD-8342-2022; Yao, Xiayin/P-3690-2014</t>
  </si>
  <si>
    <t>Yin, Zuwei/0000-0002-0728-1154; Lin, Cong/0000-0003-0021-5055; yao, xia yin/0000-0002-2224-4247; Xue, Shida/0009-0001-3036-3908;</t>
  </si>
  <si>
    <t>10.1016/j.nanoen.2023.108192</t>
  </si>
  <si>
    <t>WOS:000923198600001</t>
  </si>
  <si>
    <t>Liang, HY; Sun, ZN; Zhang, MR; Hu, W; Shi, J; Chen, JW; Tian, WQ; Huang, MH; Wu, JY; Wang, HL</t>
  </si>
  <si>
    <t>Liang, Huanyu; Sun, Zining; Zhang, Mingrui; Hu, Wei; Shi, Jing; Chen, Jingwei; Tian, Weiqian; Huang, Minghua; Wu, Jingyi; Wang, Huanlei</t>
  </si>
  <si>
    <t>Constructing Carbon Nanobubbles with Boron Doping as Advanced Anode for Realizing Unprecedently Ultrafast Potassium Ion Storage</t>
  </si>
  <si>
    <t>Carbonaceous material with favorable K+ intercalation feature is considered as a compelling anode for potassium-ion batteries (PIBs). However, the inferior rate performance and cycling stability impede their large-scale application. Here, a facile template method is utilized to synthesize boron doping carbon nanobubbles (BCNBs). The incorporation of boron into the carbon structure introduces abundant defective sites and improves conductivity, facilitating both the intercalation-controlled and capacitive-controlled capacities. Moreover, theoretical calculation proves that boron doping can effectively improve the conductivity and facilitate electrochemical reversibility in PIBs. Correspondingly, the designed BCNBs anode delivers a high specific capacity (464 mAh g(-1) at 0.05 A g(-1)) with an extraordinary rate performance (85.7 mAh g(-1) at 50 A g(-1)), and retains a considerable capacity retention (95.2% relative to the 100th charge after 2000 cycles). Besides, the strategy of pre-forming stable artificial inorganic solid electrolyte interface effectively realizes high initial coulombic efficiency of 79.0% for BCNBs. Impressively, a dual-carbon potassium-ion capacitor coupling BCNBs anode displays a high energy density (177.8 Wh kg(-1)). This work not only shows great potential for utilizing heteroatom-doping strategy to boost the potassium ion storage but also paves the way for designing high-energy/power storage devices.</t>
  </si>
  <si>
    <t>Wu, Jingyi/AAV-8145-2021; Tian, Weiqian/O-7204-2016; Wang, Huanlei/F-2061-2013; chen, jingwei/ABF-3356-2021</t>
  </si>
  <si>
    <t>Tian, Weiqian/0000-0003-3497-2054;</t>
  </si>
  <si>
    <t>10.1002/eem2.12559</t>
  </si>
  <si>
    <t>WOS:000909780500001</t>
  </si>
  <si>
    <t>Pradhan, A; Badam, R; Miyairi, R; Takamori, N; Matsumi, N</t>
  </si>
  <si>
    <t>Pradhan, Anusha; Badam, Rajashekar; Miyairi, Ryoya; Takamori, Noriyuki; Matsumi, Noriyoshi</t>
  </si>
  <si>
    <t>Extreme Fast Charging Capability in Graphite Anode via a Lithium Borate Type Biobased Polymer as Aqueous Polyelectrolyte Binder</t>
  </si>
  <si>
    <t>Desolvation of lithium ions and diffusion of Li+ through the solid electrolyte interface (SEI) play an important role in determining the extreme fast-charging ability of graphite for electric vehicle (EV) application. For this reason, a novel aqueous borate type bio-based polymer with inherent Li ions was designed as an SEI forming binder for graphite. The low lying LUMO energy level enabled the preferential reduction of the binder prior to the degradation of the electrolyte or salt to form a thinner and highly conducting borate rich SEI. A robust boron rich SEI and a binder with inherent Li ions improved the kinetics with low activation energy for lithiation/desolvation (22.56 kJ/mol), lower SEI resistance, and a high Li+ diffusion coefficient across the graphite galleries (7.24 x 10(-9) cm(2) s(-1)). Anodic half-cells with the novel binder delivered a discharge capacity of 73 mAh/g at 10 C, which is three times higher than the those of the polyvinylidene fluoride (PVDF) and sodium carboxymethyl cellulose/ polystyrene-polybutadiene rubber (CMC-SBR) counterparts, with a high capacity retention for more than 1000 cycles.</t>
  </si>
  <si>
    <t>Badam, Rajashekar/U-2179-2018</t>
  </si>
  <si>
    <t>Badam, Rajashekar/0000-0003-4230-7337</t>
  </si>
  <si>
    <t>FEB 6</t>
  </si>
  <si>
    <t>10.1021/acsmaterialslett.2c00999</t>
  </si>
  <si>
    <t>WOS:000913268800001</t>
  </si>
  <si>
    <t>Zhou, CY; Sun, H; Wang, Q; Grinderslev, JB; Liu, D; Yan, YG; Jensen, TR</t>
  </si>
  <si>
    <t>Zhou, Chongyang; Sun, Han; Wang, Qian; Grinderslev, Jakob B.; Liu, Dan; Yan, Yigang; Jensen, Torben R.</t>
  </si>
  <si>
    <t>Highly electrochemically stable Li2B12H12-Al2O3 nanocomposite electrolyte enabling A 3.8 V room-temperature all-solid-state Li-ion battery</t>
  </si>
  <si>
    <t>Designing solid electrolytes for all-solid-state lithium batteries that can be compatible with high-voltage cathodes is challenging. Here we report that the nanocomposite Li2B12H12-Al2O3 mechano-chemically treated for 120 h achieves an electrochemical stability window up to similar to 3.8 V owing to the interfacial interaction via B-O bonds and a high lithium ionic conductivity, Sigma(Li+) = 2.73 x 10-5 S cm-1 at 30 degrees C. Moreover, this electrolyte shows high compatibility with the lithium metal anode as demonstrated by stable Li plating/stripping for 300 cycles. These electrolyte properties enable the first demonstration of a 3.8 V all-solid-state battery In1.3Li0.3|Li2B12H12-Al2O3 (25 vol%)|LiNi0.8Co0.1Mn0.1O2 (NCM811) operating for 120 cycles with a rate of 0.2 C and at 30 degrees C, with a reversible specific capacity of 77.5 mAh g-1 and Coulombic efficiency of 99.8 %. The results demonstrate the potential of hydroborates as electrolyte for all-solid-state lithium batteries.(c) 2022 Published by Elsevier B.V.</t>
  </si>
  <si>
    <t>; Liu, Dan/AAE-9981-2020; Wang, Qian/KCK-1972-2024</t>
  </si>
  <si>
    <t>Zhou, Chongyang/0009-0008-9956-4303; Qian, Wang/0000-0002-4935-7508; Wang, Qian Janice/0000-0001-7054-2137; Grinderslev, Jakob/0000-0001-7645-1383</t>
  </si>
  <si>
    <t>MAR 25</t>
  </si>
  <si>
    <t>10.1016/j.jallcom.2022.168689</t>
  </si>
  <si>
    <t>WOS:000920151600001</t>
  </si>
  <si>
    <t>Bakar, R; Darvishi, S; Senses, E</t>
  </si>
  <si>
    <t>Bakar, Recep; Darvishi, Saeid; Senses, Erkan</t>
  </si>
  <si>
    <t>Enhanced ionic conductivity and mechanical strength in nanocomposite electrolytes with nonlinear polymer architectures</t>
  </si>
  <si>
    <t>TURKISH JOURNAL OF CHEMISTRY</t>
  </si>
  <si>
    <t>Solvent-free polymer-based electrolytes (SPEs) have gained significant attention to realize safer and flexible lithium-ion batteries. Among all polymers used for preparing SPEs electrolytes, poly(ethylene oxide), a biocompatible and biodegradable polymer, has been the most prevalent one mainly because of its high ionic conductivity in the molten state, the capability for the dissolution of a wide range of different lithium salts as well as its potential for the environmental health and safety. However, linear PEO is highly semicrystalline at room temperature and thus exhibits weak mechanical performance. Addition of nanoparticles enhances the mechanical strength and effectively decreases the crystallization of linear PEO, yet enhancement in mechanical performance often results in decreased ionic conductivity when compared to the neat linear PEO-based electrolytes; new strategies for decoupling ionic conductivity from mechanical reinforcement are urgently needed. Herein, we used lithium bis(trifluoromethane-sulfonyl)-imide (LiTFSI) salts dissolved in various nonlinear PEO architectures, including stars (4-arms and 8-arms) and hyperbranched matrices, and SiO2 nanoparticles (approximately equal to 50 nm diameter) as fillers. Compared to the linear PEO chains, the room temperature crystallinity was eliminated in the branched PEO architectures. The electrolytes with good dispersion of the nanoparticles in the nonlinear PEOs significantly enhanced ionic conductivity, specifically by approximately equal to 40% for 8-arm star, approximately equal to 28% for 4-arms star, and approximately equal to %16 for hyperbranched matrices, with respect to the composite electrolyte with the linear matrix. Additionally, the rheological results of the SPEs with branched architectures show more than three orders of magnitude enhancement in the low-frequency moduli compared to the neat linear PEO/Li systems. The obtained results demonstrate that the solvent-free composite electrolytes made of branched PEO architectures can be quite promising especially for irregularly shaped and environmentally benign battery applications suitable for medical implants, wearable devices, and stretchable electronics, which require biodegradability and biocompatibility.</t>
  </si>
  <si>
    <t>Bakar, Recep/HSA-9431-2023; Senses, Erkan/L-4897-2019; Darvishi, Saeid/HMP-2675-2023</t>
  </si>
  <si>
    <t>Darvishi, Saeid/0000-0003-0561-2447</t>
  </si>
  <si>
    <t>1300-0527</t>
  </si>
  <si>
    <t>+</t>
  </si>
  <si>
    <t>10.55730/1300-0527.3533</t>
  </si>
  <si>
    <t>WOS:000986980500023</t>
  </si>
  <si>
    <t>Yang, NJ; Jiang, X</t>
  </si>
  <si>
    <t>Yang, Nianjun; Jiang, Xin</t>
  </si>
  <si>
    <t>Rational Design of Diamond Electrodes</t>
  </si>
  <si>
    <t>Diamond electrodes stepped onto the stage in the early 1990s for electroanalytical applications. They possess the features of long-term chemical inertness, wide potential windows, low and stable background currents, high microstructural stability at different potentials and in different media, varied activity toward different electroactive species, reliable electrochemical response of redox systems without conventional pretreatment, high resistance to surface fouling in most cases, and possibility of forming composites with different components such as other carbon materials, carbides, and oxidizes. Most diamond electrodes are prepared in microcrystalline or nanocrystalline form using chemical vapor deposition techniques. Starting from diamond films and diamond composites, numerous nanostructured diamond electrodes have also been produced. The features of diamond electrodes are therefore heavily dependent on the growth conditions and post-treatment procures that are applied on diamond electrodes such as introduced dopant(s), surface termination(s), surface functional group(s), added components, and final structure(s). Numerous applications of diamond electrodes have been explored in the fields of electrochemical sensing, electrosynthesis, electrocatalysis, electrochemical energy storage and conversion, devices, and environmental degradation. This Account summarizes our strategies to design different diamond electrodes, including diamond films, diamond composites, as well as their nanostructures. With respect to diamond films, the modulation of their dopant(s) and surface termination(s) as well as the attachment of functional modifier(s) onto their surface are discussed. Electrochemical hydrogenation and oxygenation of diamond electrodes are detailed at an atomic scale. As the examples of designing diamond electrodes at a molecular scale, photochemical and electrochemical attachment of modifier(s) onto diamond electrodes are shown. Moreover, electrochemical grafting of diazonium salts is proposed as a new technique to identify hydrogenated, hydroxylated, and oxygenated terminations of diamond electrodes. The introduction of additional component(s) into a diamond film to form diamond composites is then overviewed, where a hydrogen-induced selective growth model is proposed to elucidate the preparation of diamond/beta-SiC composites. Subsequently, the production of various diamond nanostructures from diamond films and composites by means of top down, bottom-up, and template-free approaches is shown. Electrochemical application examples of diamond electrodes are overviewed, covering direct electrochemistry of natural Cytochrome c on a hydroxylated diamond surface, sensitive electrochemical DNA biosensing on tip-functionalized diamond nanowires, and construction of high-performance supercapacitors using diamond electrodes and redox electrolytes. Our diamond supercapacitors, also named battery-like diamond supercapacitors or diamond supercabatteries, are highlighted since they combine the features of supercapacitors and batteries. Future perspectives of diamond electrodes are outlined, ranging from their rational design and synthesis to their electrochemical applications in different fields.</t>
  </si>
  <si>
    <t>Jiang, Xin/MCX-4038-2025</t>
  </si>
  <si>
    <t>Yang, Nianjun/0000-0002-5558-2314</t>
  </si>
  <si>
    <t>JAN 17</t>
  </si>
  <si>
    <t>10.1021/acs.accounts.2c00644</t>
  </si>
  <si>
    <t>DEC 2022</t>
  </si>
  <si>
    <t>WOS:000907819500001</t>
  </si>
  <si>
    <t>Nong, YH; Fu, LC; Zhu, JJ; Yang, WL; Li, DY; Zhou, LP</t>
  </si>
  <si>
    <t>Nong, Yuhong; Fu, Licai; Zhu, Jiajun; Yang, Wulin; Li, Deyi; Zhou, Lingping</t>
  </si>
  <si>
    <t>Low resistance separator with hexagonal boron nitride (h-BN) binder for high power thermal battery</t>
  </si>
  <si>
    <t>MATERIALS CHEMISTRY AND PHYSICS</t>
  </si>
  <si>
    <t>To meet the criteria of high specific power thermal battery development, all-lithium molten salt electrolytes (LiF-LiCl-LiBr) are often employed in thermal batteries. In this work, a hexagonal boron nitride binding molten salt electrolyte (h-BN-E) was synthesized using a straightforward liquid nitrogen mixing process and high tem-perature calcination, which using h-BN as a binder in electrolyte. The h-BN-E has a low internal resistance (0.21 omega) and a high discharge voltage (2.5 V), which is close to the theoretical discharge voltage (2.64 V). The h-BN-E with high specific capacity (329 mAhg- 1) and specific energy (700 W h kg-1) at the same time. It can be demonstrated that h-BN has the capacity to more effectively immobilize the electrolytes at high temperature discharge when combined with the discharge overflow diagram. The investigation of h-BN as a binder for thermal batteries with low internal resistance can be started with the help of this work.</t>
  </si>
  <si>
    <t>Fu, Licai/KGK-7328-2024; Jiajun, Zhu/LKL-4003-2024</t>
  </si>
  <si>
    <t>0254-0584</t>
  </si>
  <si>
    <t>1879-3312</t>
  </si>
  <si>
    <t>10.1016/j.matchemphys.2022.127221</t>
  </si>
  <si>
    <t>WOS:000913731000001</t>
  </si>
  <si>
    <t>Gal, JF; Maria, PC; Yáñez, M; Mó, O</t>
  </si>
  <si>
    <t>Gal, Jean-Francois; Maria, Pierre-Charles; Yanez, Manuel; Mo, Otilia</t>
  </si>
  <si>
    <t>Lewis basicity of alkyl carbonates and other esters. The Gutmann Donor Number (DN), a flawed indicator? Boron trifluoride adduct-formation enthalpy, experimentally or computationally determined, as a reliable alternative</t>
  </si>
  <si>
    <t>Alkyl carbonates are essential components in the manufacture of lithium-ion batteries, as electrolytes or additives. The Lewis basicity of alkyl carbonates and other carbonyl compounds used in electrochemistry are often characterized by their Donor Number (DN). Assessment of the literature DN values displays great discrepancies. This is attributed in part to experimental errors, but mostly to inconsistent methods of determination. An alternative Lewis basicity scale is proposed, based on the enthalpy of adduct forma-tion of a Lewis base with BF3 in dichloromethane solvent-DH(BF3). Experimental data are well repro-duced by a modified ab initio G4 method and a mixed cluster-continuum approach of solvation. These calculations permit a confident estimation of previously not measured-DH(BF3) values. The combination of a large set of experimental data and of calculations provides a consistent source of Lewis basicity of molecules used in electrochemistry and related fields.(c) 2022 Elsevier B.V. All rights reserved.</t>
  </si>
  <si>
    <t>Mo, Otilia/A-7035-2012; Yanez, Manuel/A-7100-2012; GAL, Jean-FranÃ§ois/AAX-6133-2021</t>
  </si>
  <si>
    <t>10.1016/j.molliq.2022.120997</t>
  </si>
  <si>
    <t>WOS:000922712100007</t>
  </si>
  <si>
    <t>Haneke, L; Pfeiffer, F; Bärmann, P; Wrogemann, J; Peschel, C; Neumann, J; Kux, F; Nowak, S; Winter, M; Placke, T</t>
  </si>
  <si>
    <t>Haneke, Lukas; Pfeiffer, Felix; Baermann, Peer; Wrogemann, Jens; Peschel, Christoph; Neumann, Jonas; Kux, Fabian; Nowak, Sascha; Winter, Martin; Placke, Tobias</t>
  </si>
  <si>
    <t>Insights into Electrolytic Pre-Lithiation: A Thorough Analysis Using Silicon Thin Film Anodes</t>
  </si>
  <si>
    <t>Pre-lithiation via electrolysis, herein defined as electrolytic pre-lithiation, using cost-efficient electrolytes based on lithium chloride (LiCl), is successfully demonstrated as a proof-of-concept for enabling lithium-ion battery full-cells with high silicon content negative electrodes. An electrolyte for pre-lithiation based on gamma-butyrolactone and LiCl is optimized using boron-containing additives (lithium bis(oxalato)borate, lithium difluoro(oxalate)borate) and CO2 with respect to the formation of a protective solid electrolyte interphase (SEI) on silicon thin films as model electrodes. Reversible lithiation in Si||Li metal cells is demonstrated with Coulombic efficiencies (C-Eff) of 95-96% for optimized electrolytes comparable to 1 m LiPF6/EC:EMC 3:7. Formation of an effective SEI is shown by cyclic voltammetry and X-ray photoelectron spectroscopy (XPS). electrolytic pre-lithiation experiments show that notable amounts of the gaseous product Cl-2 dissolve in the electrolyte leading to a self-discharge Cl-2/Cl- shuttle mechanism between the electrodes lowering pre-lithiation efficiency and causing current collector corrosion. However, no significant degradation of the Si active material and the SEI due to contact with elemental chlorine is found by SEM, impedance, and XPS. In NCM111||Si full-cells, the capacity retention in the 100th cycle can be significantly increased from 54% to 78% by electrolytic pre-lithiation, compared to reference cells without pre-lithiation of Si.</t>
  </si>
  <si>
    <t>; Nowak, Sascha/L-8453-2014; Placke, Tobias/M-4067-2017; Winter, Martin/AEY-7433-2022; Placke, Tobias/HDN-1338-2022</t>
  </si>
  <si>
    <t>Winter, Martin/0000-0003-4176-5811; Nowak, Sascha/0000-0003-1508-6073; Placke, Tobias/0000-0002-2097-5193;</t>
  </si>
  <si>
    <t>10.1002/smll.202206092</t>
  </si>
  <si>
    <t>WOS:000896906000001</t>
  </si>
  <si>
    <t>Shen, BX; Fu, N; Chen, YW; Shao, W; Yan, YR; Huang, J; Yang, ZL</t>
  </si>
  <si>
    <t>Shen, Bingxin; Fu, Ning; Chen, Yuwen; Shao, Wei; Yan, Yurong; Huang, Jia; Yang, Zhenglong</t>
  </si>
  <si>
    <t>Micron SiOx encapsulated into amorphous B, N Co-doped carbon nanotube network for high-capacity and long-durable Li-ion half/full batteries</t>
  </si>
  <si>
    <t>Micron silicon suboxide (m-SiOx) with low-cost and advantageous capacity has been proposed as a prospective candidate for lithium-ion battery anodes, yet huge volumetric fluctuation and poor inherent conductivity should be addressed urgently. Herein, encapsulation of m-SiOx particles into amorphous B, N co-doped carbon nanotube network (SSBCN) via metal cation-assisted carbonization is shown. Rational preparation process enables in-situ synthesis of 3D porous carbon nanotubes network around m-SiOx, guaranteeing slight volume variation during cycling, effective electrical contact, fast electron and Li-ion transfer and speedy electrolyte penetration. In-situ Raman spectra confirm the additional utilization rate of m-SiOx. Heteroatomic active sites (Sn, N, B) further enhance lithium storage capacity. As anodes in half batteries, the SSBCN exhibits ultrahigh reversible capacities of 2072.8 mAh/g at 0.1 A/g, excellent rate performance of 501.8 mAh/g at 10 A/g and prominent long-term cycle stability of 400 and 1000 cycles at 1 and 5 A/g, respectively. Moreover, SSBCN//LiFePO4 (LFP) full bat-teries also display remarkable cycle durability with a 92.72% capacity retention after 600 cycles at 1C. This work outperforms most of the recently reported SiOx-based anodes and renders a new opportunity of m-SiOx in high-performance LIBs.</t>
  </si>
  <si>
    <t>Yang, Zhenglong/HGX-4218-2022; Shao, Wei/AAB-8114-2019; Fu, Ning/KJL-0534-2024; Huang, Jia/A-5270-2010</t>
  </si>
  <si>
    <t>10.1016/j.cej.2022.140820</t>
  </si>
  <si>
    <t>WOS:000895274100004</t>
  </si>
  <si>
    <t>Cheng, RQ; Li, KQ; Li, Z; Jiang, M; Wang, F; Yang, ZH; Zhao, TS; Meng, PY; Fu, CP</t>
  </si>
  <si>
    <t>Cheng, Ruiqi; Li, Kaiqi; Li, Zhao; Jiang, Min; Wang, Fei; Yang, Zhaohui; Zhao, Tianshuo; Meng, Pengyu; Fu, Chaopeng</t>
  </si>
  <si>
    <t>Rational design of boron-nitrogen coordinated active sites towards oxygen reduction reaction in aluminum-air batteries with robust integrated air cathode</t>
  </si>
  <si>
    <t>Rational design of cost-effective electrocatalysts for oxygen reduction reaction (ORR) is essential for developing metal-air batteries. In this work, we propose a pre-self-assembled strategy to prepare controllable B-N coordinated active sites anchored on carbon supports as an efficient electrocatalyst for ORR. The precisely coordinated B-N coordination from the pre-self-assembled boronate-amino ligands are sealed on the in-situ formed carbon dots (CDs) for preservation and further converted into B-N coordinated active sites on the carbon support. The B-N coordinated active sites anchored on the graphene aerogel (denoted as B-N-G) exhibit Pt/C competitive ORR catalytic activity in both alkaline and neutral media, which are attributed to the high content of efficient B-N coordinated active sites with expanded lattice spacing. The operando Fourier transform infrared (FTIR) spectroscopy and density functional theory (DFT) calculations explain the catalytic mechanism and identify the active sites of the B-N coordination. Furthermore, the B-N-G is directly processed into an integrated air cathode, and the Al-air batteries with the B-N-G integrated air cathode exhibit superior discharge performance and good stability in both NaOH and NaCl electrolytes. This study demonstrates a feasible pre-self-assembled approach to achieve designed B-N coordination in carbon-based electrocatalysts for metal-air batteries.</t>
  </si>
  <si>
    <t>Yang, Zhaohui/AAD-2158-2019; Wang, Fei/HPC-5154-2023; Li, Zhao/NXC-7738-2025</t>
  </si>
  <si>
    <t>Li, Zhao/0000-0002-9685-8049;</t>
  </si>
  <si>
    <t>10.1016/j.jpowsour.2022.232476</t>
  </si>
  <si>
    <t>WOS:000899390300004</t>
  </si>
  <si>
    <t>Dosso, J; Oubaha, H; Fasano, F; Melinte, S; Gohy, JF; Hughes, CE; Harris, KDM; Demitri, N; Abrami, M; Grassi, M; Bonifazi, D</t>
  </si>
  <si>
    <t>Dosso, Jacopo; Oubaha, Hamid; Fasano, Francesco; Melinte, Sorin; Gohy, Jean-Francois; Hughes, Colan E.; Harris, Kenneth D. M.; Demitri, Nicola; Abrami, Michela; Grassi, Mario; Bonifazi, Davide</t>
  </si>
  <si>
    <t>Boron Nitride-Doped Polyphenylenic Organogels</t>
  </si>
  <si>
    <t>Herein, we describe the synthesis of the first boron nitride-doped polyphenylenic material obtained through a [4 + 2] cycloaddition reaction between a triethynyl borazine unit and a biscyclopentadienone derivative, which undergoes organogel formation in chlorinated solvents (the critical jellification concentration is 4% w/w in CHCl3). The polymer has been characterized extensively by Fourier-transform infrared spectroscopy, solid-state C-13 NMR, solid-state B-11 NMR, and by comparison with the isolated monomeric unit. Furthermore, the polymer gels formed in chlorinated solvents have been thoroughly characterized and studied, showing rheological properties comparable to those of polyacrylaniide gels with a low crosslinker percentage. Given the thermal and chemical stability, the material was studied as a potential support for solid-state electrolytes. showing properties comparable to those of polyethylene glycol-based electrolytes, thus presenting great potential for the application of this new class of material in lithium-ion batteries.</t>
  </si>
  <si>
    <t>Hughes, Charlie/MZS-2057-2025; Harris, Kenneth/ABF-2059-2022; dosso, jacopo/IUN-9761-2023; Grassi, Mario/GRS-8130-2022; DEMITRI, Nicola/O-7469-2015; Melinte, Sorin/A-7009-2010; Demitri, Nicola/O-7469-2015; Bonifazi, Davide/B-2718-2016</t>
  </si>
  <si>
    <t>Oubaha, Hamid/0000-0001-9609-7094; GRASSI, Mario/0000-0002-3532-3200; Dosso, Jacopo/0000-0003-4173-3430; DEMITRI, Nicola/0000-0003-0288-3233; Bonifazi, Davide/0000-0001-5717-0121</t>
  </si>
  <si>
    <t>DEC 13</t>
  </si>
  <si>
    <t>10.1021/acs.chemmater.2c01766</t>
  </si>
  <si>
    <t>NOV 2022</t>
  </si>
  <si>
    <t>WOS:000890514600001</t>
  </si>
  <si>
    <t>Kim, D; Mateti, S; Yu, BZ; Tanwar, K; Cai, QR; Jiang, HB; Fan, Y; O'Dell, LA; Chen, Y</t>
  </si>
  <si>
    <t>Kim, Donggun; Mateti, Srikanth; Yu, Baozhi; Tanwar, Khagesh; Cai, Qiran; Jiang, Hongbo; Fan, Ye; O'Dell, Luke A.; Chen, Ying</t>
  </si>
  <si>
    <t>Hybrid Artificial Solid Electrolyte Interphase with Dendrite-Free Lithium Deposition and High Ion Transport Kinetics</t>
  </si>
  <si>
    <t>Interfacial issues and dendritic Li deposition in lithium metal batteries (LMBs) hamper the practical application of liquid or solid-state cells. Here, a hybrid solid electrolyte interphase (SEI), based on hydroxyl-functionalized boron nitride (BN) nanosheets and poly(vinyl alcohol), is designed to solve the unstable nature of the Li anode-electrolyte interface. Rather than acquiring a rich Li halide environment through intense electrolyte decomposition, the hybrid SEI effectively regulates electrolyte decomposition and guarantees uniform Li plating via boosting interfacial Li+ ion transport at the interface. The Li+ ion boosting kinetics were deeply analyzed using simulations and spectroscopic analysis. It is revealed that the hydroxyl-functionalized BN can decrease kinetic energy barriers for Li+ ions and strongly holds TFSI- ions, thereby ensuring faster Li+ ion migration between electrodes and electrolytes. Tailoring the interfacial Li+ ion dynamics with hybrid SEI renders the Li transference number enhancement from 0.391 to 0.562 and 0.178 to 0.327 in liquid and solid-state cells, respectively. Moreover, Li symmetric cells with hybrid SEI exhibit an ultrahigh stability over 3500 h at 2 mA cm-2 with 2 mA h cm-2, along with the improved solid-state LMB performances. Our results suggest increasing Li+ ion transport at the interface is an alternative to resolve Li anode issues.</t>
  </si>
  <si>
    <t>; Cai, Qiran/ACW-2884-2022; Yu, Baozhi/IST-9330-2023; Chen, Ying/S-8795-2019; , QHuygens/JEZ-9554-2023; O'Dell, Luke/I-2569-2013; Mateti, srikanth/ABA-8744-2020</t>
  </si>
  <si>
    <t>Cai, Qiran/0000-0003-1444-9119; Tanwar, khagesh/0000-0002-6502-5992; Kim, Donggun/0000-0002-0164-2799; Chen, Ying Ian/0000-0002-7322-2224; O'Dell, Luke/0000-0002-7760-5417</t>
  </si>
  <si>
    <t>2022 NOV 15</t>
  </si>
  <si>
    <t>10.1021/acsami.2c16604</t>
  </si>
  <si>
    <t>WOS:000886214400001</t>
  </si>
  <si>
    <t>Luo, ZY; Hu, GR; Wang, WG; Du, K; Peng, ZD; Zeng, JY; Li, LY; Cao, YB</t>
  </si>
  <si>
    <t>Luo, Zhongyuan; Hu, Guorong; Wang, Weigang; Du, Ke; Peng, Zhongdong; Zeng, Jingyao; Li, Luyu; Cao, Yanbing</t>
  </si>
  <si>
    <t>Enhancing the electrochemical performance of Co-less Ni-rich LiNi0.925Co0.03Mn0.045O2 cathode material via Co-modification with Li2B4O7 coating and B3+ doping br</t>
  </si>
  <si>
    <t>Lithium tetraborate coating and boron doping are applied to the Co-less Ni-rich LiNi0.925Co0.03Mn0.045O2 (NCM) cathode material to improve the physical and electrochemical properties. Boric acid is transformed into lithium tetraborate through reacting with residual lithium compounds (LiOH/Li2CO3) on the surface of the NCM cathode material at 650 degrees C for 4 h. According to the calculation of density functional theory (DFT), it is more likely that boron ions are introduced into both transition metal ion sites and oxygen tetrahedral gap sites in the lattice of the cathode material surface. The modification sample displays an outstanding rate performance and cycling retention of 72.86% after 100 cycles compared to the bare NCM (59.65% after 100 cycles) at 1C under 55 degrees C. In addition, by comparing structure and morphology of the two samples after cycling, it is demonstrated that the synergic modification can improve the electrochemical properties of the material by effectively stabilizing the crystal structure and mitigating the erosion of the electrolyte.</t>
  </si>
  <si>
    <t>; Du, Ke/AAH-6588-2019</t>
  </si>
  <si>
    <t>Cao, Yanbing/0000-0001-5984-6973;</t>
  </si>
  <si>
    <t>10.1016/j.jpowsour.2022.232092</t>
  </si>
  <si>
    <t>WOS:000864691900003</t>
  </si>
  <si>
    <t>Wang, C; Zhang, XC; Peng, KT; Cui, YX; He, K; Zhang, X; Cao, Y; Xu, YC; Jin, XB</t>
  </si>
  <si>
    <t>Wang, Chao; Zhang, Xicheng; Peng, Kaite; Cui, Yixiu; He, Ke; Zhang, Xu; Cao, Yong; Xu, Yichun; Jin, Xianbo</t>
  </si>
  <si>
    <t>Electrochemical behaviors of Li-B alloys in a LiCl-LiBr-KBr molten salt system</t>
  </si>
  <si>
    <t>Li-B alloys present higher voltages and better power performances than those of conventional Li-Al and Li-Si anodes for thermal batteries. Herein, the electrochemical characteristics of the Li-B alloy in the LiCl-LiBr-KBr electrolyte, including the discharge mechanism, charge transfer coefficient and exchange current density, were investigated in the temperature range of 623-823 K by open circuit potential (OCP), cyclic voltammetry (CV), chronopotentiometry (CP), linear sweep voltammetry (LSV) and electrochemical impedance spectroscopy (EIS) techniques. Consequently, the OCP of the Li-B alloy in the LiCl-LiBr-KBr electrolyte is close to that of pure lithium at the investigated temperatures. The discharge of the Li-B alloy electrode includes electrochemical dissolution of free lithium (Li -&gt; Li+) and compounded lithium (LiB -&gt; Li+ + B). The charge transfer coefficient in the anodic direction (Li -&gt; Li+) is about 0.63 at 623 K, which slightly increases as the temperature increases. The exchange current density of the Li (Li-B)/Li+ couple determined by the EIS method increases from 3.84 A cm(-2) to 8.40 A cm(-2) when the temperature increases from 623 to 823 K, corresponding to an activation energy of 16.4 kJ mol(-1). These results suggest that the Li-B anode allows ultrahigh-rate discharge in thermal batteries.</t>
  </si>
  <si>
    <t>Jin, Xianbo/A-9109-2012</t>
  </si>
  <si>
    <t>Jin, Xianbo/0000-0002-3095-8979; Zhang, Xicheng/0000-0001-7179-9276</t>
  </si>
  <si>
    <t>NOV 30</t>
  </si>
  <si>
    <t>10.1039/d2cp04125a</t>
  </si>
  <si>
    <t>WOS:000889760900001</t>
  </si>
  <si>
    <t>Bodin, C; Saboya, JF; Jankowski, P; Radan, K; Foix, D; Courrèges, C; Yousef, I; Dedryvère, R; Davoisne, C; Lozinsek, M; Ponrouch, A</t>
  </si>
  <si>
    <t>Bodin, Charlotte; Saboya, Juan Forero; Jankowski, Piotr; Radan, Kristian; Foix, Dominique; Courreges, Cecile; Yousef, Ibraheem; Dedryvere, Remi; Davoisne, Carine; Lozinsek, Matic; Ponrouch, Alexandre</t>
  </si>
  <si>
    <t>Boron-Based Functional Additives Enable Solid Electrolyte Interphase Engineering in Calcium Metal Battery</t>
  </si>
  <si>
    <t>Calcium-metal batteries have received growing attention recently after several studies reporting successful metal plating and stripping with organic electrolytes. Given the low redox potential of metallic calcium, its surface is commonly covered by a passivation layer grown by the accumulation of electrolyte decomposition products. The presence of borate species in this layer has been shown to be a key parameter allowing for Ca2+ migration and favoring Ca electrodeposition. Here, boron-based additives are evaluated in order to tune the SEI composition, morphology, and properties. The decomposition of a BF3-based additive is studied at different potentiostatic steps and the resulting SEI layer was thoroughly characterized. SEI growth mechanism is proposed based on both experimental data and DFT calculations pointing at the formation of boron-crosslinked polymeric matrices. Several boron-based adducts are explored as SEI-forming additives for calcium-metal batteries paving the way to very rich chemistry leading to Ca2+ conducting SEI.</t>
  </si>
  <si>
    <t>; Lozinsek, Matic/MGU-4174-2025; Yousef, Ibraheem/K-9991-2017; Ponrouch, Alexandre/IWD-4879-2023; Jankowski, Piotr/AAD-4598-2020</t>
  </si>
  <si>
    <t>Ponrouch, Alexandre/0000-0002-8232-6324; Davoisne, Carine/0000-0001-8660-9367; Yousef, Ibraheem/0000-0001-7818-8611; Lozinsek, Matic/0000-0002-1864-4248; Jankowski, Piotr/0000-0003-0178-8955</t>
  </si>
  <si>
    <t>e202200433</t>
  </si>
  <si>
    <t>10.1002/batt.202200433</t>
  </si>
  <si>
    <t>WOS:000879918900001</t>
  </si>
  <si>
    <t>Zhao, YJ; Qin, YY; Da, XY; Weng, XJ; Gao, YY; Gao, GX; Su, YQ; Ding, SJ</t>
  </si>
  <si>
    <t>Zhao, Yuanjun; Qin, Yanyang; Da, Xinyu; Weng, Xianjun; Gao, Yiyang; Gao, Guoxin; Su, Yaqiong; Ding, Shujiang</t>
  </si>
  <si>
    <t>High Lithium Salt Content PVDF-Based Solid-State Composite Polymer Electrolyte Enhanced by h-BN Nanosheets</t>
  </si>
  <si>
    <t>Due to the unique safety qualities, solid composite polymer electrolyte (SCPE) has achieved considerable attentions to fabricate high-energy-density lithium metal batteries, but its overall performance still has to be improved. Herein, a high lithium salt content poly(vinylidene fluoride) (PVDF)-based SCPE was developed, enhanced by hexagonal boron nitride (h-BN) nanosheets, presenting perfect electrochemical performance, fast ion transport, and efficient inhibition of lithium dendrite growth. The optimized SCPE (PVDF-L70-B5) could deliver high ionic conductivity (2.98x10(-4) S cm(-1)), ultra-high Li+ ion transfer number (0.62), wide electrochemical stability window (5.24 V), and strong mechanical strength (3.45 MPa) at room temperature. Density functional theory calculation further confirmed that the presence of h-BN could promote the dissociation of bis(trifluoromethanesulfonyl)imide lithium (LiTFSI) and the rapid transfer of Li+ ions. As a result, the assembled symmetric Li/Li battery and asymmetric Li/LiFePO4 battery using PVDF-L70-B5 SCPEs both exhibited high reversible capacity, long-term cycle stability, and high-rate performance when cycled at 60 or 30 degrees C. The designed SCPEs will open up a new route to synthesize solid-state lithium batteries with high energy density and high safety.</t>
  </si>
  <si>
    <t>Qin, Yanyang/JTT-8944-2023; Gao, Yiyang/JBJ-1666-2023; Ding, Shujiang/G-5025-2011; Yu, Wei/ABO-9815-2022; Zhao, Yuanjun/LTF-3282-2024</t>
  </si>
  <si>
    <t>Ding, Shujiang/0000-0002-5683-0973;</t>
  </si>
  <si>
    <t>10.1002/cssc.202201554</t>
  </si>
  <si>
    <t>WOS:000879916400001</t>
  </si>
  <si>
    <t>Guzmán-González, G; Alvarez-Tirado, M; Olmedo-Martínez, JL; Picchio, ML; Casado, N; Forsyth, M; Mecerreyes, D</t>
  </si>
  <si>
    <t>Guzman-Gonzalez, Gregorio; Alvarez-Tirado, Marta; Olmedo-Martinez, Jorge L.; Picchio, Matias L.; Casado, Nerea; Forsyth, Maria; Mecerreyes, David</t>
  </si>
  <si>
    <t>Lithium Borate Ionic Liquids as Single-Component Electrolytes for Batteries</t>
  </si>
  <si>
    <t>Current electrolytes for lithium batteries are usually composed of at least two chemical compounds, an organic solvent such as a cyclic carbonate and a lithium salt such as LiPF6. Here, the concept of using a single-component electrolyte is demonstrated in lithium batteries based on new lithium borate ionic liquids at room temperature. The design concept of this class of lithium ionic liquids (LiILs) is based on an asymmetrically substituted central tetracoordinate boron atom with oligoethylene glycol groups, fluorinated electron-attracting groups, and one alkane group. The optimized borate-Li+ LiILs show a high ionic conductivity value of &gt;10(-4) S cm(-1) at 25 degrees C, high lithium transference numbers (tLi+${t_{L{i&lt;^&gt;{\bm{ + }}}}}$ = 0.4 - 0.5) and electrochemical stability (&gt;4 V). Some of the LiILs present high compatibility with lithium-metal electrodes showing stable polarization profiles in platting/stripping tests. The selected LiIL is investigated as single-component electrolytes in lithium-metal battery cells showing discharge capacity values in Li-0/LiIL/lithium-iron phosphate and Li-0/LiIL/lithium titanate cells of 124 and 75 mAh g(-1), respectively, at a C-rate of 0.2 C and 65 degrees C with low-capacity loss.</t>
  </si>
  <si>
    <t>Picchio, Matias/ADC-5746-2022; Mecerreyes, David/K-7541-2014; Forsyth, Maria/ABH-8102-2020; Casado, Nerea/ABG-9247-2020</t>
  </si>
  <si>
    <t>Picchio, Matias/0000-0003-3454-5992; Mecerreyes, David/0000-0002-0788-7156; Forsyth, Maria/0000-0002-4273-8105; Casado, Nerea/0000-0003-0799-5111; Guzman-Gonzalez, Gregorio/0000-0002-8080-0862</t>
  </si>
  <si>
    <t>JAN 6</t>
  </si>
  <si>
    <t>10.1002/aenm.202202974</t>
  </si>
  <si>
    <t>WOS:000879289500001</t>
  </si>
  <si>
    <t>Chen, ZM; Du, T; Sorensen, SS; Christensen, R; Zhang, Q; Jensen, LR; Magdysyuk, OV; Diaz-Lopez, M; Bauchy, M; Yue, YZ; Smedskjaer, MM</t>
  </si>
  <si>
    <t>Chen, Zhimin; Du, Tao; Sorensen, Soren S.; Christensen, Rasmus; Zhang, Qi; Jensen, Lars R.; V. Magdysyuk, Oxana; Diaz-Lopez, Maria; Bauchy, Mathieu; Yue, Yuanzheng; Smedskjaer, Morten M.</t>
  </si>
  <si>
    <t>Structure dependence of fracture toughness and ionic conductivity in lithium borophosphate glassy electrolytes for all-solid-state batteries</t>
  </si>
  <si>
    <t>Glass materials are potential candidates as solid electrolytes for batteries, but the atomistic origins of the variations in their properties and functionalities with composition are not well understood. Here, based on combined experimental and simulation techniques, we investigate the structural origin of the variation in fracture toughness and ionic conductivity of lithium borophosphate glass electrolytes with varying compositions. We focus on these properties since they are critically important for mechanical stability and electrochemical performances of glassy electrolytes. To this end, we have performed molecular dynamics simulations combined with X-ray total scattering experiments to provide the atomic picture of the disordered structure of borophosphate glass. The mechanical properties have been characterized through single-edge precracked beam measurements and axial tensile simulations. We find that the deformation and fracture behaviors of the electrolytes are governed by bond switching events of boron, which dissipate the strain energy during fracture. The migration of lithium ions in the electrolyte network is facilitated by hopping between superstructural rings, which reflects the important role of medium-range order structure in determining the lithium-ion diffusion. These findings have important implications for the design of future glassy electrolytes.</t>
  </si>
  <si>
    <t>Diaz-Lopez, Maria/AAA-8161-2022; Magdysyuk, Oxana/C-4067-2019; Yue, Yuanzheng/H-1313-2011; Magdysyuk, Oxana V./C-4067-2019; Bauchy, Mathieu/G-3675-2010; Smedskjaer, Morten/E-9631-2013</t>
  </si>
  <si>
    <t>Christensen, Rasmus/0000-0003-2654-1545; DIAZ-LOPEZ, Maria/0000-0001-5670-1859; Sorensen, Soren Strandskov/0000-0003-2230-7823; Jensen, Lars Rosgaard/0000-0003-1617-0306; Yue, Yuanzheng/0000-0002-6048-5236; Zhang, Qi/0009-0008-7041-0642; Magdysyuk, Oxana V./0000-0003-3842-3239; Chen, Zhimin/0000-0002-1017-7171;</t>
  </si>
  <si>
    <t>10.1016/j.jpowsour.2022.232302</t>
  </si>
  <si>
    <t>WOS:000882516000003</t>
  </si>
  <si>
    <t>Huang, BY; Lai, PB; Hua, HM; Ma, HS; Li, RY; Shen, X; Zhang, P; Zhang, YJ; Zhao, JB</t>
  </si>
  <si>
    <t>Huang, Boyang; Lai, Pengbin; Hua, Haiming; Ma, Haoshen; Li, Ruiyang; Shen, Xiu; Zhang, Peng; Zhang, Yingjie; Zhao, Jinbao</t>
  </si>
  <si>
    <t>Application for the porous structure of cellulose separators: Ionic conduction path in lithium-ion battery</t>
  </si>
  <si>
    <t>In lithium-ion batteries, separator is an important component as its porous structure is the ionic conduction path. Renewable biomacromolecule cellulose separators have pores that can be modified, and the modification has the potential to affect ion conduction. In this work, functionalized separators based on cellulose are pre-pared, which can affect the conduction behavior of ions. The cellulose separators TF4030 are firstly Atomic Layer Deposition (ALD) treated to get a silica reinforcement coating layer on the cellulose fibers; then, the ALD layer is further chemically modified to graft specific boron-containing groups -NH-B(OH)2 and form a functional structure on the surface of cellulose fibers. The conduction of lithium-ions is promoted due to the widely distributed electron-deficient boronic groups in the pores of the separator, reflected as the increased lithium-ion transference number of 0.48. Proved by Density Functional Theory (DFT) Calculations, the essen-tial reason for this phenomenon is that the binding of electron-deficient boron groups and anions weakens the conduction of anions as well as the binding of electron-deficient boron groups and solvents influences the des-olvation of lithium-ions in electrolytes. As a result, batteries assembled with functionalized cellulose separators have better battery performances, including cycle stability and capacity retention at high current rates.</t>
  </si>
  <si>
    <t>Yang, Jing/HZJ-3722-2023; zhao, jin/LBH-0351-2024</t>
  </si>
  <si>
    <t>10.1016/j.jelechem.2022.116937</t>
  </si>
  <si>
    <t>WOS:000882200500008</t>
  </si>
  <si>
    <t>Liu, R; Zhang, GY; Li, Y; Zhang, JF</t>
  </si>
  <si>
    <t>Liu, Rong; Zhang, Genyan; Li, Ying; Zhang, Jinfang</t>
  </si>
  <si>
    <t>Nanocomposite polymer electrolytes for solid-state lithium-ion batteries with enhanced electrochemical properties</t>
  </si>
  <si>
    <t>Solid-state polymer electrolytes (SPEs) have attracted significant attention owing to their improvement in high energy density and high safety performance. However, the low lithium-ion conductivity of SPEs at room temperature restricts their further application in lithium-ion batteries (LIBs). Herein, we propose a novel poly (ethylene oxide) (PEO)-based nanocomposite polymer electrolytes by blending boron-containing nanoparticles (BNs) in the PEO matrix (abbreviated as: PEO/BNs NPEs). The boron atom of BNs is sp(2)-hybridized and contains an empty p-orbital that can interact with the anion of lithium salt, promoting the dissociation of the lithium salts. In addition, the introduction of the BNs could reduce the crystallinity of PEO. And thus, the ionic conductivity of PEO/BNs NPEs could reach as high as 1.19 x 10(-3) S cm(-1) at 60 degrees C. Compared to the pure PEO solid polymer electrolyte (PEO SPEs), the PEO/BNs NPEs showed a wider electrochemical window (5.5 V) and larger lithium-ion migration number (0.43). In addition, the cells assembled with PEO/BNs NPEs exhibited good cycle performance with an initial discharge capacity of 142.5 mA h g(-1) and capacity retention of 87.7% after 200 cycles at 2 C (60 degrees C).</t>
  </si>
  <si>
    <t>li, Yunfan/HZJ-8983-2023</t>
  </si>
  <si>
    <t>10.1002/app.53337</t>
  </si>
  <si>
    <t>WOS:000878259500001</t>
  </si>
  <si>
    <t>Li, YN; Hu, AJ; Gan, XD; He, M; Zhu, J; Chen, W; Hu, Y; Lei, TY; Li, F; Li, YY; Fan, YX; Wang, F; Zhou, MJ; Wen, A; Li, BH</t>
  </si>
  <si>
    <t>Li, Yinuo; Hu, Anjun; Gan, Xingdong; He, Miao; Zhu, Jun; Chen, Wei; Hu, Yin; Lei, Tianyu; Li, Fei; Li, Yaoyao; Fan, Yuxin; Wang, Fan; Zhou, Mingjie; Wen, An; Li, Baihai</t>
  </si>
  <si>
    <t>Synergy of in-situ heterogeneous interphases tailored lithium deposition</t>
  </si>
  <si>
    <t>The implementation of a robust artificial solid electrolyte interphase (ASEI) to replace the unstable natural SEI can regulate lithium deposition behaviors and avoid the safety hazards caused by dendrites permeation in lithium metal batteries. Despite of devoted efforts in tailoring components of ASEI, the intrinsic mechanism of interfacial synergy within the heterogeneous interphases has not been well elucidated yet. Herein, we show that the lithium plating/striping behaviors can be substantially enhanced (over 900 h with an overpotential of less than 20 mV at 1 mA.cm(-2) in Li vertical bar Li symmetric cells and 146 cycles in anode-free cells) by regulating the heterogeneous interphases. This favorable ASEI composed of LIF and Li3N components can be in-situ generated during cycling by large-scale fabricated fluorinated boron nitride coatings. Further, the synergy of each heterogeneous component within ASEI was explored theoretically and experimentally. Li3N has high adsorption energy and low ion diffusion barrier, which facilitates the transport of lithium ions and avoids its local accumulation to evolve into dendrites. Both the substrate and LiF are interfacially stable with high electron tunneling barriers, preventing the electrolyte decomposition and parasitic reactions. Finally, the high stiffness of the boron nitride also ensures lithium dendrites are suppressed once they grow, providing a stable environment for long-term cycling of lithium metal batteries.</t>
  </si>
  <si>
    <t>lei, tianyu/AAQ-6796-2020; Hu, Anjun/AAS-2043-2020; Hu, Yin/GPG-0881-2022; Chen, Wei/LFS-5385-2024</t>
  </si>
  <si>
    <t>10.1007/s12274-022-5004-0</t>
  </si>
  <si>
    <t>WOS:000878469000001</t>
  </si>
  <si>
    <t>Chae, OB; Adiraju, VAK; Lucht, BL</t>
  </si>
  <si>
    <t>Chae, Oh B.; Adiraju, Venkata A. K.; Lucht, Brett L.</t>
  </si>
  <si>
    <t>Performance Improvement of Lithium Metal Batteries Enabled By LiBF3CN as a New Electrolyte Additive</t>
  </si>
  <si>
    <t>A newly synthesized electrolyte additive, lithium trifluoro(cyano) borate (LiBF3CN), has been investigated for electrochemical performance improvement of lithium metal batteries. The LiBF3CN has a structure where one fluorine atom of BF4 (-) is substituted with a cyano group (-CN) prepared by the reaction of boron trifluoride etherate with lithium cyanide. The electrochemical performance in symmetric Li/Li cells and NCM523/Li cells is significantly improved upon the incorporation of LiBF3CN as an electrolyte additive into a carbonate-based electrolyte. Extensive characterization of the deposited lithium metal reveals that a thin (approximate to 20 nm) and robust SEI composed of LiNxOy, Li3N and Li2O is formed by the reductive decomposition of the LiBF3CN additive, which plays an important role in decreasing the resistance and stabilizing lithium deposition/stripping. The insight into the substitution effect of a functional group obtained from this work provides guidance for the design of new electrolyte additives.</t>
  </si>
  <si>
    <t>Adiraju, Venkata A.K./0000-0001-6027-7288</t>
  </si>
  <si>
    <t>NOV 1</t>
  </si>
  <si>
    <t>10.1149/1945-7111/ac9d67</t>
  </si>
  <si>
    <t>WOS:000878377000001</t>
  </si>
  <si>
    <t>Gao, DY; Zhong, JY; Li, Y; Zhang, YY; Zhao, SH; Guo, ZL; Lin, J; Fang, Y; Tang, CC</t>
  </si>
  <si>
    <t>Gao, Dongyue; Zhong, Jinyou; Li, Ying; Zhang, Yaoyu; Zhao, Shihui; Guo, Zhonglu; Lin, Jing; Fang, Yi; Tang, Chengchun</t>
  </si>
  <si>
    <t>Efficient polyselenides anchoring and conversion by functionalized Mo2B2 MBene for advanced Li-Se battery</t>
  </si>
  <si>
    <t>The large-scale applications of lithium-selenium (Li-Se) batteries have not been realized due to the dis-solution of high-order polyselenides in electrolytes as well as the sluggish kinetics of low-order poly-selenides. To solve these problems, we systematically investigated the electrocatalysis and anchoring properties of two-dimensional transition metal boride (MBene) as cathode material for the enhanced electrochemical performance of Li-Se batteries via first principles calculations based on Density Functional Theory (DFT). Our results reveal that O/F-functionalized Mo2B2 MBenes exhibit suitable binding strength, which maintains the structure of polyselenides and effectively inhibits the shuttle effect. Meanwhile, Mo2B2O2 and Mo2B2F2 MBenes exhibit remarkable electronic conductivity even after the binding of Li2Se, facilitating the redox electrochemistry in Li-Se batteries. Further results indicate excellent electrocatalysis activity for Li-Se batteries with ultra-low kinetic energy barriers, including the diffusion and decomposition of Li2Se, which can improve the coulomb efficiency and capability of Li-Se batteries. We suppose that Mo2B2O2 and Mo2B2F2 MBenes can be regarded as promising anchoring and catalytic materials in Li-Se batteries, and our discovery will provide a novel strategy to design high-efficient cathode of Li-Se batteries.(c) 2022 Elsevier B.V. All rights reserved.</t>
  </si>
  <si>
    <t>Zhang, Yaoyu/LKJ-9623-2024; Guo, Zhonglu/S-4741-2017</t>
  </si>
  <si>
    <t>10.1016/j.jallcom.2022.167722</t>
  </si>
  <si>
    <t>OCT 2022</t>
  </si>
  <si>
    <t>WOS:000883477200001</t>
  </si>
  <si>
    <t>Moghadam, YS; El Kharbachi, A; Cambaz, MA; Dinda, S; Diemant, T; Hu, Y; Melinte, G; Fichtner, M</t>
  </si>
  <si>
    <t>Moghadam, Yasaman Shirazi; El Kharbachi, Abdel; Cambaz, Musa Ali; Dinda, Sirshendu; Diemant, Thomas; Hu, Yang; Melinte, Georgian; Fichtner, Maximilian</t>
  </si>
  <si>
    <t>Borate-Based Surface Coating of Li-Rich Mn-Based Disordered Rocksalt Cathode Materials</t>
  </si>
  <si>
    <t>Upon cycling, Li-rich Mn-based disordered rocksalt (DRS) oxyfluoride cathode materials undergo unwanted degradation processes, which are triggered by chemical side reactions or irreversible oxygen redox activity, especially at high voltages and in contact with the electrolyte. A surface coating can be an effective strategy to mitigate these parasitic reactions. However, oxyfluorides generally experience limited stability, which makes the application of coatings requiring high temperatures challenging. For this purpose, this study is dealing with the implementation of a chemically inert and Li ion conducting borate-based coating at mild-temperature (300 degrees C), following a dry process on the Li2Mn2/3Ti1/3O2F particles. Electrochemical characterization, as function of the amount of coating, C-rate and temperature, indicate that the coated samples possess considerably improved capacity retention and reduced Mn-dissolution, however, at the cost of a measurable initial capacity loss. The authors further demonstrate that the presence of the coating reduces the interfacial resistance, which is beneficial for Li ion transfer. The 3 wt%-coated sample loses only 27% of the capacity, where around 130 mAh g(-1) after 100 cycles is retained. The utilization of surface modification can open up a path for further development of DRS cathode materials with high performance for Li-ion batteries.</t>
  </si>
  <si>
    <t>; Hu, Yang/F-7781-2014; El Kharbachi, Abdel/S-5978-2016; El Kharbachi, A./S-5978-2016; Moghadam, Yasaman/AAR-4863-2020; Cambaz, Musa/S-9574-2017; Fichtner, Maximilian/A-4731-2013</t>
  </si>
  <si>
    <t>Hu, Yang/0000-0001-6864-6498; El Kharbachi, A./0000-0003-4332-1544; Dinda, Sirshendu/0000-0002-8911-3647;</t>
  </si>
  <si>
    <t>10.1002/admi.202201200</t>
  </si>
  <si>
    <t>WOS:000872169200001</t>
  </si>
  <si>
    <t>Wang, YX; Liu, RJ; Chen, WD; Li, WM; Zheng, W; Zhang, H; Zhang, ZY</t>
  </si>
  <si>
    <t>Wang, Yuxin; Liu, Renjie; Chen, Wendi; Li, Wenming; Zheng, Wei; Zhang, Hui; Zhang, Zhongyi</t>
  </si>
  <si>
    <t>Bimetallic Sulfides Embedded in a Boron Modulated Carbon Matrix as the Bifunctional Catalyst with a Low Oxygen Evolution Reaction Overpotential for an Advanced Zinc-Air Battery</t>
  </si>
  <si>
    <t>A composite bifunctional catalyst (FeNiS-NBC/C) was prepared with iron nickel sulfide nanoparticles embedded in a hybrid carbon matrix. The unique introduction of the boron element modulated the structure in achieving an ultralow oxygen evolution reaction (OER) overpotential. The incorporation of cellulose in the synthesis has improved the oxygen reduction reaction (ORR) performance. In the two-step synthesized FeNiS-NBC/C, a mixed transport network formed, with enhanced heterostructures and abundant catalytic sites. FeNiSNBC/C exhibits the OER overpotential of 216 mV at the current density of 10 mA cm-2, as well as with the excellent ORR performance. The low OER overpotential reduces the oxidation corrosion in the rechargeable zinc-air batteries. The zinc-air battery with a liquid electrolyte assembled using FeNiS-NBC/C exhibited the power density of 133.0 mW cm-2 and specific capacity of 797.8 mAh g-1. The solid-state zinc-air battery assembled using FeNiS-NBC/C exhibited the power density of 61.4 mW cm-2 and can be stably charge-discharge cycled for 46 h. This work pointed out a novel avenue to construct bifunctional catalysts in the future for advanced zinc-air batteries.</t>
  </si>
  <si>
    <t>zhang, zhongyi/S-7727-2016; Zheng, Weijie/NMK-5286-2025</t>
  </si>
  <si>
    <t>NOV 7</t>
  </si>
  <si>
    <t>10.1021/acssuschemeng.2c03971</t>
  </si>
  <si>
    <t>WOS:000876811700001</t>
  </si>
  <si>
    <t>Zou, YM; Sun, CC; Li, SW; Bai, M; Du, YX; Zhang, M; Xu, F; Ma, Y</t>
  </si>
  <si>
    <t>Zou, Yi-ming; Sun, Chang-chun; Li, Shao-wen; Bai, Miao; Du, Yu-xuan; Zhang, Min; Xu, Fei; Ma, Yue</t>
  </si>
  <si>
    <t>Construction of a flexible, integrated rechargeable Li battery based on a coaxial anode with a carbon fiber core encapsulated in FeNiMnO4 and a nitrogen-doped carbon sheath</t>
  </si>
  <si>
    <t>NEW CARBON MATERIALS</t>
  </si>
  <si>
    <t>A coaxial anode with a carbon fiber core encapsulated in nanocrystalline FeNiMnO4 with a nitrogen-doped carbon sheath was prepared using carbon fiber cloth as the core, FeNiMnO4 nanocrystallite arrays as the first coating layer and nitrogen-doped carbon derived from F127 (a kind of triblock copolymer)-resorcinol-melamine gel as the outer layer. After annealing at 600 degrees C it was used as the anode material of an all solid flexible lithium ion battery using LiFePO4 as the cathode material and boron nitride modified polyethylene oxide as the electrolyte. The battery had a large areal capacity of similar to 1.40 mAh cm(-2) and satisfactory cycling stability under different bending and strain states. Annealing below 600 degrees C leads to incomplete carbonization of the nitrogen-doped carbon and thus a low electrical conductivity while above 600 degrees C aggregation of FeNiMnO4 nanocrystallites and their detachment during cycling are observed under bending and strain.</t>
  </si>
  <si>
    <t>徐, 飞/KOD-5175-2024; zhang, min/IYI-9869-2023; kearon, mars/IAO-7213-2023</t>
  </si>
  <si>
    <t>Xu, Fei/0000-0003-2446-8903</t>
  </si>
  <si>
    <t>2097-1605</t>
  </si>
  <si>
    <t>1872-5805</t>
  </si>
  <si>
    <t>10.1016/S1872-5805(22)60617-6</t>
  </si>
  <si>
    <t>WOS:000879556400009</t>
  </si>
  <si>
    <t>Liu, ZH; Zhang, TF; Ju, SL; Ji, YD; Hu, ZT; Lv, YT; Xia, GL; Yu, XB</t>
  </si>
  <si>
    <t>Liu, Zhenhua; Zhang, Tengfei; Ju, Shunlong; Ji, Yanda; Hu, Zhaotong; Lv, Yingtong; Xia, Guanglin; Yu, Xuebin</t>
  </si>
  <si>
    <t>Fast Ionic Migration from Bulk to Interface in the Li(NH3)XBH4@SiO2 Composite</t>
  </si>
  <si>
    <t>Lithium borohydride (LiBH4), with high compatibility to lithium anode, low grain boundary resistance, and light mass, is regarded as a promising solid-state electrolyte. However, poor ionic conductivity at room temperature limits its practical application in all-solid-state lithium-ion batteries (ASSLBs). In the present study, Li(NH3)xBH4@SiO2 (0 &lt; x &lt; 0.5) composites were obtained by ammonia absorption and simple ball-milling. Among them, Li(NH3)0.5BH4@ SiO2 exhibits a high ionic conductivity of 3.95 x 10-2 S cm-1 at 60 degrees C, with a lithium transference number up to 0.9999 at 30 degrees C. More importantly, the experimental results and density functional theory (DFT) calculations show that the skeleton and interfacial interaction of silica can effectively improve the electrochemical performance of the full cell. All-solid-state lithium-sulfur batteries exhibit a specific discharge capacity of 1221.7 mAh g-1 after 10 cycles. Reversible capacities of 1589, 1381, 1176, 969, and 695 mAh g-1 could be achieved at 0.1, 0.2, 0.3, 0.5, and 1C, respectively. These findings prove that Li(NH3)xBH4@SiO2 is an attractive electrolyte for next-generation ASSLBs.</t>
  </si>
  <si>
    <t>Ji, Yanda/C-9366-2013; Ju, Shunlong/ABI-6208-2020; Xia, Guanglin/D-6117-2015; Yu, Xuebin/E-9785-2012</t>
  </si>
  <si>
    <t>Ju, Shunlong/0000-0003-4342-0729; Xia, Guanglin/0000-0002-3493-4309;</t>
  </si>
  <si>
    <t>OCT 19</t>
  </si>
  <si>
    <t>10.1021/acsaem.2c02871</t>
  </si>
  <si>
    <t>WOS:000875657300001</t>
  </si>
  <si>
    <t>Wang, XX; Song, ZY; Wu, H; Yu, HL; Feng, WF; Armand, M; Huang, XJ; Zhou, ZB; Zhang, H</t>
  </si>
  <si>
    <t>Wang, Xingxing; Song, Ziyu; Wu, Hao; Yu, Hailong; Feng, Wenfang; Armand, Michel; Huang, Xuejie; Zhou, Zhibin; Zhang, Heng</t>
  </si>
  <si>
    <t>Anion Donicity of Liquid Electrolytes for Lithium Carbon Fluoride Batteries</t>
  </si>
  <si>
    <t>The increasing demand for high-energy powers have greatly incentivized the development of lithium carbon fluoride (Li||CFx) cells. Five kinds of non-aqueous liquid electrolytes with various kinds of lithium salts (LiX, X=PF6-, TFSI-, BF4-, ClO4-, and CF3SO3-) were comparatively studied. Intriguingly, the LiBF4-based electrolyte show relatively moderate ionic conductivities; yet, the corresponding Li||CFx cells deliver the highest discharge capacities among them. A combination of morphological and compositional analyses of the discharge CFx cathode suggest that the moderate donicity of BF4- anion is accountable for favoring the breakdown of C-F bonds, and subsequently forming crystalline lithium fluoride as the main discharge products. This work brings not only fresh understanding on the role of salt anions for Li||CFx cells, but also inspire the electrolyte design for other conversion-type (sulfur and/or organosulfur) cathode materials desired for high-energy applications.</t>
  </si>
  <si>
    <t>; Armand, Michel/HMV-0633-2023; Huang, Xuejie/ACZ-0959-2022; Zhang, Heng/AAD-4450-2020; yu, hailong/F-7716-2011</t>
  </si>
  <si>
    <t>Zhang, Heng/0000-0002-8811-6336;</t>
  </si>
  <si>
    <t>NOV 21</t>
  </si>
  <si>
    <t>10.1002/anie.202211623</t>
  </si>
  <si>
    <t>WOS:000869885900001</t>
  </si>
  <si>
    <t>Han, H; Wang, YY; Yu, XC; Ma, YN; Chen, X</t>
  </si>
  <si>
    <t>Han, Hui; Wang, Ying-Ying; Yu, Xing-Chao; Ma, Yan-Na; Chen, Xuenian</t>
  </si>
  <si>
    <t>A Simple and Efficient Way to Directly Synthesize Unsolvated Alkali Metal (M = Na, K) Salts of [CB11H12]-</t>
  </si>
  <si>
    <t>CRYSTALS</t>
  </si>
  <si>
    <t>Alkali metal (M = Na, K) salts of the [CB11H12](-) anion have attracted increasing attention in many fields such as catalysis and all-solid-state batteries. However, tedious and low-yielding synthetic methods have seriously limited their application in these fields. We developed a facile method for the direct synthesis of the unsolvated potassium and sodium salts of the [CB11H12](-) anion in 66% and 68% yields, respectively, by reactions of Na[B11H14] with NaH/NaHMDS (sodium bis(trimethylsilyl)amide), CF3SiMe3 in THF and K[B11H14] with KH, CF3SiMe3 in DME. This method avoids the exchange of cation and significantly simplifies the reaction setup, thus enabling convenient large-scale synthesis. It is believed that this method will support further application of Na[CB11H12] and K[CB11H12] as solid electrolytes for an all-solid-state battery.</t>
  </si>
  <si>
    <t>; Han, Hui/IUM-9559-2023</t>
  </si>
  <si>
    <t>Ma, Yan-Na/0000-0001-5297-1851;</t>
  </si>
  <si>
    <t>2073-4352</t>
  </si>
  <si>
    <t>10.3390/cryst12101339</t>
  </si>
  <si>
    <t>WOS:000872777800001</t>
  </si>
  <si>
    <t>Zheng, CL</t>
  </si>
  <si>
    <t>Zheng, Changlin (Allen)</t>
  </si>
  <si>
    <t>Examining the Benefits of Using Boron Compounds in Lithium Batteries: A Comprehensive Review of Literature</t>
  </si>
  <si>
    <t>Boron and boron compounds have been extensively studied together in the history and development of lithium batteries, which are crucial to decarbonization in the automotive industry and beyond. With a wide examination of battery components, but a boron-centric approach to raw materials, this review attempts to summarize past and recent studies on the following: which boron compounds are studied in a lithium battery, in which parts of lithium batteries are they studied, what improvements are offered for battery performance, and what improvement mechanisms can be explained. The uniqueness of boron and its extensive application beyond batteries contextualizes the interesting similarity with some studies on batteries. At the end, the article aims to predict prospective trends for future studies that may lead to a more extensive use of boron compounds on a commercial scale.</t>
  </si>
  <si>
    <t>Zheng, Changlin/0000-0001-5843-3042</t>
  </si>
  <si>
    <t>10.3390/batteries8100187</t>
  </si>
  <si>
    <t>WOS:000872262400001</t>
  </si>
  <si>
    <t>Zhang, SX; Cheng, MX; Zhang, P; Wang, YR; Zhang, D; Yang, Y; Wang, JL; Nuli, Y</t>
  </si>
  <si>
    <t>Zhang, Shuxin; Cheng, Mingxiang; Zhang, Peng; Wang, Yaru; Zhang, Duo; Yang, Yang; Wang, Jiulin; Nuli, Yanna</t>
  </si>
  <si>
    <t>Insights into the stability of magnesium borate salts for rechargeable magnesium batteries from AIMD simulations</t>
  </si>
  <si>
    <t>CHEMICAL COMMUNICATIONS</t>
  </si>
  <si>
    <t>We present AIMD simulations for the stability of boron-center salts, Mg[B(Ohfip)(4)](2) and Mg[B(Otfe)(4)](2), compared to Mg(TFSI)(2), and provide a visible reaction process at the atomic level. -CF3 groups have a positive effect on the electrochemical performance, and C atoms do not easily fall off from the anion groups to form a SEI in Mg[B(Ohfip)(4)](2), which will help to find high-performance magnesium electrolytes.</t>
  </si>
  <si>
    <t>Wang, Jiulin/G-2694-2010</t>
  </si>
  <si>
    <t>Zhang, Shuxin/0000-0001-5280-1529</t>
  </si>
  <si>
    <t>1359-7345</t>
  </si>
  <si>
    <t>1364-548X</t>
  </si>
  <si>
    <t>OCT 25</t>
  </si>
  <si>
    <t>10.1039/d2cc04357b</t>
  </si>
  <si>
    <t>SEP 2022</t>
  </si>
  <si>
    <t>WOS:000864822100001</t>
  </si>
  <si>
    <t>Jiang, HZ; Chen, Z; Yang, YY; Fan, C; Zhao, JW; Cui, GL</t>
  </si>
  <si>
    <t>Jiang, Hongzhu; Chen, Zheng; Yang, Yuanyuan; Fan, Cheng; Zhao, Jingwen; Cui, Guanglei</t>
  </si>
  <si>
    <t>Rational Design of Functional Electrolytes Towards Commercial Dual-Ion Batteries</t>
  </si>
  <si>
    <t>Dual-ion batteries (DIBs) based on anion (de)intercalation into low-cost graphitic carbon cathodes hold great promise in grid-scale energy storage. Different from the electrolyte in rocking-chair batteries, which only serves as a charge transporter, both cations and anions in the electrolyte for DIBs participate in battery reactions. Hence, the impact of the electrolyte formulation on cycle life, energy density, as well as cost has become a subject of vital importance. This review discussed the challenges and recent progress of electrolytes for DIBs, with a particular focus on the exploration of electrolytes with high oxidation stability, high salt concentration, high ionic conductivity, and low cost. Moreover, the influence of varied ion concentrations at different state-of-charge levels on the electrolyte properties such as ionic conductivity and electrochemical stability is analyzed. Finally, perspectives on the current limitations and future research directions of electrolytes for DIBs are provided.</t>
  </si>
  <si>
    <t>Cui, Guanglei/D-4816-2011</t>
  </si>
  <si>
    <t>2022 SEP 29</t>
  </si>
  <si>
    <t>10.1002/cssc.202201561</t>
  </si>
  <si>
    <t>WOS:000861450700001</t>
  </si>
  <si>
    <t>Johnston, JM; Canever, N; Nann, T</t>
  </si>
  <si>
    <t>Johnston, Jacob M.; Canever, Nicolo; Nann, Thomas</t>
  </si>
  <si>
    <t>Nonmetal Chloride Cathodes for Al-Ion Batteries</t>
  </si>
  <si>
    <t>Aluminum-ion batteries inherently operate at a lower voltage than their lithium counterparts due to the more positive reduction potential of Al2Cl7-/Al (-0.7 V vs SHE) compared to Li+/Li (-3.04 V vs SHE). In order to compete, these batteries must utilize inexpensive, high capacity materials to make up for this lower voltage. Herein, we showcase the possibility of using nonmetal inorganic chloride cathodes, with the tantalizing possibility of utilizing boron, which has 7438 mAh/g of theoretical capacity; the highest of any conversion material. An experimental capacity of 4500 mAh/g was achieved using B-P@hBN, and capacity retention is enhanced using hBN to help adsorb the charged species. Although capacity retention still leaves something to be desired, this showcases the possibility of ultra-high-capacity cathode materials exceeding even sulfur in halogen based ionic liquid electrolytes with more development.</t>
  </si>
  <si>
    <t>Nann, Thomas/F-6239-2010; Nann, Thomas/ABC-2937-2021</t>
  </si>
  <si>
    <t>Nann, Thomas/0000-0002-2723-6553; Johnston, Jacob/0000-0001-6658-6639;</t>
  </si>
  <si>
    <t>OCT 13</t>
  </si>
  <si>
    <t>10.1021/acs.jpcc.2c05354</t>
  </si>
  <si>
    <t>WOS:000868881300001</t>
  </si>
  <si>
    <t>Yin, JY; Xu, X; Jiang, S; Lei, Y; Gao, YF</t>
  </si>
  <si>
    <t>Yin, Junying; Xu, Xin; Jiang, Sen; Lei, Yue; Gao, Yunfang</t>
  </si>
  <si>
    <t>Bi-nanofillers integrated into PEO-based electrolyte for high-performance solid-state Li metal batteries</t>
  </si>
  <si>
    <t>Solid-state lithium metal batteries (SSLMBs) with high safety and high energy densities draw widespread attention in recent years. Nevertheless, the intrinsic defects of the solid-state electrolyte (SSE) such as the poor compatibility with electrodes and low ionic conductivity hamper the application of SSMLBs. Herein, we intro-duce rigid two-dimensional hexagonal boron nitride (BN) nanosheets and flexible One-dimensional aramid nanofibers (ANFs) as bi-nanofillers into the polyethylene oxide (PEO)-based SSEs to fabricate a composite solid-state electrolyte (CSE) ANF-PEO-BN with network structure boosting the comprehensive performance of SSMLBs. ANF and BN with special properties and structures are prone to be dispersed homogeneously in the PEO matrix to build the ANF-PEO-BN electrolyte, whose rigid and flexible network structure ensures the formation of Li den-drites inhibited. Furthermore, the dissociation of lithium bis(trifluoromethanesulphonyl)imide (LiTFSI) is pro-moted and more ion transport channels are provided due to the strong affinity between Lewis acid centers of ANF/BN and Li+/TFSI-. As a result, the LiFePO4/Li batteries deliver high-capacity retention of 86% after 500 cycles and Li/Li cells stably cycle beyond 3300 h with small overpotential of 10 mV at 0.1 mA cm-2/0.2 mAh cm- 2.</t>
  </si>
  <si>
    <t>; Jiang, Senwei/HSE-5278-2023</t>
  </si>
  <si>
    <t>Yin, Junying/0000-0001-9357-3999; Xu, Xin/0000-0003-2832-5483;</t>
  </si>
  <si>
    <t>10.1016/j.jpowsour.2022.232139</t>
  </si>
  <si>
    <t>WOS:000869404500002</t>
  </si>
  <si>
    <t>Kirubakaran, KP; Chenrayan, S; Kumaresan, L; Kasiviswanathan, K; Vediappan, K</t>
  </si>
  <si>
    <t>Kirubakaran, Kiran Preethi; Chenrayan, Senthil; Kumaresan, Lakshmanan; Kasiviswanathan, Kavibharathy; Vediappan, Kumaran</t>
  </si>
  <si>
    <t>Sensitive mode investigations of lithium-ion cells with tavorite-type LiVXO4F (X = B, Si) as cathodes with stable cycling in low temperature operations</t>
  </si>
  <si>
    <t>APPLIED PHYSICS LETTERS</t>
  </si>
  <si>
    <t>Li-ion battery cathodes appear to be a significant factor affecting the total amount of energy delivered and the cost of the battery systems. LiVXO4F (X = B, Si), a polyanionic-based tavorite structure, is investigated as a cathode for Li-ion batteries and its capability to endure in sensitive mode operations, i.e., at temperatures of approximately 55 and -10 ?. Due to the near-freezing point at the atomic level and the absence of kinetic energy, a battery system operating at a lower temperature is theoretically expected to perform inferior. On the contrary, Vanadium boron oxyfluoride (VBF) has better electrochemical properties because of its tightly packed covalent bond, which produced structural stability at low temperature activities. This intriguing feature appears to hold promise for its use in advanced rechargeable battery systems in low-temperature areas and cold storage devices. This might pave the path for future energy storage and conversion devices to use neoteric tavorite structured electrodes. Published under an exclusive license by AIP Publishing.</t>
  </si>
  <si>
    <t>; Senthil, Chenrayan/G-6743-2014; Kumaresan, Lakshmanan/KIL-8402-2024; Vediappan, Kumaran/ABE-6477-2021; Chenrayan, Senthil/G-6743-2014; Kirubakaran, Kiran Preethi/MTC-9679-2025</t>
  </si>
  <si>
    <t>Vediappan, Kumaran/0000-0002-8453-9198; Senthil, Chenrayan/0000-0003-0076-1419; Kirubakaran, Kiran Preethi/0000-0003-2802-2300;</t>
  </si>
  <si>
    <t>0003-6951</t>
  </si>
  <si>
    <t>1077-3118</t>
  </si>
  <si>
    <t>10.1063/5.0101447</t>
  </si>
  <si>
    <t>WOS:000864460600013</t>
  </si>
  <si>
    <t>Li, HX; Zhu, JH; Huang, XB; Zhou, T; Ren, YR</t>
  </si>
  <si>
    <t>Li, Hao-Xiang; Zhu, Jia-Hui; Huang, Xiao-Bing; Zhou, Tao; Ren, Yu-Rong</t>
  </si>
  <si>
    <t>Enhancing lithium-ion and electric conductive Li2FeSiO4 cathode through in situ boron-doping and carbon-coating strategy</t>
  </si>
  <si>
    <t>The extremely low electrical conductivity and ion-diffusion coefficient of Li2FeSiO4 limits its application as a cathode material in lithium-ion batteries. Therefore, in situ boron-doped Li2FeSi1-xBxO4-delta/C (x = 0, 0.01, 0.03, 0.05 and 0.07) at the Si site was prepared via the solid-state reaction method using pitch as the carbon source. B doping in the lattice structure and a carbon coating on the surface of the composites could effectively enhance the Li+/electron conductivity. Moreover, the reduced particle size of the active material with the relatively high specific area via boron-doped modification could improve the wettability between the electrolyte and cathode. With the synergistic effect of appropriate boron doping and carbon coating, it exhibits a good rate performance, specific capacity, and cycling performance. As a result, the as-prepared Li2FeSi0.95B0.05O4-delta/C cathode showed a high discharge capacity of 160.7 mAh.g(-1) at 0.2C, and the capacity retention rate was 96% after 100 cycles at 1.0C. This work presents an effective path for designing advanced cathode materials for lithium-ion batteries.</t>
  </si>
  <si>
    <t>Ren, yu/KYY-9101-2024</t>
  </si>
  <si>
    <t>10.1007/s12598-022-02077-z</t>
  </si>
  <si>
    <t>WOS:000859732000002</t>
  </si>
  <si>
    <t>Kumar, A; Parida, P</t>
  </si>
  <si>
    <t>Kumar, Ajay; Parida, Prakash</t>
  </si>
  <si>
    <t>Theoretical study of δ-5 boron monolayer as an anode material for Li- and non-Li-ion batteries</t>
  </si>
  <si>
    <t>JOURNAL OF MATERIALS RESEARCH</t>
  </si>
  <si>
    <t>We have studied the electrochemical performance of the 6-5 boron monolayer as an anode material for alkali metal (AM) and alkaline earth metal (AEM) ion batteries using density-functional theory simulations. The electronic properties, adsorption, diffusion rate, and storage behavior of various metal atoms (M) in the delta-5 boron monolayer are explored. Our study shows that the delta-5 boron monolayer possesses high electrical conductivity and a low activation barrier for electron and metal-ion transit (0.493-1.117 eV), indicating a fast charge/discharge rate. Furthermore, the theoretical capacities of the delta-5 boron monolayer for Li, Na, and K are found to be greater than those of commercial graphite. The average open-circuit voltage for AM and AEM is reasonably low and in the range of 0.34-1.30 V. Our results show that delta-5 boron monolayer could be a promising anode material in lithium-ion and non-lithium-ion rechargeable batteries.</t>
  </si>
  <si>
    <t>; Parida, Prakash/G-4793-2010</t>
  </si>
  <si>
    <t>Kumar, Ajay/0000-0002-1372-1435;</t>
  </si>
  <si>
    <t>0884-2914</t>
  </si>
  <si>
    <t>2044-5326</t>
  </si>
  <si>
    <t>OCT 28</t>
  </si>
  <si>
    <t>10.1557/s43578-022-00734-8</t>
  </si>
  <si>
    <t>WOS:000859702400002</t>
  </si>
  <si>
    <t>Su, KLM; Chen, J; Zhang, X; Feng, JZ; Xu, YT; Pu, YX; Wang, CS; Ma, PJ; Wang, Y; Lang, JW</t>
  </si>
  <si>
    <t>Su, Kailimai; Chen, Jing; Zhang, Xu; Feng, Jianze; Xu, Yongtai; Pu, Yunxun; Wang, Chengshuai; Ma, Pengjun; Wang, Yan; Lang, Junwei</t>
  </si>
  <si>
    <t>Inhibition of zinc dendrites by dopamine modified hexagonal boron nitride electrolyte additive for zinc-ion batteries</t>
  </si>
  <si>
    <t>Aqueous zinc ion batteries (AZIBs) have attracted much attention due to their safety, reliability, low cost, simple operation and environmental friendliness. However, the stability and safety of AZIBs are seriously affected by uncontrolled hazardous zinc dendrite growth and adverse side reactions of the zinc anode. To address these problems, we present a strategy of adding polydopamine (PDA) modified h-BN (h-BN@PDA) additive into 1 M ZnSO4 electrolyte to inhibit Zn dendrites and construct safe batteries. The h-BN@PDA additive endows a dendrite-free electrodeposition behavior by regulating the concentration gradient of Zn2+, redistributing the uneven Zn2+ flux, and covering the formation sites of dendrites. This is mainly attributed to the combined action of redistribution of Zn2+ by h-BN and the immobilization of electrolyte anions by the catechol functional groups of PDA. Consequently, the Zn||Zn cell with h-BN@PDA additive can be cycled for more than 1700h at 0.5 mA cm-2 with a small plating/stripping overpotential of around 0.03 mV, and more than 1000h even at 1 mA cm-2. Additionally, the Zn||ZnSO4+h-BN@PDA||V2O5 battery can render excellent stability for 1500 cycles at 10 A g-1. These results open up an opportunity for h-BN@PDA and other solid electrolyte additives in the design of advanced and durable AZIBs.</t>
  </si>
  <si>
    <t>马, 鹏军/IQW-3831-2023; Chen, Jing/K-2404-2012; Xu, Yongtai/AAJ-3176-2021; Pu, Yunxun/IQW-0676-2023; Feng, Jianze/AAG-3332-2021; lang, jun/MYK-1507-2025</t>
  </si>
  <si>
    <t>Feng, Jianze/0000-0003-4383-6003</t>
  </si>
  <si>
    <t>10.1016/j.jpowsour.2022.232074</t>
  </si>
  <si>
    <t>WOS:000863224900001</t>
  </si>
  <si>
    <t>Ding, PP; Yan, TB; Li, KM; Wu, QQ; Zhu, XH; Chen, HF; Ju, AQ</t>
  </si>
  <si>
    <t>Ding, Panpan; Yan, Tianbao; Li, Kunming; Wu, Qianqian; Zhu, Xiaohang; Chen, Huifang; Ju, Anqi</t>
  </si>
  <si>
    <t>Freestanding TiO@heteroatom-doped hollow multi-channel carbon fibers for lithium-sulfur batteries</t>
  </si>
  <si>
    <t>Lithium-sulfur batteries are a promising candidate for the future energy storage devices due to its ultrahigh theoretical specific capacity. However, the sluggish redox reactions, large volume changes and shuttle effect of lithium-sulfur materials have limited its large scale applications. In this work, the hollow multichannel structure of freestanding carbon fibers were prepared by coaxial electrospinning and following high temperature treatment, which can provide abundant void to relieve the volume expansion of sulfur cathodes during charge-discharge and facilitates the permeation of electrolyte. Then the titanium oxide was successfully incorporated into carbon fibers to enhance the adsorption capacity for soluble polysulfides (Li2Sn, 4 &lt;= n &lt;= 8). Finally, the boron and phosphorus elements were doped into carbon fibers to improve the electronic conductivity of the cathodes. As result, the three-dimensional TiO@boron-doped hollow multichannel carbon fibers/sulfur cathode with a sulfur loading of 2.26 mg cm-2 deliver a high specific capacity of 1070 mAh g-1 and good cycling performance with capacity decay rate of 0.096% per cycle over 300 cycles at 0.1 A g-1. The strategy of hollow multi-channel structure design, heteroatom-doping and introduction of metal oxides with polar surfaces will provide a new idea for high performance lithium-sulfur batteries. (c) 2022 Elsevier B.V. All rights reserved.</t>
  </si>
  <si>
    <t>chen, huifang/JPX-4934-2023</t>
  </si>
  <si>
    <t>10.1016/j.jallcom.2022.167056</t>
  </si>
  <si>
    <t>WOS:000861314700002</t>
  </si>
  <si>
    <t>Sahu, TS; Abhijitha, VG; Pal, I; Sau, S; Gautam, M; Nanda, BRK; Mitra, S</t>
  </si>
  <si>
    <t>Sahu, Tuhin Subhra; Abhijitha, V. G.; Pal, Ipsita; Sau, Supriya; Gautam, Manoj; Nanda, Birabar R. K.; Mitra, Sagar</t>
  </si>
  <si>
    <t>Regulating Polysulfide Conversion Kinetics Using Tungsten Diboride as Additive For High-Performance Li-S Battery</t>
  </si>
  <si>
    <t>The practical application of Li-S batteries is severely limited due to low sulfur utilization, sluggish sulfur redox kinetics, intermediate polysulfide dissolution/shuttling, and subsequent anode degradation. A smart cathode with efficient electrocatalyst and a protected anode is necessary. Herein, hollow carbon (HC) spheres are used as a sulfur host to improve the electrical conductivity and buffer the volume expansion of active materials. Considering the weak interaction between carbon and lithium polysulfides (LiPS), tungsten diboride (WB2) nanoparticles are used as a conductive additive. Both experimental and density functional theory (DFT) comprehensively exhibit that metallic WB2 nanoparticles can firmly anchor the LiPS through B-S bond formation, accelerate their electrocatalytic conversion, and immobilize them. DFT also reveals that boron interacts with LiPS either through molecular or dissociative adsorption depending on its boron layer arrangement in WB2. Further, a freestanding lithiated-poly(4-styrene sulfonate) membrane constructed on lithium, offers a homogeneous Li-ion flux, stable interface, and protection from LiPS. Finally, cells with the HC-S+WB2 cathode and protected anode exhibit improved active material utilization, superior rate performance, and impressive cycling stability, even at high sulfur loading and less quantity of the electrolyte. Further, the pouch cells demonstrate high reversible capacity and an excellent capacity retention.</t>
  </si>
  <si>
    <t>; Sau, Supriya/ABH-1648-2021; Pal, Ipsita/AAX-4410-2020</t>
  </si>
  <si>
    <t>Gautam, Manoj/0000-0002-8039-1835; Nanda, Birabar Ranjit K/0000-0001-8330-4824; Sau, Supriya/0000-0003-1327-7212;</t>
  </si>
  <si>
    <t>10.1002/smll.202203222</t>
  </si>
  <si>
    <t>WOS:000852765700001</t>
  </si>
  <si>
    <t>Liu, MQ; Zhang, W; Zheng, WT</t>
  </si>
  <si>
    <t>Liu, Meiqi; Zhang, Wei; Zheng, Weitao</t>
  </si>
  <si>
    <t>Spreading the Landscape of Dual Ion Batteries: from Electrode to Electrolyte</t>
  </si>
  <si>
    <t>The working mechanism of a dual-ion battery (DIB) differs from that of a lithium-ion battery (LIB) in that the anions in the electrolyte of the former can be intercalated as well. Researchers have been paying close attention to this device because of its high voltage, low price, and environmental friendliness. However, DIBs are still in their early research stages, and numerous issues need to be addressed and investigated further. Initially, this Review explains how DIBs work in principle and discusses the progress of electrode materials for cathode and anode. Furthermore, since the electrolytes used as the active material, as well as anion, solvent, and additives, have a significant impact on the DIB's capacity and voltage, the current status is also presented in terms of electrolytes, followed by an outlook on confronting the challenges. A comprehensive summary from electrode to electrolyte will guide the development of next-generation DIBs.</t>
  </si>
  <si>
    <t>Zhang, Wei/A-7910-2010; zheng, weitao/HCH-5112-2022</t>
  </si>
  <si>
    <t>zheng, weitao/0000-0002-9028-278X</t>
  </si>
  <si>
    <t>e202201375</t>
  </si>
  <si>
    <t>10.1002/cssc.202201375</t>
  </si>
  <si>
    <t>WOS:000851236800001</t>
  </si>
  <si>
    <t>Wang, HP; Liu, JD; He, J; Qi, SH; Wu, MG; Li, F; Huang, JD; Huang, Y; Ma, JM</t>
  </si>
  <si>
    <t>Wang, Huaping; Liu, Jiandong; He, Jian; Qi, Shihan; Wu, Mingguang; Li, Fang; Huang, Junda; Huang, Yun; Ma, Jianmin</t>
  </si>
  <si>
    <t>Pseudo-concentrated electrolytes for lithium metal batteries</t>
  </si>
  <si>
    <t>Lithium metal batteries suffer from short lifespans and low Coulombic efficiency (CE) due to the high reactivity of Li and the poor stability of the solid electrolyte interphase (SEI). Herein, we propose the concept of a pseudo concentrated electrolyte (PCE) induced by an electron-deficient additive (4-pyridylboronic acid; 4-PBA) to form a robust, LiF-rich SEI, thus addressing the above issues. Molecular dynamics simulations confirm that 4-PBA can increase the coordination number of PF6- anions in the Li+ solvation sheath to achieve pseudo-concentrated LiPF6 in the electrolyte. Moreover, the 4-PBA can scavenge harmful PF5 decomposed from LiPF6 to stabilize the LiF-rich SEI. The resulting robust LiF-rich SEI promotes Li growth along the SEI/Li interface and represses the growth of Li dendrites. Thus, excellent performance is achieved, with a high CE of 97.1% for a Li||Cu cell at 1.0 mA cm(-2), and over 950 cycles at 0.5 mA cm(-2) for Li||Li symmetric cells with 1.0 wt% 4-PBA electrolyte. Meanwhile, the resulting stable boron-containing cathode electrolyte interphase enables Li||LiNi0.6Co0.2Mn0.2O2 (NCM622) cells to achieve excellent stability, with a capacity retention of 86.9% after 200 cycles.</t>
  </si>
  <si>
    <t>Ma, Jianmin/M-5217-2013; He, Jian/JPK-3215-2023; Wang, Huaping/ADZ-1385-2022</t>
  </si>
  <si>
    <t>He, Jian/0000-0002-9719-3202; Ma, Jianmin/0000-0003-2081-2877</t>
  </si>
  <si>
    <t>10.1016/j.esci.2022.06.005</t>
  </si>
  <si>
    <t>WOS:001083082300001</t>
  </si>
  <si>
    <t>Pu, J; Xue, P; Li, TT; Wu, JH; Zhang, K; Zhu, KP; Guo, SH; Hong, G; Zhou, HS; Yao, YG</t>
  </si>
  <si>
    <t>Pu, Jun; Xue, Pan; Li, Taotao; Wu, Jianghua; Zhang, Kai; Zhu, Kaiping; Guo, Shaohua; Hong, Guo; Zhou, Haoshen; Yao, Yagang</t>
  </si>
  <si>
    <t>In situ regulation of dendrite-free lithium anode by improved solid electrolyte interface with defect-rich boron nitride quantum dots</t>
  </si>
  <si>
    <t>The development of effective solid electrolyte interface (SEI) on anode interfaces is critical for ensuring the stability of Li metal batteries. However, uneven Li-ion transfer resulting from the compositional inhomogeneity of natural SEI aggravates dendrite formation. To alleviate this problem, a novel strategy of in situ regulation using rigid boron nitride quantum dots (BNQDs) was proposed to adjust the Li metal interface SEI. The chemistry and conductive inertia of BN effectively protected Li metal with minimized parasitic reactions. Defect-rich BNQDs exhibited a strong Li-ion affinity, which resulted in a homogeneous ion flux and dendrite-free deposition. This flat anode considerably improved electrochemical interface stability. Therefore, Li/Li symmetric cells using BNQDs exhibited enhanced cycle performance with a high capacity of 4 mA h cm(-2). Coupled with a sulfur cathode, a low negative-to-positive capacity ratio of approximately 3.6 : 1 full Li-S cell exhibited a stable coulombic efficiency over 400 cycles.</t>
  </si>
  <si>
    <t>; Zhou, Haoshen/O-8440-2018; Xue, Pan/JPL-9797-2023; Wu, Jianghua/KLY-6105-2024; Zhang, Kai/ABD-5145-2021; li, taotao/IAQ-4479-2023; Pu, Jun/T-2313-2017; Hong, Guo/HOH-1836-2023</t>
  </si>
  <si>
    <t>Hong, Guo/0000-0003-3438-7402; Xue, Pan/0009-0005-3110-3947; Pu, Jun/0000-0001-9393-3798; Hong, Guo/0000-0002-5658-2244</t>
  </si>
  <si>
    <t>OCT 4</t>
  </si>
  <si>
    <t>10.1039/d2ta05511b</t>
  </si>
  <si>
    <t>AUG 2022</t>
  </si>
  <si>
    <t>WOS:000842648100001</t>
  </si>
  <si>
    <t>Ren, W; Cheng, MX; Wang, YR; Zhang, D; Yang, Y; Yang, J; Wang, JL; NuLi, YN</t>
  </si>
  <si>
    <t>Ren, Wen; Cheng, Mingxiang; Wang, Yaru; Zhang, Duo; Yang, Yang; Yang, Jun; Wang, Jiulin; NuLi, Yanna</t>
  </si>
  <si>
    <t>Boron-Based Electrolytes for Rechargeable Magnesium Batteries: Biography and Perspective</t>
  </si>
  <si>
    <t>Rechargeable magnesium batteries (RMBs) are a promising alternative in the post-lithium era for their high volumetric capacity, crustal abundance, and metallic safety. Electrolytes for RMBs have experienced a development process from the initial Grignard compound to today's diversified single magnesium salt. Among them, the boron-based electrolyte plays a significant connecting link between the preceding and the following. This review retrospectively combed the origin and development course of boron-magnesium electrolyte and focuses on the application of three representatives: borohydride, boron-center fluorinated alkoxylate, and closo-borane cluster. Fundamental understandings and typical concerns correlative with the Mg-B electrolyte designs are highlighted and briefly discussed. Finally, future direction and possible proposals for practical Mg-B electrolytes are put forward.</t>
  </si>
  <si>
    <t>; Wang, Jiulin/G-2694-2010</t>
  </si>
  <si>
    <t>Ren, Wen/0000-0002-1461-6717;</t>
  </si>
  <si>
    <t>e202200263</t>
  </si>
  <si>
    <t>10.1002/batt.202200263</t>
  </si>
  <si>
    <t>WOS:000842247700001</t>
  </si>
  <si>
    <t>Wu, ZQ; Wang, KW; Sun, WW; Li, ZP; Ma, ZH; Zhu, YF; Zou, YJ; Zhang, Y</t>
  </si>
  <si>
    <t>Wu, Ziqiang; Wang, Kaiwen; Sun, Weiwei; Li, Zhipeng; Ma, Zhihong; Zhu, Yunfeng; Zou, Yongjin; Zhang, Yao</t>
  </si>
  <si>
    <t>Defective Boron Nitride Inducing the Lithium-ion Migration on the Sub-Surface of LiBH4</t>
  </si>
  <si>
    <t>The safety issues oflithium-ion batteries provoke the development of highly secure solidelectrolytes. Hydride electrolytes owning the high electrochemical stabilityand anode compatibility may sufficiently relieve theconcerns of safety. However, the low ionic conductivity at room temperature hampersits further application. Herein, the strategy of defect-induced (BH4)(-) deformation to achieve high ionicconductivity LiBH4/BN composite electrolyte is suggested. The theoreticalcalculations indicate that the volume of the (BH4)(-) tetrahedron is expanded by 14%. Such atetrahedron deformation weakens the Li-H interaction forces in LiBH4, and thus promotes the Li-ion migration. The LiBH4/BN composites are enabled to deliver lithium ionicconductivity of 1.15 x 10(-4) S cm(-1) at 40 degrees C with a Li-ion transference number of 97%, persuading an excellent solidelectrolyte for all-solid-state batteries. The sub-surface of LiBH4 offers the lowest migration barrier among all possiblechannels, paving the optimal way for Li-ion migration. Furthermore, the LiBH4/BN electrolytes supply excellent electrochemical stabilityand electrode compatibility. The utilized strategy of outfield induction (notonly defects) and ligand deformation (not only (BH4)(-)) may also be extended to other solid electrolytes.</t>
  </si>
  <si>
    <t>Wu, Ziqiang/HIK-0163-2022; Sun, Weiwei/R-7643-2016; Wang, kaiwen/AAD-3239-2021</t>
  </si>
  <si>
    <t>Wang, Kaiwen/0000-0002-1046-4525</t>
  </si>
  <si>
    <t>10.1002/adfm.202205677</t>
  </si>
  <si>
    <t>WOS:000840669000001</t>
  </si>
  <si>
    <t>Cheng, YW; Chen, CH; Wang, SA; Li, YC; Peng, BL; Huang, JH; Liu, CP</t>
  </si>
  <si>
    <t>Cheng, Yin-Wei; Chen, Chun-Hung; Wang, Shih-An; Li, Yi-Chang; Peng, Bo-Liang; Huang, Jun-Han; Liu, Chuan-Pu</t>
  </si>
  <si>
    <t>Propelling performance of silicon thin film lithium ion battery by appropriate dopants</t>
  </si>
  <si>
    <t>Although pristine silicon (Si) has been employed as a high-capacity anode material, high performance of Si-based lithium-ion battery (LIB) still remains challenging constrained mainly by low intrinsic electrical conductivity of the semiconductor. This drawback can be addressed by doping Si with group III and V elements; nevertheless, a systematic study on the doping species is rarely reported. Herein, the effects of dopants (boron and arsenic) in Si thin film anodes, prepared by electron beam evaporation from different target materials (including pristine, p -type, and n-type Si), on the performance of LIB are investigated. In a coin cell configuration, the doped Si films are inferior to the pristine counterparts in terms of irreversible capacity loss at the first circle, possibly due to incorporation of more lithium ions with a higher conductivity in the former. Intriguingly, boron and arsenic ions are demonstrated as regulating dopants that can deteriorate (for the former) or enhance (for the latter) the capacity retention and rate capabilities of the pristine Si-based LIBs. Electrochemical impedance spectroscopy and microstructure characterizations reveal that the high electrical conductivity and chemical reactivity of boron ions with electrolytes aggravate the formation and propagation of cracks into the depth during cycling and thicken the thickness of solid electrode interphase, consequently increasing charge transfer impedance. This study clarifies the working mechanisms of different doping species in the Si thin film anodes in response to electrochemical cycling and shed light on the improved performance of thin film based LIBs with appropriate dopants.</t>
  </si>
  <si>
    <t>Liu, Chuan-Pu/0000-0002-3642-4556</t>
  </si>
  <si>
    <t>10.1016/j.nanoen.2022.107688</t>
  </si>
  <si>
    <t>WOS:000844092700003</t>
  </si>
  <si>
    <t>Souza, DHP; D'Angelo, AM; Humphries, TD; Buckley, CE; Paskevicius, M</t>
  </si>
  <si>
    <t>Souza, Diego H. P.; D'Angelo, Anita M.; Humphries, Terry D.; Buckley, Craig E.; Paskevicius, Mark</t>
  </si>
  <si>
    <t>Na2B11H13 and Na11(B11H14)3(B11H13)4 as potential solid-state electrolytes for Na-ion batteries</t>
  </si>
  <si>
    <t>Solid-state sodium batteries have attracted great attention owing to their improved safety, high energy density, large abundance and low cost of sodium compared to the current Li-ion batteries. Sodium-boranes have been studied as potential solid-state electrolytes and the search for new materials is necessary for future battery applications. Here, a facile and cost-effective solution-based synthesis of Na2B11H13 and Na-11(B11H14)(3)(B11H13)(4) is demonstrated. Na2B11H13 presents an ionic conductivity in the order of 10(-7) S cm(-1) at 30 degrees C, but undergoes an order-disorder phase transition and reaches 10(-3) S cm(-1) at 100 degrees C, close to that of liquids and the solid-state electrolyte Na-beta-Al2O3. The formation of a mixed-anion solid-solution, Na-11(B11H14)(3)(B11H13)(4), partially stabilises the high temperature structural polymorph observed for Na2B11H13 at room temperature and it exhibits Na+ conductivity higher than its constituents (4.7 x 10(-5) S cm(-1) at 30 degrees C). Na2B11H13 and Na-11(B11H14)(3)(B11H13)(4) exhibit an oxidative stability limit of 2.1 V vs. Na+/Na.</t>
  </si>
  <si>
    <t>Paskevicius, Mark/K-1638-2013; Humphries, Terry/A-2042-2014; Buckley, Craig/B-6753-2013</t>
  </si>
  <si>
    <t>HOLANDA PEREIRA DE SOUZA, DIEGO/0000-0001-7587-8326; Humphries, Terry/0000-0003-1015-4495; Buckley, Craig/0000-0002-3075-1863; Paskevicius, Mark/0000-0003-2677-3434; D'Angelo, Anita/0000-0002-3068-5288</t>
  </si>
  <si>
    <t>10.1039/d2dt01943d</t>
  </si>
  <si>
    <t>WOS:000847481100001</t>
  </si>
  <si>
    <t>Zou, FF; Wang, J; Zheng, XJ; Hu, XB; Wang, JC; Wang, M</t>
  </si>
  <si>
    <t>Zou, Fangfang; Wang, Jie; Zheng, Xiaojia; Hu, Xuebu; Wang, Jingcheng; Wang, Meng</t>
  </si>
  <si>
    <t>Improved interfacial properties of LiNi0.8Co0.15Al0.05O2 cathode by tris (trimethylsilyl) borate as an electrolyte additive to inhibit HF formation</t>
  </si>
  <si>
    <t>Tris(trimethylsilyl)borate (TMSB) is selected as an electrolyte additive in Li/LiNi0.8Co0.15Al0.05O2 cell due to its low oxidation potential. Its positive effect on improving the performances of the cells is analyzed by nuclear magnetic resonance, X-ray diffraction, X-ray photoelectron spectroscopy, inductively coupled plasma. The results show that the oxidative decomposition products of TMSB are involved in the formation of cathode electrolyte interface film. The trimethylsilyl group can react with HF to form trimethylsilyl fluoride and dimethyldi-fluorosilane, which reduces transition metal leaching through HF on LiNi0.8Co0.15Al0.05O2 (NCA) cathode. Meanwhile, a thinner interfacial film with a lower LiF content is formed, which contributes to the structural stability of NCA and inhibits the decomposition of the electrolyte. As a result, the NCA cathode in the electrolyte containing 1% TMSB shows higher cycling stability and rate performance, and has a lower impedance. Even at 1 C after 200 cycles, it still provides capacity retention with 86.0% compared to 67.2% for the cathode in baseline electrolyte. This work could provide an idea for the use of silicon-boron compounds as electrolyte additive to improve the electrochemical performances of ternary cathodes.</t>
  </si>
  <si>
    <t>10.1016/j.electacta.2022.140958</t>
  </si>
  <si>
    <t>WOS:000848143700003</t>
  </si>
  <si>
    <t>Pershina, SV; Vovkotrub, EG; Antonov, BD</t>
  </si>
  <si>
    <t>Pershina, S. V.; Vovkotrub, E. G.; Antonov, B. D.</t>
  </si>
  <si>
    <t>Effects of B2O3 on crystallization kinetics, microstructure and properties of Li1.5Al0.5Ge1.5(PO4)3-based glass-ceramics</t>
  </si>
  <si>
    <t>Lithium-ionic conductors of Li1+xAlxGe2-x(PO4)3 family are considered as one of the most attractive solid electrolytes. Li1.5Al0.5Ge1.5(PO4)3 composition obtained by glass-ceramic route exhibits the highest electrical conductivity at room temperature. The introduction of sintering additives makes it possible to modify the properties of solid electrolytes. Glass-ceramics of the Li1.5Al0.5Ge1.5(PO4)3-xB2O3 series (x = 0, 0.05, 0.1, 0.15, 0.2 wt%) was obtained by glass crystallization at optimal conditions of heat treatment. The influence of B2O3 additive on thermal stability and crystallization process of initial glasses was studied by DSC method. The phase composition, microstructure and transport properties of glass-ceramics were investigated by XRD, SEM and impedance spectroscopy, respectively. The structure of the glass-ceramics was characterized by Raman spectroscopy. Glassceramics was found to be single-phase (R-3c) when 0 &lt;= x &lt;= 0.15, but impurity phases Li4P2O7 and AlPO4 appear at x = 0.20. The conductivity of B2O3-added solid electrolytes is higher compared to the pristine Li1.5Al0.5Ge1.5(PO4)3. Its ionic conductivity reached 5.5 x 10-4 S cm-1 at 25 degrees C. The obtained glass-ceramic electrolytes are promising for use in all-solid-state lithium-ion batteries.</t>
  </si>
  <si>
    <t>Vovkotrub, Emma/D-4068-2019; Pershina, Svetlana/G-7771-2016</t>
  </si>
  <si>
    <t>10.1016/j.ssi.2022.115990</t>
  </si>
  <si>
    <t>WOS:000874872300004</t>
  </si>
  <si>
    <t>Boron-Filek, A; Mojecki, J; Zajac, W</t>
  </si>
  <si>
    <t>Boron-Filek, A.; Mojecki, J.; Zajac, W.</t>
  </si>
  <si>
    <t>Sintering and surface treatments for fabrication of Na3Zr2Si2PO12 NASICON solid electrolyte for sodium-metal solid-state batteries</t>
  </si>
  <si>
    <t>ACTA CRYSTALLOGRAPHICA A-FOUNDATION AND ADVANCES</t>
  </si>
  <si>
    <t>Zając, Wojciech/U-1018-2017</t>
  </si>
  <si>
    <t>2053-2733</t>
  </si>
  <si>
    <t>S</t>
  </si>
  <si>
    <t>MS14-1-7</t>
  </si>
  <si>
    <t>E500</t>
  </si>
  <si>
    <t>10.1107/S2053273322092488</t>
  </si>
  <si>
    <t>WOS:001048207700423</t>
  </si>
  <si>
    <t>Liu, ZQ; Guo, DC; Fan, WT; Xu, FL; Yao, XY</t>
  </si>
  <si>
    <t>Liu, Ziqiang; Guo, Dingcheng; Fan, Wentong; Xu, Fanglin; Yao, Xiayin</t>
  </si>
  <si>
    <t>Expansion-Tolerant Lithium Anode with Built-In LiF-Rich Interface for Stable 400 Wh kg-1 Lithium Metal Pouch Cells</t>
  </si>
  <si>
    <t>Lithium metal anodes hold great promise for enabling high-energy density devices compared with the commercialized graphite electrode. However, huge pressure changes during cycling will lead to the pulverization of the 2D lithium anode, thus deteriorating the battery life due to its poor mechanical strength. Herein we report a 3D lithium-boron (LiB) fibrous framework with great compressive strength through electrochemical delithiation. The LiB alloy fibers with a 3D stable structure play the role of an expansion-tolerant substrate, which could effectively hold the Li metal and reduce the internal pressure changes, showing only a 53.7% pressure change compared with the 2D Li/Cu-anode-based pouch cell. A quasi-ionic-liquid-based polymer electrolyte layer is introduced by a scalable tape-casting method, generating a LiF-rich layer inside the 3D Li anode through the reaction between the polymer electrolyte and the internal free Li, which can guide the uniform nucleation and growth of Li metal. As a result, the asymmetric Li-Li cell can sustain 5 mAh cm(-2) Li plating/ stripping for 1000 h. A 2.1 Ah pouch cell coupling to a LiF-rich interface-protected 3D Li/LiB anode and a Ni-rich cathode of 30 mg cm(-2) exhibits an ultrahigh energy density of 403 Wh kg(-1) and a stable cycle life of 100 cycles.</t>
  </si>
  <si>
    <t>Yao, Xiayin/P-3690-2014; LIU, ZIQIANG/KFQ-5060-2024; guo, ding/GRX-9284-2022</t>
  </si>
  <si>
    <t>10.1021/acsmaterialslett.2c00443</t>
  </si>
  <si>
    <t>WOS:000863616900001</t>
  </si>
  <si>
    <t>Liao, YL; Chen, H; Ou, CR; Bao, LS; Li, R; Liu, HB</t>
  </si>
  <si>
    <t>Liao, Yalin; Chen, Hui; Ou, Changrui; Bao, Lishi; Li, Run; Liu, Hongbo</t>
  </si>
  <si>
    <t>N, P co-doped graphene enriched phosphorus as a highly efficient oxygen reduction catalyst</t>
  </si>
  <si>
    <t>Heteroatoms doped metal-free carbon catalysts are considered as promising alternatives to commercial Pt/C for oxygen reduction reaction (ORR). Here, we report a phosphorus-enriched nitrogen and phosphorus co-doped graphene catalyst (PANAGr) via a facile and economical two-step pyrolysis approach. Thanks to its outstanding properties, such as unique honeycomb-like morphology, high Brunauer-Emmett-Teller (BET) surface area (935 m(2)/g), and abundant of phosphorus content (2.61 at%), the obtained PANAGr exhibits a high ORR activity with a half-wave potential of 0.82 V and a limiting current density of -5.98 mA cm(-2) in alkaline electrolyte solution. Notably, the zinc-air battery assembled with PANAGr as cathode catalyst also shows an excellent discharge performance and stability.</t>
  </si>
  <si>
    <t>hui, chen/JDD-0526-2023</t>
  </si>
  <si>
    <t>10.1016/j.jelechem.2022.116560</t>
  </si>
  <si>
    <t>JUL 2022</t>
  </si>
  <si>
    <t>WOS:000850444400001</t>
  </si>
  <si>
    <t>Chen, ZR; Liang, ZT; Zhong, HY; Su, Y; Wang, KJ; Yang, Y</t>
  </si>
  <si>
    <t>Chen, Zirong; Liang, Ziteng; Zhong, Haoyue; Su, Yu; Wang, Kangjun; Yang, Yong</t>
  </si>
  <si>
    <t>Bulk/Interfacial Synergetic Approaches Enable the Stable Anode for High Energy Density All- Solid-State Lithium-Sulfur Batteries</t>
  </si>
  <si>
    <t>All-solid-state lithium-sulfur batteries (ASSLSBs) using solid-state electrolytes (SSEs) are believed to concurrently ensure high safety and decent electrochemical performance. However, the ASSLSBs still face several challenges on the anode side, including the interfacial incompatibility between Li/SSEs, dendritic problems, and dramatic volume expansion/contraction of Li metal during cycling. Herein, we propose bulk/interfacial synergetic approaches to overcome the above limitations by incorporating the Li-based lithium-boron (80LiB) alloy with a unique 3D skeleton and Ag@C modified layer. These synergistic approaches have proven to effectively alleviate the volume variation to retain the bulk electrode integrity, facilitate homogeneous Li dissolution/deposition to inhibit the formation of lithium dendrite, and suppress interfacial side reactions to maintain a stable interphase. Benefitting from our ingenious design, the ASSLSBs deliver a specific capacity of 1316 mAh g(-1) and a capacity retention of 82% after 60 cycles. These approaches pave a new way to develop high energy density and high performance ASSLSBs.</t>
  </si>
  <si>
    <t>Yang, Yong/G-4650-2010; Zhong, Haoyue/KRQ-3206-2024; Su, Yuming/JQJ-3342-2023</t>
  </si>
  <si>
    <t>Yang, Yong/0000-0002-9928-7165;</t>
  </si>
  <si>
    <t>AUG 12</t>
  </si>
  <si>
    <t>10.1021/acsenergylett.2c01334</t>
  </si>
  <si>
    <t>WOS:000834290800001</t>
  </si>
  <si>
    <t>Subas, Y; Afyon, S</t>
  </si>
  <si>
    <t>Subas, Yaprak; Afyon, Semih</t>
  </si>
  <si>
    <t>High Voltage LiCoO2 Cathodes with High Purity Lithium Bis(oxalate) Borate (LiBOB) for Lithium-Ion Batteries</t>
  </si>
  <si>
    <t>Lithium bis(oxalate) borate, LiB(C2O4)(2) (LiBOB) can be used as an electrolyte additive for lithium-ion batteries (LIBs) to prevent structural change and electrolyte decomposition by developing a protective solid electrolyte interphase (SEI) on the cathode surface. However, impurities present in LiBOB result in significant electrochemical performance decays related to higher full cell impedance. Here, a practical purification technique is performed to remove these impurities within the as-synthesized anhydrous LiBOB in which we further add 1 wt % in 1 M LiPF6 in EC:DMC (1:1) electrolytes to achieve a more stable cycling performance for high voltage applications of LiCoO2 (LCO) cathodes. The phase and purity of as-synthesized LiBOB and recrystallized LiBOB is determined by a combination of X-ray powder diffraction (XRPD), Fourier-transform infrared (FTIR) spectra, and scanning electron microscopy (SEM) measurements. The LIB performance with the addition of high purity LiBOB as an electrolyte additive is investigated via galvanostatic charge-discharge cycling, rate capability, and cyclic voltammetry (CV) measurements within a voltage range of 3.0-4.4 V. The cell containing 1 wt % recrystallized LiBOB shows superior cycling performance, rate capability with higher energy density, and Coulombic efficiency in comparison with the reference cell through the formation of a passivation layer on the LCO surface. Thus, for the LiBOB added cell, the crystal structure of LiCoO2 is well-maintained even at higher potentials after 100 cycles according to the ex situ XRPD and SEM analyses. Therefore, high-purity LiBOB improves the interfacial stability of the LCO cathode by inhibiting oxidative decomposition of electrolytes, undesirable structural changes, and cobalt dissolution bringing about safer cycling even at high operation voltages.</t>
  </si>
  <si>
    <t>Afyon, Semih/0000-0002-0153-7446; Subasi, Yaprak/0000-0002-2718-7771</t>
  </si>
  <si>
    <t>10.1021/acsaem.2c01789</t>
  </si>
  <si>
    <t>WOS:000834180600001</t>
  </si>
  <si>
    <t>Cheng, MX; Ren, W; Zhang, D; Zhang, SX; Yang, Y; Lv, XC; Yang, J; Wang, JL; NuLi, Y</t>
  </si>
  <si>
    <t>Cheng, Mingxiang; Ren, Wen; Zhang, Duo; Zhang, Shuxin; Yang, Yang; Lv, Xuecheng; Yang, Jun; Wang, Jiulin; NuLi, Yanna</t>
  </si>
  <si>
    <t>Efficient single-perfluorinated borate-based electrolytes for rechargeable magnesium batteries</t>
  </si>
  <si>
    <t>Rechargeable magnesium batteries (RMBs) are considered a highly promising energy storage system among post -lithium-ion batteries due to the large earth abundance, high volumetric capacity, and less tendency for forming dendrites of Mg metal anode. However, the lack of low-cost and effective synthesis approaches for magnesium electrolytes seriously hinders the development of RMBs. Herein, according to an in-situ one-pot reaction of simple magnesium salts (MgF2, MgCl2) with tris(2,2,2-trifluoroethyl)borate (B(Otfe)3), two non-nucleophilic MgF2-B (Otfe)3 (MFBB) and MgCl2-B(Otfe)3 (MCBB) boron-based electrolytes are successfully synthesized. The mass spectrometry and nuclear magnetic resonance analysis confirm that both electrolytes contain the same bulky and weakly coordinated [B(Otfe)4]- anion, while different solvated cations ([Mg(DME)3]2+ for MFBB, and [Mg2Cl2(THF)6]2+for MCBB). The density functional theory calculation demonstrates a lower de-solvation en-ergy barrier of the chlorine-containing cation compared to the chlorine-free cation on magnesium anode. As a result, the MCBB electrolyte exhibits excellent Mg plating/stripping properties with a low overpotential (&lt; 0.1 V) and a high Coulombic efficiency (&gt; 97%) from the first cycle, different from the conditioning process of the MFBB electrolyte. Both MFBB and MCBB electrolytes present decent oxidation stability on inert Pt (&gt;3.0 V vs. Mg/Mg2+), meanwhile, the MCBB electrolyte also shows available anodic stability on non-noble SS (&gt;2.5 V vs. Mg/Mg2+). With small voltage hysteresis and stable rate cyclability, the proposed MCBB electrolyte exhibits superior compatibility with Chevrel phase Mo6S8 cathode through the catalyzed assistance of open metal sites at the surface of Mo6S8, which demonstrates the limitations of the chlorine-containing solvated cations to insertion cathodes.</t>
  </si>
  <si>
    <t>Zhang, Shuxin/GQY-9687-2022; Wang, Jiulin/G-2694-2010</t>
  </si>
  <si>
    <t>10.1016/j.ensm.2022.07.021</t>
  </si>
  <si>
    <t>WOS:000880815600002</t>
  </si>
  <si>
    <t>Wang, YB; Chen, AL; Fang, C; Yi, QF</t>
  </si>
  <si>
    <t>Wang, Yuebing; Chen, Aling; Fang, Can; Yi, Qingfeng</t>
  </si>
  <si>
    <t>Nitrogen/Phosphorus/Boron-Codoped Hollow Carbon Spheres as Highly Efficient Electrocatalysts for Zn-Air Batteries</t>
  </si>
  <si>
    <t>INDUSTRIAL &amp; ENGINEERING CHEMISTRY RESEARCH</t>
  </si>
  <si>
    <t>Considering the shortage of platinum resources and its high price, it is crucial to explore its substitutes to satisfy the market demand of metal-air batteries. Thence, N/P/B-codoped hollow carbon nanospheres were synthesized by doping B and P into polydopamine spheres. Thanks to the abundance of defects in the hollow carbon sphere shell, the large active area, the high content of pyrrolic N, and B-C, C-N, and other electrocatalytic active sites, NHCS@B1P2 exhibits excellent oxygen reduction reaction (ORR) catalytic perform-ance. Electrochemical tests show that NHCS@B1P2 has outstanding ORR electroactivity in alkaline electrolytes, with a half-wave potential (E-1/2) 60 mV higher than Pt/C and a limiting diffusion current density 0.97 mA cm-2 greater than Pt/C. Meanwhile, NHCS@B1P2 (E-1/2 = 0.86 V) still exhibits superior electrochemical performance to Pt/C in neutral media. It is noteworthy that a Zn-air battery (ZAB) using NHCS@B1P2 as the ORR catalyst exhibits a higher peak power density (158.5 mW cm(-2) for an alkaline ZAB and 104.6 mW cm-2 for a neutral ZAB) than Pt/C (136/46.7 mW cm-2) in both alkaline and neutral electrolytes. In step discharge at different current densities, it still has a stable voltage value comparable to (even higher than) Pt/C. In addition, NHCS@B1P2 exhibits a more durable and stable voltage plateau than Pt/C at 10 mA cm(-2). This work provides a practical and valuable avenue for the application of heteroatom-doped carbon-based ORR catalysts in ZABs.</t>
  </si>
  <si>
    <t>Yi, Qingfeng/0000-0002-9155-0723</t>
  </si>
  <si>
    <t>0888-5885</t>
  </si>
  <si>
    <t>1520-5045</t>
  </si>
  <si>
    <t>AUG 3</t>
  </si>
  <si>
    <t>10.1021/acs.iecr.2c01350</t>
  </si>
  <si>
    <t>WOS:000830479300001</t>
  </si>
  <si>
    <t>Liu, JD; Cao, DL; Yao, HJ; Liu, DQ; Zhang, XD; Zhang, QZ; Chen, LJ; Wu, SH; Sun, YM; He, DY; Liu, J</t>
  </si>
  <si>
    <t>Liu, Jiande; Cao, Dianliang; Yao, Huijun; Liu, Dequan; Zhang, Xiaodong; Zhang, Qizhong; Chen, Linjing; Wu, Shuhang; Sun, Youmei; He, Deyan; Liu, Jie</t>
  </si>
  <si>
    <t>Hexagonal Boron Nitride-Coated Polyimide Ion Track Etched Separator with Enhanced Thermal Conductivity and High-Temperature Stability for Lithium-Ion Batteries</t>
  </si>
  <si>
    <t>The separator plays a vital role in preventing thermal runaway in lithium-ion batteries (LIBs). Herein, a PI/hBN (polyimide/hexagonal boron nitride) separator with excellent thermal stability and enhanced thermal conductivity is successfully prepared by ion track etching and doctor blade coating to achieve highly safe LIBs. The PI/hBN separator displays good electrolyte wettability, high mechanical strength, excellent thermal stability, and enhanced in-plane thermal conductivity, as well as good electrochemical performance when applied in LIBs. Specifically, PI track-etched membranes have been used to prepare separators with rigid structures and functional groups in polymer chains, thereby enabling the separators to be stable at temperatures as high as 500 degrees C. Moreover, hBN-coated nanoplates enhance the in-plane thermal conductivity of the separator to reduce the local heat accumulation in the battery while also promoting interfacial compatibility to facilitate the conduction of lithium ions. Lithium iron phosphate/lithium cells with the PI/hBN separator deliver better rate capability and superior capacity retention. The PI/hBN separator is a promising candidate for achieving highly safe LIBs, and this work paves the way for engineering roll-to-roll techniques to suppress thermal runaway and improve battery safety.</t>
  </si>
  <si>
    <t>; Zhang, Xiaotai/AAA-4702-2022</t>
  </si>
  <si>
    <t>Zhang, Xiaodong/0000-0002-7969-4468; liu, jiande/0000-0002-6678-9337; yao, huijun/0000-0002-9684-8254</t>
  </si>
  <si>
    <t>10.1021/acsaem.2c01163</t>
  </si>
  <si>
    <t>WOS:000827749600001</t>
  </si>
  <si>
    <t>Lu, JF; Li, KC; Lv, XY; Kuai, HX; Su, J; Wen, YX</t>
  </si>
  <si>
    <t>Lu, Jian-Fang; Li, Ke-Chun; Lv, Xiao-Yan; Kuai, Hong-Xiang; Su, Jing; Wen, Yan-Xuan</t>
  </si>
  <si>
    <t>Boron-Doped Pine-Cone Carbon With 3D Interconnected Porosity for Use as an Anode for Potassium-Ion Batteries With Long Life Cycle</t>
  </si>
  <si>
    <t>FRONTIERS IN CHEMISTRY</t>
  </si>
  <si>
    <t>Potassium-ion batteries (KIBs) have received widespread attention as an alternative to lithium-ion batteries because of their low cost and abundance of potassium. However, the poor kinetic performance and severe volume changes during charging/discharging due to the large radius of potassium leading to low capacity and rapid decay. Therefore, development of anode materials with sufficient space and active sites for potassium ion deintercalation and desorption is necessary to ensure structural stability and good electrochemical activity. This study prepared boron-doped pine-cone carbon (BZPC) with 3D interconnected hierarchical porous in ZnCl2 molten-salt by calcination under high temperature. The hierarchical porous structure promoted the penetration of the electrolyte, improved charge-carrier diffusion, alleviated volume changes during cycling, and increased the number of micropores available for adsorbing potassium ions. In addition, due to B doping, the BZPC material possessed abundant defects and active centers, and a wide interlayer distance, which enhanced the adsorption of K ions and promoted their intercalation and diffusion. When used as the anode of a KIB, BZPC provided a high reversible capacity (223.8 mAh g(-1) at 50 mA g(-1)), excellent rate performance, and cycling stability (115.9 mAh g(-1) after 2000 cycles at 1 A g(-1)).</t>
  </si>
  <si>
    <t>Wen, Yanxuan/B-9380-2008</t>
  </si>
  <si>
    <t>2296-2646</t>
  </si>
  <si>
    <t>JUL 6</t>
  </si>
  <si>
    <t>10.3389/fchem.2022.953782</t>
  </si>
  <si>
    <t>WOS:000829244500001</t>
  </si>
  <si>
    <t>Long, JJ; Guan, L; Wang, J; Liu, HQ; Wang, B; Xiong, Y</t>
  </si>
  <si>
    <t>Long, Junjie; Guan, Lei; Wang, Jian; Liu, Huiqiang; Wang, Bing; Xiong, Ying</t>
  </si>
  <si>
    <t>Battery-like flexible supercapacitors from vertical 3D diamond/graphite composite films on carbon cloth</t>
  </si>
  <si>
    <t>CARBON</t>
  </si>
  <si>
    <t>Flexible supercapacitors (SCs) based on carbon nanomaterials are one of the promising energy storage devices for wearable electron devices. However, their low energy density and cycle stability severely restrict further practical applications. The development of unique capacitor electrodes is expected largely to overcome these challenges. Herein, vertical 3D diamond/graphite (DG) composite films are directly grown on carbon cloth (CC) using a microwave plasma chemical vapor deposition (MPCVD) technique. Thin, straight nanosheets, consisted of diamond as core and graphite as shell, are interlaced with each other to form a 3D porous structure. As a binder- and additive-free electrode material, the DG/CC electrodes are used to construct electrical double layer capacitors (EDLCs) in diluted H2SO4 solution and pseudocapacitors (PCs) using Fe(CN) 63 /4- redox electrolytes. Both EDLCs and PCs exhibit large specific capacitance and high capacitance retention. When assembled as allsolid-state flexible symmetric SCs, they offer high full-cell capacitances of 30.4 and 143.6 mF cm 2 at 10 mV s 1 for EDLCs and PCs, respectively. The power densities are 6.3 mu W cm 2 and 3.0 mW cm 2 for EDLCs and PCs, together with their energy densities of 3.7 and 86.2 mu Wh cm 2, respectively. As flexible SCs, the specific capacitance can be completely recovered for EDLCs and has only about 6.7% loss for PCs even after the U-shape bending state. Such vertical 3D porous DG films are thus promising for the construction of high-performance battery-like SCs for an intelligent wearable energy supplier.</t>
  </si>
  <si>
    <t>; xiong, ying/NSU-4576-2025</t>
  </si>
  <si>
    <t>Long, Junjie/0000-0001-7951-0596;</t>
  </si>
  <si>
    <t>0008-6223</t>
  </si>
  <si>
    <t>1873-3891</t>
  </si>
  <si>
    <t>10.1016/j.carbon.2022.06.042</t>
  </si>
  <si>
    <t>WOS:000884749000006</t>
  </si>
  <si>
    <t>Jiao, TP; Xia, M; Chen, ZR; Zou, Y; Liu, GP; Fu, A; Chen, LB; Gong, ZL; Yang, Y; Zheng, JM</t>
  </si>
  <si>
    <t>Jiao, Tianpeng; Xia, Meng; Chen, Zirong; Zou, Yue; Liu, Gaopan; Fu, Ang; Chen, Libao; Gong, Zhengliang; Yang, Yong; Zheng, Jianming</t>
  </si>
  <si>
    <t>In Situ Construction of a LiF-Enriched Interfacial Modification Layer for Stable All-Solid-State Batteries</t>
  </si>
  <si>
    <t>All-solid-state batteries (ASSBs), particularly based on sulfide solid-state electrolytes (SSEs), are expected to meet the requirements of high-energy-density energy storage. However, the unstable interface between the ceramic pellets and lithium (Li) metal can induce unconstrained Li-dendrite growth with safety concerns. Herein, we design a carbon fluoride-silver (CFx-Ag) composite to modify the SSEs. As lithium fluoride (LiF) nanocrystals can be in situ formed through electrochemical reactions, this LiF-enriched modification layer with high surface energy can more effectively suppress Li dendrite penetration and interfacial reactions between the SSEs and anode. Remarkably, the all-solid-state symmetric cells using a lithium-boron alloy (LiB) anode can stably work to above 2,500 h under 0.5 mA cm(-2) and 2 mAh cm-2 at 60 ? without shorting. A modified LiB|| LiNi0.6Mn0.2Co0.2O2 (NMC622) full cell also demonstrates an improved capacity retention and high Coulombic efficiency (99.9%) over 500 cycles. This work provides an advanced solid-state interface architecture to address Li-dendrite issues of ASSBs.</t>
  </si>
  <si>
    <t>Yang, Yong/G-4650-2010; Zheng, Jianming/AGL-9640-2022; Zheng, Jianming/F-2517-2014</t>
  </si>
  <si>
    <t>Yang, Yong/0000-0002-9928-7165; xia, meng/0009-0001-4921-7310; Zheng, Jianming/0000-0002-4928-8194; Liu, Gaopan/0000-0001-6026-759X</t>
  </si>
  <si>
    <t>10.1021/acsami.2c06700</t>
  </si>
  <si>
    <t>JUN 2022</t>
  </si>
  <si>
    <t>WOS:000821573100001</t>
  </si>
  <si>
    <t>Grinderslev, JB; Skov, LN; Andreasen, JG; Ghorwal, S; Skibsted, J; Jensen, TR</t>
  </si>
  <si>
    <t>Grinderslev, Jakob B.; Skov, Lasse N.; Andreasen, Jacob G.; Ghorwal, Shaiq; Skibsted, Jorgen; Jensen, Torben R.</t>
  </si>
  <si>
    <t>Methylamine Lithium Borohydride as Electrolyte for All-Solid-State Batteries</t>
  </si>
  <si>
    <t>Fast Li-ion conductivity at room temperature is a major challenge for utilization of all-solid-state Li batteries. Metal borohydrides with neutral ligands are a new emerging class of solid-state ionic conductors, and here we report the discovery of a new mono-methylamine lithium borohydride with very fast Li+ conductivity at room temperature. LiBH4 center dot CH3NH2 crystallizes in the monoclinic space group P2(1)/c, forming a two-dimensional unique layered structure. The layers are separated by hydrophobic -CH3 moieties, and contain large voids, allowing for fast Li-ionic conduction in the interlayers, sigma(Li+) = 1.24x10(-3) Scm(-1) at room temperature. The electronic conductivity is negligible, and the electrochemical stability is approximate to 2.1 V vs Li. The first all-solid-state battery using a lithium borohydride with a neutral ligand as the electrolyte, Li-metal as the anode and TiS2 as the cathode is demonstrated.</t>
  </si>
  <si>
    <t>Skov, Lasse/0000-0001-5427-2632; Grinderslev, Jakob/0000-0001-7645-1383; Jensen, Torben Rene/0000-0002-4278-3221; Skibsted, Jorgen/0000-0003-1534-4466</t>
  </si>
  <si>
    <t>AUG 8</t>
  </si>
  <si>
    <t>e202203484</t>
  </si>
  <si>
    <t>10.1002/anie.202203484</t>
  </si>
  <si>
    <t>WOS:000813878100001</t>
  </si>
  <si>
    <t>Hyun, WJ; Thomas, CM; Chaney, LE; de Moraes, ACM; Hersam, MC</t>
  </si>
  <si>
    <t>Hyun, Woo Jin; Thomas, Cory M.; Chaney, Lindsay E.; de Moraes, Ana Carolina Mazarin; Hersam, Mark C.</t>
  </si>
  <si>
    <t>Screen-Printable Hexagonal Boron Nitride Ionogel Electrolytes for Mechanically Deformable Solid-State Lithium-Ion Batteries</t>
  </si>
  <si>
    <t>Ionogel electrolytes present several benefits for solid-state lithium-ion batteries including nonflammability, favorable electrochemical properties, and high thermal stability. However, limited processing methods are currently available for ionogel electrolytes, restricting their practical applications. Here, we present a screen-printable ionogel electrolyte formulation based on hexagonal boron nitride (hBN) nanoplatelets. To achieve screen-printable theological properties, hBN nanoplatelets are mixed with an imidazolium ionic liquid in ethyl lactate. Following screen printing, the resulting spatially uniform and mechanically flexible hBN ionogel electrolytes achieve high room-temperature ionic conductivities &gt;1 mS cm(-1) and stiff mechanical moduli &gt;1 MPa. These hBN ionogel electrolytes enable the fabrication of fully screen-printed lithium-ion batteries with high cycling stability, rate performance, and mechanical resilience against flexion and external forces, thus providing a robust energy storage solution that is compatible with scalable additive manufacturing.</t>
  </si>
  <si>
    <t>Hersam, Mark/B-6739-2009; de Moraes, Ana/W-9433-2019</t>
  </si>
  <si>
    <t>Hersam, Mark/0000-0003-4120-1426;</t>
  </si>
  <si>
    <t>2022 JUN 21</t>
  </si>
  <si>
    <t>10.1021/acs.nanolett.2c01364</t>
  </si>
  <si>
    <t>WOS:000820324700001</t>
  </si>
  <si>
    <t>Il'ina, EA; Lyalin, ED; Kuznetsova, TA; Pankratov, AA</t>
  </si>
  <si>
    <t>Il'ina, E. A.; Lyalin, E. D.; Kuznetsova, T. A.; Pankratov, A. A.</t>
  </si>
  <si>
    <t>Cathode modification by Li2O-B2O3-SiO2 glass addition for all-solid-state battery creation</t>
  </si>
  <si>
    <t>Cathode modification by Li2O-B2O3-SiO2 glass addition can be considered one of the ways to solve the problem of the increased interfacial resistance between solid electrolyte and solid cathode. The chemical and thermal stability of composite solid electrolyte based on Li7La3Zr2O12 in contact with LiCoO2 and glass additive was studied using XRD and DSC analysis. It was established that the interaction in the mixture studied begins at 670 degrees C. Therefore, 650 degrees C at 1 h was chosen as heat treatment conditions for (100-x)LiCoO2 + x 65Li(2)O center dot 27B(2)O(3)center dot 8SiO(2) | solid electrolyte half-cells (x = 0-20 wt%). It was established that 5 wt% of glass addition is optimal to reduce the interfacial resistance. It can be concluded that Li2O-B2O3-SiO2 glass addition in LiCoO2 leads to the tight contact with composite electrolyte based on Li7La3Zr2O12 and the decrease in the interface resistance between the two solids.</t>
  </si>
  <si>
    <t>; Il'ina, Evgeniya/G-7773-2016</t>
  </si>
  <si>
    <t>Kuznetsova, Tamara/0009-0000-5062-184X; Il'ina, Evgeniya/0000-0003-1759-5234</t>
  </si>
  <si>
    <t>10.1007/s11581-022-04640-1</t>
  </si>
  <si>
    <t>WOS:000812454500001</t>
  </si>
  <si>
    <t>Roitzheim, C; Sohn, YJ; Kuo, LY; Häuschen, G; Mann, M; Sebold, D; Finsterbusch, M; Kaghazchi, P; Guillon, O; Fattakhova-Rohlfing, D</t>
  </si>
  <si>
    <t>Roitzheim, Christoph; Sohn, Yoo Jung; Kuo, Liang-Yin; Haeuschen, Grit; Mann, Markus; Sebold, Doris; Finsterbusch, Martin; Kaghazchi, Payam; Guillon, Olivier; Fattakhova-Rohlfing, Dina</t>
  </si>
  <si>
    <t>All-Solid-State Li Batteries with NCM-Garnet-Based Composite Cathodes: The Impact of NCM Composition on Material Compatibility</t>
  </si>
  <si>
    <t>Garnet-based all-solid-state batteries (ASBs) with high energy density require composite cathodes with high areal loading and high-capacity cathode active materials. While all ceramic cathodes can typically be manufactured via cosintering, the elevated temperatures necessary for this process pose challenges with respect to material compatibility. High-capacity cathode active materials like Ni-rich LiNixCoyMn1-x-yO2 (NCM) show insufficient material compatibility toward the solid electrolyte Li6.45Al0.05La3Zr1.6Ta0.4O12 (LLZO:Ta) during cosintering, leading to the formation of highly resistive interphases. We investigated this secondary phase formation both experimentally and via density functional theory calculation to get a mechanistic understanding of the cosintering behavior of LLZO:Ta with NCM111 and Ni-rich NCM811. Furthermore, we employed B doping of both NCM materials in order to assess its impact on the cation interchange and subsequent secondary phase formation. While secondary phases were formed for all four NCM materials, their onset temperature, nature, and amount strongly depend on the NCM composition and doping. Surprisingly, Ni-rich NCM811 turned out to be the most promising cathode active material for the combination with garnet-type LLZO:Ta. As proof of concept, fully inorganic, ceramic all-solid-state lithium batteries featuring only a Li-metal anode, an LLZO:Ta separator, and a composite cathode, consisting of LLZO:Ta, Li3BO3, and NCM811, were prepared by conventional sintering. The purely inorganic full cells delivered a high specific areal discharge capacity of 0.7 mA h cm-2 in the initial cycle.</t>
  </si>
  <si>
    <t>Kuo, Liang-Yin/GVU-0206-2022; Mann, Markus/CAI-7782-2022; Roitzheim, Christoph/MEP-9689-2025; Sebold, Doris/MEP-6307-2025; Fattakhova-Rohlfing, Dina/E-7967-2012</t>
  </si>
  <si>
    <t>Kuo, Liang-Yin/0000-0001-9543-5274; Roitzheim, Christoph/0000-0001-8757-9868; Mann, Markus/0000-0003-3383-9243; Sohn, Yoo Jung/0000-0002-7994-7269; Fattakhova-Rohlfing, Dina/0000-0003-2008-0151</t>
  </si>
  <si>
    <t>JUN 8</t>
  </si>
  <si>
    <t>10.1021/acsaem.2c00533</t>
  </si>
  <si>
    <t>WOS:000819121400001</t>
  </si>
  <si>
    <t>Li, YQ; Zhou, Q; Weng, ST; Ding, FX; Qi, XG; Lu, JZ; Li, Y; Zhang, X; Rong, XH; Lu, YX; Wang, XF; Xiao, RJ; Li, H; Huang, XJ; Chen, LQ; Hu, YS</t>
  </si>
  <si>
    <t>Li, Yuqi; Zhou, Quan; Weng, Suting; Ding, Feixiang; Qi, Xingguo; Lu, Jiaze; Li, Yu; Zhang, Xiao; Rong, Xiaohui; Lu, Yaxiang; Wang, Xuefeng; Xiao, Ruijuan; Li, Hong; Huang, Xuejie; Chen, Liquan; Hu, Yong-Sheng</t>
  </si>
  <si>
    <t>Interfacial engineering to achieve an energy density of over 200 Wh kg-1 in sodium batteries</t>
  </si>
  <si>
    <t>NATURE ENERGY</t>
  </si>
  <si>
    <t>Sodium-based batteries have attracted wide interests in the academic and industrial fields. However, their energy density is still lower than that of Li-based batteries. Here we report an initial anode-free Na battery with an energy density of over 200 Wh kg(-1), which is even higher than that of the commercial LiFePO4||graphite battery. Through introducing graphitic carbon coating on the Al current collector and boron-containing electrolytes in the battery, we show that uniform nucleation and robust interphases enable reversible and crack-free Na deposition. Benefitting from the synergetic effects derived from the built cooperative interfaces, the cycling lifetime of the Na battery without applying additional pressure reaches 260 cycles, which is the longest life for large-size cells with zero excess Na. The insights gained from the Na plating/stripping behaviour and interfacial chemistry in this work pave the way for further development of Na batteries with even higher performance. Sodium-ion batteries have long been tipped as a promising post-Li-ion storage technology but their performance is still inferior to Li-ion batteries. Here the authors design an ampere-hour-scale battery with an initial Na-free anode configuration to achieve an energy density that rivals Li-ion batteries.</t>
  </si>
  <si>
    <t>; Rong, Xiaohui/AAD-9496-2022; Wang, Xuefeng/F-6161-2012; Weng, Suting/CAF-6303-2022; Ding, Feixiang/HIR-8651-2022; yang, xiaodan/KTI-6719-2024; Hu, Yong-Sheng/H-1177-2011; Li, Hong/C-4643-2008; Li, Yuqi/R-3015-2019; Huang, Xuejie/ACZ-0959-2022; Chen, Liquan/AAG-1527-2019; Xiao, Ruijuan/B-4739-2010</t>
  </si>
  <si>
    <t>Lu, Jiaze/0000-0002-1866-6156; Weng, Suting/0000-0003-3494-7326; Rong, Xiaohui/0000-0002-9786-4424; Li, Yuqi/0000-0003-1501-1549;</t>
  </si>
  <si>
    <t>2058-7546</t>
  </si>
  <si>
    <t>10.1038/s41560-022-01033-6</t>
  </si>
  <si>
    <t>WOS:000805082400005</t>
  </si>
  <si>
    <t>Riyaz, M; Garg, S; Kaur, N; Goel, N</t>
  </si>
  <si>
    <t>Riyaz, Mohd; Garg, Shivangi; Kaur, Navjot; Goel, Neetu</t>
  </si>
  <si>
    <t>Boron doped graphene as anode material for Mg ion battery: A DFT study</t>
  </si>
  <si>
    <t>COMPUTATIONAL AND THEORETICAL CHEMISTRY</t>
  </si>
  <si>
    <t>The bivalent nature of Mg offers the possibility of storing more charge per ion that could allow the building of batteries with higher energy density. Currently, the promised potential of Mg ion battery (MIB) is far to achieve owing to the lack of an appropriate electrolyte, since Mg metal used as anode in MIB is not compatible with common battery electrolytes. Carbon-based electrodes function well with conventional battery electrolytes, therefore, it's proposed that B and N-doped graphene intercalated with Mg could be an efficient anode material for MIB. Density functional calculations have been carried out to study interaction of Mg with the doped graphene surface. Adsorption energy (E-ad), magnesiation potential (V-Mg) and specific capacity (C-C) of surface doped with varying dopant percentages were investigated. The calculations predicted B-doped surface as an efficient anode material for MIB. Moreover, it shows good electrical and ionic conductivity and high cycling stability.</t>
  </si>
  <si>
    <t>Goel, Neetu/ITT-4890-2023; Kaur, Navjot/KMY-0476-2024</t>
  </si>
  <si>
    <t>Garg, Shivangi/0000-0001-7829-5126; Kaur, Navjot/0000-0002-5371-7529;</t>
  </si>
  <si>
    <t>2210-271X</t>
  </si>
  <si>
    <t>1872-7999</t>
  </si>
  <si>
    <t>10.1016/j.comptc.2022.113757</t>
  </si>
  <si>
    <t>WOS:000813017900005</t>
  </si>
  <si>
    <t>Nagarajan, S; Weiland, C; Hwang, S; Balasubramanian, M; Arava, LMR</t>
  </si>
  <si>
    <t>Nagarajan, Sudhan; Weiland, Conan; Hwang, Sooyeon; Balasubramanian, Mahalingam; Arava, Leela Mohana Reddy</t>
  </si>
  <si>
    <t>Depth-Dependent Understanding of Cathode Electrolyte Interphase (CEI) on the Layered Li-Ion Cathodes Operated at Extreme High Temperature</t>
  </si>
  <si>
    <t>The high-temperature operation of Li-ion batteriesis highly dependent on the stability of the cathode electrolyteinterphase (CEI) formed during lithiation-delithiation reactions.However, knowledge on the nature of the CEI is limited and itsstability under extreme temperatures is not well understood.Therefore, herein, we investigate a proof-of-concept study onstabilizing CEI on model LiNi0.33Mn0.33Co0.33O2(NMC333) at anextreme operation condition of 100 degrees C using the thermally stablepyrrolidinium-based ionic liquid electrolyte. The electrochemicallithiation-delithiation reactions at 100 degrees C and the CEI evolutionupon different cycling conditions are investigated. Further, thedepth-dependent CEI chemistry was investigated using energy-tunable synchrotron-based hard X-ray photoelectron spectroscopy(HAXPES). The results reveal that the high-temperature operationaccelerated the CEI formation compared to room temperature, and the surface of the interphase layer is rich in boron-basedinorganic moieties than the deeper surface. Further, bulk-sensitive X-ray absorption spectroscopy (XAS) was used to investigate thetransition-metal redox contributors during high-temperature electrochemical reactions; similar to room temperature, the Ni2+/4+redox couple is the only charge-compensating redox couple during high-temperature operation. Finally, the physical nature of theconformal CEI on the cathode particles was visualized with high-resolution transmission electron microscopy, which confirms thatthe significant degradation of cathode particles without conformal CEI is due to the transformation of a layer-to-spinel formation atextreme temperature. In this study, understanding this high-temperature interfacial chemistry of NMC cathodes through advancedspectroscopy and microscopy will shed light on transforming the ambient-temperature Li-ion chemistry into high-temperatureapplications.</t>
  </si>
  <si>
    <t>Nagarajan, Sudhan/R-2911-2016; Balasubramanian, Mahalingam/B-4982-2012; Hwang, Sooyeon/H-8593-2012; NAGARAJAN, SUDHAN/R-2911-2016</t>
  </si>
  <si>
    <t>Nagarajan, Sudhan/0000-0002-3524-5062; Arava, Leela Mohana Reddy/0000-0001-6685-6061; Hwang, Sooyeon/0000-0001-5606-6728</t>
  </si>
  <si>
    <t>MAY 24</t>
  </si>
  <si>
    <t>10.1021/acs.chemmater.2c00435</t>
  </si>
  <si>
    <t>WOS:000805874800033</t>
  </si>
  <si>
    <t>Kim, JH; Park, DH; Jang, JS; Shin, JH; Kim, MC; Kim, SB; Moon, SH; Lee, SN; Park, KW</t>
  </si>
  <si>
    <t>Kim, Ji-Hwan; Park, Deok-Hye; Jang, Jae-Sung; Shin, Jae-Hoon; Kim, Min-Cheol; Kim, Sung-Beom; Moon, Sang-Hyun; Lee, Seong-Nam; Park, Kyung-Won</t>
  </si>
  <si>
    <t>High-performance free-standing hybrid solid electrolyte membrane combined with Li6.28Al0.24La3Zr2O12 and hexagonal-BN for all-solid-state lithium-based batteries</t>
  </si>
  <si>
    <t>Hybrid solid electrolytes (HSEs) have received intensive attentions for all-solid-state lithium-based batteries (ASSBs) because of their high ionic conductivity, high mechanical strength, improved electrochemical stability, and effective lithium dendrite suppression capability. In this study, free-standing HSE membranes were fabricated using a poly(vinylidene fluoride-co-hexafluoropropylene) (PVDF-HFP) matrix and Li6.28Al0.24La3Zr2O12 (LALZO)/hexagonal-BN (h-BN) composite ceramic fillers with different amounts of h-BN. The optimal proportion of h-BN (10 wt%) in the HSE membrane reduces the crystallinity of PVDF-HFP matrix, increases the proportion of the electroactive beta phase, and enhances the mechanical strength of the HSE membrane. Furthermore, the PVDFHFP/LALZO/h-BN 10% HSE membrane exhibited improved electrochemical properties, for example, a lithium ion transference number of 0.63 at 55 C, ionic conductivity of 1.1 x 10(-4) S cm(-1) at 25 C, electrochemical stability window of-5.0 V vs. Li/Li+, and effective lithium dendrite suppression capability. The ASSB consisting of a LiFePO4 cathode, PVDF-HFP/LALZO/h-BN 10% HSE, and Li metal anode delivered improved battery performance with an average capacity of 131 mAh g(-1) at 0.2C, &gt; 99% coulombic efficiency, and a capacity retention of 92% after 100 cycles.</t>
  </si>
  <si>
    <t>; KIM, SUNG MIN/U-5269-2017</t>
  </si>
  <si>
    <t>MOON, SANGHYUN/0009-0004-4084-5427;</t>
  </si>
  <si>
    <t>10.1016/j.cej.2022.137035</t>
  </si>
  <si>
    <t>MAY 2022</t>
  </si>
  <si>
    <t>WOS:000806756200004</t>
  </si>
  <si>
    <t>Chambers, A; Prawer, S; Ahnood, A; Zhan, HL</t>
  </si>
  <si>
    <t>Chambers, Andre; Prawer, Steven; Ahnood, Arman; Zhan, Hualin</t>
  </si>
  <si>
    <t>Diamond Supercapacitors: Towards Durable, Safe, and Biocompatible Aqueous-Based Energy Storage</t>
  </si>
  <si>
    <t>Durable and safe energy storage is required for the next generation of miniature bioelectronic devices, in which aqueous electrolytes are preferred due to the advantages in safety, low cost, and high conductivity. While rechargeable aqueous batteries are among the primary choices with relatively low power requirements, their lifetime is generally limited to a few thousand charging/discharging cycles as the electrode material can degrade due to electrochemical reactions. Electrical double layer capacitors (EDLCs) possess increased cycling stability and power density, although with as-yet lower energy density, due to quick electrical adsorption and desorption of ions without involving chemical reactions. However, in aqueous solution, chemical reactions which cause electrode degradation and produce hazardous species can occur when the voltage is increased beyond its operation window to improve the energy density. Diamond is a durable and biocompatible electrode material for supercapacitors, while at the same time provides a larger voltage window in biological environments. For applications requiring higher energy density, diamond-based pseudocapacitors (PCs) have also been developed, which combine EDLCs with fast electrochemical reactions. Here we inspect the properties of diamond-related materials and discuss their advantages and disadvantages when used as EDLC and PC materials. We argue that further optimization of the diamond surface chemistry and morphology, guided by computational modelling of the interface, can lead to supercapacitors with enhanced performance. We envisage that such diamond-based supercapacitors could be used in a wide range of applications and in particular those requiring high performance in biomedical applications.</t>
  </si>
  <si>
    <t>Ahnood, Arman/O-8450-2015; Zhan, Hualin/A-1301-2011</t>
  </si>
  <si>
    <t>Ahnood, Arman/0000-0002-0253-7579; PRAWER, STEVEN/0000-0002-4959-0828; Zhan, Hualin/0000-0002-1804-8948;</t>
  </si>
  <si>
    <t>10.3389/fchem.2022.924127</t>
  </si>
  <si>
    <t>WOS:000806092200001</t>
  </si>
  <si>
    <t>Sun, CB; Sheng, JZ; Zhang, Q; Gao, RH; Han, ZY; Li, C; Xiao, X; Qiu, L; Zhou, GM</t>
  </si>
  <si>
    <t>Sun, Chongbo; Sheng, Jinzhi; Zhang, Qi; Gao, Runhua; Han, Zhiyuan; Li, Chuang; Xiao, Xiao; Qiu, Ling; Zhou, Guangmin</t>
  </si>
  <si>
    <t>Self-extinguishing Janus separator with high safety for flexible lithium-sulfur batteries</t>
  </si>
  <si>
    <t>SCIENCE CHINA-MATERIALS</t>
  </si>
  <si>
    <t>Flexible lithium-sulfur (Li-S) batteries are considered one of the most promising candidates for high-energy-density storage devices in wearable electronics. However, the safety problem severely restricts the practical application of Li-S batteries because of the possible occurrence of thermal runaway caused by battery short circuits and combustible components, particularly under bending conditions. The development of advanced separators that can suppress lithium dendrite growth and are incombustible is the key to improving the safety of flexible Li-S batteries. In this work, a nonflammable multifunctional Janus separator with self-extinguishing capability, high thermal stability, high thermal conductivity, good electrolyte infiltration, uniform lithium deposition, and efficient polysulfide shuttling inhibition, is proposed. The separator is composed of polyacrylonitrile (PAN) fiber and decabromodiphenyl ethane (DBDPE) membrane as well as functional layers of boron nitride (BN) for suppressing lithium dendrite growth and reduced graphene oxide (rGO) for accelerating the sulfur convention kinetics. As a result, the Li-S battery with a sulfur mass loading of 2.7 mg cm(-2) delivers a specific capacity of 916.8 mA h g(-1) after 100 cycles at 0.1 C and maintains a stable performance during intermittent thermal shock. Moreover, the Li-S pouch cell with a sulfur mass loading of 8 mg exhibits a high capacity of 6.3 mA h under bending conditions.</t>
  </si>
  <si>
    <t>li, chuang/HNT-0863-2023; Zhou, Guangmin/ABE-6563-2020; Xiao, Xiao/AAC-8908-2022</t>
  </si>
  <si>
    <t>2095-8226</t>
  </si>
  <si>
    <t>2199-4501</t>
  </si>
  <si>
    <t>10.1007/s40843-022-2034-5</t>
  </si>
  <si>
    <t>WOS:000800992800001</t>
  </si>
  <si>
    <t>Wang, Y; Chen, Y; Wang, ZW; Li, P; Zhao, JY; Zhao, HY; Li, D; He, TX; Wei, YT; Su, YQ; Xiao, CH</t>
  </si>
  <si>
    <t>Wang, Yang; Chen, Ye; Wang, Ziwei; Li, Ping; Zhao, Jianyun; Zhao, Hongyang; Li, Dan; He, Tianxi; Wei, Yuantao; Su, Yaqiong; Xiao, Chunhui</t>
  </si>
  <si>
    <t>Boron doping induced electronic reconfiguration of Fe-Nx sites in N-doped carbon matrix for efficient oxygen reduction reaction in both alkaline and acidic media</t>
  </si>
  <si>
    <t>Developing non-precious metal-based catalysts as the substitution of precious catalysts (Pt/C) in oxygen reduction reaction (ORR) is crucial for energy devices. Herein, a template and organic solvent-free method was adopted to synthesize Fe, B, and N doped nanoflake-like carbon materials (Fe/B/N-C) by pyrolysis of monoclinic ZIF-8 coated with iron pre -cursors and boric acid. Benefiting from introducing B into Fe-N-C, the regulated electron cloud density of Fe-N-x sites enhance the charge transfer and promotes the ORR process. The as-synthesized Fe/B/N-C electrocatalyst shows excellent ORR activity of a half-wave potential (0.90 V vs 0.87 V of Pt/C), together with superior long-term stability (95.5% cur-rent density retention after 27 h) in alkaline media and is even comparable to the com-mercial Pt/C catalyst (with a half-wave potential of 0.74 V vs 0.82 V of Pt/C) in an acidic electrolyte. A Zn-air battery assembled with Fe/B/N-C as ORR catalyst delivers a higher open-circuit potential (1.47 V), specific capacity (759.9 mA h g(Zn)(-1) at 10 mA cm(-2)), peak power density (62 mW cm(-2)), as well as excellent durability (5 mA cm(-2) for more than 160 h) compared to those with commercial Pt/C. This work provides an effective strategy to construct B doped Fe-N-C materials as nonprecious ORR catalyst. Theoretical calculations indicate that introduction of B could induce Fe-N-x species electronic configuration and is favorable for activation of OH* intermediates to promote ORR process. (C) 2022 Published by Elsevier Ltd on behalf of Hydrogen Energy Publications LLC.</t>
  </si>
  <si>
    <t>Zhao, Yunlong/HPC-9555-2023; Li, Ping/E-2931-2015; Zhao, Hongyang/I-7550-2018; z, yi/HIR-7401-2022; wang, ziwei/HQY-9921-2023; wang, yang/A-5973-2015</t>
  </si>
  <si>
    <t>MAY 19</t>
  </si>
  <si>
    <t>10.1016/j.ijhydene.2022.04.015</t>
  </si>
  <si>
    <t>WOS:000806787900008</t>
  </si>
  <si>
    <t>Kim, EJ; Kumar, PR; Gossage, ZT; Kubota, K; Hosaka, T; Tatara, R; Komaba, S</t>
  </si>
  <si>
    <t>Kim, Eun Jeong; Kumar, P. Ramesh; Gossage, Zachary T.; Kubota, Kei; Hosaka, Tomooki; Tatara, Ryoichi; Komaba, Shinichi</t>
  </si>
  <si>
    <t>Active material and interphase structures governing performance in sodium and potassium ion batteries</t>
  </si>
  <si>
    <t>Development of energy storage systems is a topic of broad societal and economic relevance, and lithium ion batteries (LIBs) are currently the most advanced electrochemical energy storage systems. However, concerns on the scarcity of lithium sources and consequently the expected price increase have driven the development of alternative energy storage systems beyond LIBs. In the search for sustainable and cost-effective technologies, sodium ion batteries (SIBs) and potassium ion batteries (PIBs) have attracted considerable attention. Here, a comprehensive review of ongoing studies on electrode materials for SIBs and PIBs is provided in comparison to those for LIBs, which include layered oxides, polyanion compounds and Prussian blue analogues for positive electrode materials, and carbon-based and alloy materials for negative electrode materials. The importance of the crystal structure for electrode materials is discussed with an emphasis placed on intrinsic and dynamic structural properties and electrochemistry associated with alkali metal ions. The key challenges for electrode materials as well as the interface/interphase between the electrolyte and electrode materials, and the corresponding strategies are also examined. The discussion and insights presented in this review can serve as a guide regarding where future investigations of SIBs and PIBs will be directed.</t>
  </si>
  <si>
    <t>Petla, Ramesh Kumar/P-1486-2014; Hosaka, Tomooki/ABE-2218-2020; Komaba, Shinichi/GRJ-7279-2022; Kubota, Kei/T-7209-2019; Tatara, Ryoichi/N-8211-2018; Petla, Ramesh/AAK-5341-2021</t>
  </si>
  <si>
    <t>Petla, Ramesh Kumar/0000-0001-9456-3370; Gossage, Zachary/0000-0003-3745-2919; Kubota, Kei/0000-0001-8941-3650; Tatara, Ryoichi/0000-0002-8148-5294; Kim, Eun Jeong/0000-0002-2941-0682; Hosaka, Tomooki/0000-0002-5922-8320; Komaba, Shinichi/0000-0002-9757-5905</t>
  </si>
  <si>
    <t>10.1039/d2sc00946c</t>
  </si>
  <si>
    <t>WOS:000797134000001</t>
  </si>
  <si>
    <t>Kang, CSM; Hutt, OE; Pringle, JM</t>
  </si>
  <si>
    <t>Kang, Colin S. M.; Hutt, Oliver E.; Pringle, Jennifer M.</t>
  </si>
  <si>
    <t>Halide-Free Synthesis of New Difluoro(oxalato)borate [DFOB]--Based Ionic Liquids and Organic Ionic Plastic Crystals</t>
  </si>
  <si>
    <t>CHEMPHYSCHEM</t>
  </si>
  <si>
    <t>The implementation of next-generation batteries requires the development of safe, compatible electrolytes that are stable and do not cause safety problems. The difluoro(oxalato)borate ([DFOB](-)) anion has been used as an electrolyte additive to aid with stability, but such an approach has most commonly been carried out using flammable solvent electrolytes. As an alternative approach, utilisation of the [DFOB](-) anion to make ionic liquids (ILs) or Organic Ionic Plastic Crystals (OIPCs) allows the advantageous properties of ILs or OIPCs, such as higher thermal stability and non-volatility, combined with the benefits of the [DFOB](-) anion. Here, we report the synthesis of new [DFOB](-)-based ILs paired with triethylmethylphosphonium [P-1222](+), and diethylisobutylmethylphosphonium [P-122i4](+). We also report the first OIPCs containing the [DFOB](-) anion, formed by combination with the 1-ethyl-1-methylpyrrolidinium [C(2)mpyr](+) cation, and the triethylmethylammonium [N-1222](+) cation. The traditional synthetic route using halide starting materials has been successfully replaced by a halide-free tosylate-based synthetic route that is advantageous for a purer, halide free product. The synthesised [DFOB](-)-based salts exhibit good thermal stability, while the ILs display relatively high ionic conductivity. Thus, the new [DFOB](-)-based electrolytes show promise for further investigation as battery electrolytes both in liquid and solid-state form.</t>
  </si>
  <si>
    <t>Hutt, Oliver/B-5064-2014; Pringle, Jennifer/D-5459-2012</t>
  </si>
  <si>
    <t>Hutt, Oliver/0000-0002-0475-0605; Pringle, Jennifer/0000-0002-2729-2838</t>
  </si>
  <si>
    <t>1439-4235</t>
  </si>
  <si>
    <t>1439-7641</t>
  </si>
  <si>
    <t>JUL 5</t>
  </si>
  <si>
    <t>e202200115</t>
  </si>
  <si>
    <t>10.1002/cphc.202200115</t>
  </si>
  <si>
    <t>WOS:000796757400001</t>
  </si>
  <si>
    <t>Nasu, A; Inaoka, T; Tsuji, F; Motohashi, K; Sakuda, A; Tatsumisago, M; Hayashi, A</t>
  </si>
  <si>
    <t>Nasu, Akira; Inaoka, Takeaki; Tsuji, Fumika; Motohashi, Kota; Sakuda, Atsushi; Tatsumisago, Masahiro; Hayashi, Akitoshi</t>
  </si>
  <si>
    <t>Formation of Passivate Interphases by Na3BS3-Glass Solid Electrolytes in All-Solid-State Sodium-Metal Batteries</t>
  </si>
  <si>
    <t>Interphase formation at the interface between a solid electrolyte and negative electrode is one of the main factors limiting the practical use of all-solid-state sodium batteries. Sulfide-type solid electrolytes with group 15 elements (P and Sb) exhibit high ductility and ionic conductivity, comparable to those of organic liquid electrolytes. However, the electronically conductive interphase formed at the interface between Na3PS4 and sodium metal increases the cell resistance and deteriorates its electrochemical properties. Contrarily, Na3BS3, containing boron as an electrochemically inert element, forms an electronically insulating thin passivate interphase, facilitating reversible sodium plating and stripping. Sodium-metal symmetric cells with Na3BS3 exhibit steady operation over 1000 cycles. Thus, reduction-stable solid electrolytes can be developed by substitution with an electrochemically inert element versus sodium.</t>
  </si>
  <si>
    <t>Nasu, Akira/GWC-8935-2022; Sakuda, Atsushi/E-1918-2012</t>
  </si>
  <si>
    <t>Sakuda, Atsushi/0000-0002-9214-0347; Nasu, Akira/0009-0002-7779-5721</t>
  </si>
  <si>
    <t>10.1021/acsami.2c05090</t>
  </si>
  <si>
    <t>WOS:000820802800001</t>
  </si>
  <si>
    <t>Li, GJ; Li, ZF; Cai, QQ; Yan, C; Xing, LD; Li, WS</t>
  </si>
  <si>
    <t>Li, Guanjie; Li, Zifei; Cai, Qinqin; Yan, Chong; Xing, Lidan; Li, Weishan</t>
  </si>
  <si>
    <t>Construction of Low-Impedance and High-Passivated Interphase for Nickel-Rich Cathode by Low-Cost Boron-Containing Electrolyte Additive</t>
  </si>
  <si>
    <t>The nickel-rich cathode LiNi0.8Co0.1Mn0.1O2 (NCM811) possesses the advantages of high reversible specific capacity and low cost, thus regarded as a promising cathode material for lithium-ion batteries (LIBs). However, the capacity of the NCM811 decays rapidly at high voltage due to the extremely unstable electrode/electrolyte interphase. The discharge capability at low temperature is also impaired because of the increasing interfacial impedance. Herein, a low-cost film-forming electrolyte additive with multi-function, phenylboronic acid (PBA), was employed to modify the interphasial properties of the NCM811 cathode. Theoretical calculation and experimental results showed that PBA constructed a highly conductive and steady cathode electrolyte interphase (CEI) film through preferential oxidation decomposition, which greatly improved the interfacial properties of the NCM811 cathode at room (25 degrees C) and low temperature (-10 degrees C). Specifically, the capacity retention of NCM811/Li cell was increased from 68 % to 87 % after 200 cycles with PBA additive. Moreover, the NCM811/Li cell with PBA additive delivered higher discharge capacity under -10 degrees C at 0.5 C (173.7 mAh g(-1) vs. 111.1 mAh g(-1)). Based on the improvement of NCM811 interphasial properties by additive PBA, the capacity retention of NCM811/graphite full-cell was enhanced from 49 % to 65 % after 200 cycles.</t>
  </si>
  <si>
    <t>; Li, Guanjie/NHP-0662-2025; Yan, Chong/B-1100-2016; Li, Zifei/JRX-7371-2023</t>
  </si>
  <si>
    <t>Xing, Lidan/0000-0002-3642-7204; Yan, Chong/0000-0001-9521-4981; Li, Guanjie/0000-0003-0955-5355;</t>
  </si>
  <si>
    <t>e202200543</t>
  </si>
  <si>
    <t>10.1002/cssc.202200543</t>
  </si>
  <si>
    <t>WOS:000793944200001</t>
  </si>
  <si>
    <t>Park, JW; Park, DH; Go, S; Nam, DH; Oh, J; Han, YK; Lee, H</t>
  </si>
  <si>
    <t>Park, Jong Won; Park, Doh Hee; Go, Soohyun; Nam, Dae-Hyun; Oh, Jihun; Han, Young-Kyu; Lee, Hochun</t>
  </si>
  <si>
    <t>Malonatophosphate as an SEI- and CEI-forming additive that outperforms malonatoborate for thermally robust lithium-ion batteries</t>
  </si>
  <si>
    <t>Ni-rich nickel-cobalt-manganese layered oxides have been widely used as advanced cathode materials; however, they exhibit poor thermal stability at elevated temperatures. Therefore, in this study, we synthesized lithium tetrafluoro(fluoromalonato)phosphate (LFMP) as a dual-functional electrolyte additive to improve the thermal stability of LiNi0.8Co0.1Mn0.1O2 (NCM811) cathode and graphite anode materials. The LFMP additive imparts excellent cyclability, storage performance, and mitigated gas evolution of NCM811/graphite cells at 60 degrees C compared to its boron analog, lithium difluoro(fluoromalonato)borate (LFMB). The vast advantages of the LFMP additive can be attributed to the following two-fold origin: (i) On the NCM811 cathode, LFMP derives a cathode electrolyte interphase (CEI) that suppresses electrolyte decomposition and gas evolution more effectively than LFMB; (ii) On the graphite anode, LFMP induces a LiF-rich solid electrolyte interphase (SEI) that is more resistant to attack by phosphorus pentafluoride (PF5) than an LFMB-induced organic-rich SEI. Our first-principles calculations corroborate that the CEI and SEI layers derived by LFMP are superior to those of LFMB owing to the strong binding with a superoxide radical (O-2(center dot-)) and weak binding with PF5 and favorable LiF formation, respectively. Considering its advantages, LFMP is an outstanding electrolyte additive for thermally stable NCM811/graphite batteries. This study opens a new avenue for using malonatophosphates as a new class of electrolyte additives for enhanced surface stability of Ni-rich cathodes and graphite anodes.</t>
  </si>
  <si>
    <t>Park, Jong-Won/L-4856-2017; Oh, Jihun/B-7085-2013; Nam, Dae-Hyun/AAX-3771-2020; Han, Young-Kyu/MIJ-9756-2025</t>
  </si>
  <si>
    <t>Nam, Dae-Hyun/0000-0002-0871-1355</t>
  </si>
  <si>
    <t>10.1016/j.ensm.2022.05.009</t>
  </si>
  <si>
    <t>WOS:000833524200001</t>
  </si>
  <si>
    <t>Warrington, A; Kang, CSM; Forsyth, C; Doherty, CM; Acharya, D; O'Dell, LA; Sirigiri, N; Boyle, JW; Hutt, OE; Forsyth, M; Pringle, JM</t>
  </si>
  <si>
    <t>Warrington, Anna; Kang, Colin S. M.; Forsyth, Craig; Doherty, Cara M.; Acharya, Durga; O'Dell, Luke A.; Sirigiri, Nanditha; Boyle, Joshua William; Hutt, Oliver E.; Forsyth, Maria; Pringle, Jennifer M.</t>
  </si>
  <si>
    <t>Thermal, structural and dynamic properties of ionic liquids and organic ionic plastic crystals with a small ether-functionalised cation</t>
  </si>
  <si>
    <t>MATERIALS CHEMISTRY FRONTIERS</t>
  </si>
  <si>
    <t>Organic ionic plastic crystals (OIPCs) and ionic liquids (ILs) are promising safer electrolytes for energy storage applications. While ether-functionality in ILs is well known to impart beneficial properties such as low viscosity and high conductivity, cations containing short alkoxy chains are seldom investigated and this strategy is important for creating unique alkoxy-based OIPCs. Here, we report the synthesis and characterisation of the 1-methoxymethyl-1,1,1-trimethyl ammonium ([N-111,N-1O1](+)) cation paired with six different anions. Solid salts were obtained with bis(fluorosulfonyl)imide ([FSI](-)), hexafluorophosphate ([PF6](-)) and triflate ([OTf](-)) anions, the dicyanamide ([DCA](-)) and tetrafluoroborate ([BF4](-)) salts formed low melting point solids and the bis(trifluoromethanesulfonyl)imide ([TFSI](-)) anion formed an IL. A fundamental investigation of the thermal, structural and dynamic behaviour of these materials through differential scanning calorimetry (DSC), electrochemical impedance spectroscopy (EIS), single crystal X-ray diffraction (XRD), nuclear magnetic resonance (NMR) spectroscopy, and positron annihilation lifetime spectroscopy (PALS) is reported. Of the new solid salts, [N-111,N-1O1][FSI] displayed the highest conductivity of 2.1 x 10(-5) S cm(-1) at 30 degrees C, consistent with the exceptionally large vacancy volume of 139 angstrom(3). The insights into the new materials and their structure/property relationships will be valuable for developing new electrolytes for energy storage applications.</t>
  </si>
  <si>
    <t>; Pringle, Jennifer/D-5459-2012; Doherty, Cara/AAY-1334-2020; Forsyth, Maria/ABH-8102-2020; Hutt, Oliver/B-5064-2014; O'Dell, Luke/I-2569-2013; Acharya, Durga/AAX-7874-2021</t>
  </si>
  <si>
    <t>Forsyth, Maria/0000-0002-4273-8105; O'Dell, Luke/0000-0002-7760-5417; Hutt, Oliver/0000-0002-0475-0605; Warrington, Anna/0000-0003-0214-1600; Doherty, Cara/0000-0003-3407-2873;</t>
  </si>
  <si>
    <t>2052-1537</t>
  </si>
  <si>
    <t>MAY 31</t>
  </si>
  <si>
    <t>10.1039/d2qm00045h</t>
  </si>
  <si>
    <t>WOS:000793326000001</t>
  </si>
  <si>
    <t>Lv, Y; Huang, SF; Lu, SR; Ding, WB; Yu, XL; Liang, GM; Zou, JS; Kang, FY; Zhang, JJ; Cao, YD</t>
  </si>
  <si>
    <t>Lv, Yao; Huang, Shifei; Lu, Sirong; Ding, Wenbo; Yu, Xiaoliang; Liang, Gemeng; Zou, Jinshuo; Kang, Feiyu; Zhang, Jiujun; Cao, Yidan</t>
  </si>
  <si>
    <t>B2O3/LiBO2 dual-modification layer stabilized Ni-rich cathode for lithium-ion battery</t>
  </si>
  <si>
    <t>Ni-rich layered oxide material with high theoretical capacity and low cost is one of the most promising cathode candidates for high-energy-density lithium-ion battery. However, increase of Ni content triggers structural instability and fast capacity degradation, which severely impedes the practical application of Ni-rich materials. Here, a surface dual-modification layer of B2O3 &amp; LiBO2 is introduced to Ni-rich material LiNi0.89Co0.08Mn0.03O2 (NCM89), which successfully stabilizes the layered structure of NCM89 during cycling as well as removes residual lithium in NCM89. The in-situ X-ray diffraction and cross-sectional scanning electron microscopy results demonstrate effectively improved structural reversibility and stability of the cathode. Moreover, the dissolution of transition metals and decomposition of electrolyte at the cathode/electrolyte interface are successfully suppressed, resulting in beneficial cathode electrolyte interphase (CEI) layer. As a result, the boron modified cathode exhibits s a high capacity of 180.4mAh g(-1) along with an excellent capacity retention of 90% after 100 cycles at 1C in 2.75-4.35 V at 25 degrees C, while the pristine NCM89 cathode only retains 59% of its initial capacity after 100 cycles. Furthermore, the capacity retention of full cell after 350 cycles is improved from 52.5% to 90%.</t>
  </si>
  <si>
    <t>Kang, Feiyu/AFH-4369-2022; Ding, Wenbo/AAG-6686-2019; Liang, Gemeng/LSK-0956-2024; zou, jinshuo/JCO-9714-2023; Zhang, Guojie/AAA-8272-2020; Lu, Sirong/F-6828-2019</t>
  </si>
  <si>
    <t>Liang, Gemeng/0000-0002-2302-4932;</t>
  </si>
  <si>
    <t>10.1016/j.jpowsour.2022.231510</t>
  </si>
  <si>
    <t>APR 2022</t>
  </si>
  <si>
    <t>WOS:000821907900004</t>
  </si>
  <si>
    <t>Zhang, YC; Qiu, PT; Zheng, JF; Chen, XW; Chen, XM; Li, SH; Ji, CC; Wu, YY; Chen, XN</t>
  </si>
  <si>
    <t>Zhang, Yichun; Qiu, Pengtao; Zheng, Jingfeng; Chen, Xinwei; Chen, Xi-Meng; Li, Shouhu; Ji, Chenchen; Wu, Yiying; Chen, Xuenian</t>
  </si>
  <si>
    <t>KB3H8•NH3B3H7 Complex as a Potential Solid-State Electrolyte with Excellent Stability against K Metal</t>
  </si>
  <si>
    <t>All-solid-state potassium batteries are promising candidates in the fields of large-scale energy storage owing to their intrinsic safety, stability, and cost-effectiveness. However, a suitable solid-state electrolyte with high ionic conductivity and favorable interfacial stability is a major challenge for the design and development of these batteries. Herein, we report the synthesis of new KB3H8 center dot nNH(3)B(3)H(7) (n = 0.5 and 1) complexes to develop suitable solid-state K-ion conductors for batteries. Both the complexes undergo a reversible phase transition below the thermal decomposition temperature. The optimal KB3H8 center dot NH3B3H7 delivers a solid-state K-ion conductivity of 1.3 x 10(-4) S cm(-1) at 55 degrees C with an activation energy of 0.44 eV after a transition from a monoclinic to an orthorhombic phase, which is the highest value of K borohydrides reported to date and places KB3H8 center dot NH3B3H7 among the leading solid-state K-ion conductors. Moreover, KB3H8 center dot NH3B3H7 reveals a K-ion transference number of nearly 0.93, an electrochemical stability window of 1.2 to 3.5 V vs K+/K, a good capability of K dendrite suppression, and a remarkable stability against the K metal anode due to the formation of the stable interface. These performances make KB3H8 center dot NH3B3H7 a promising electrolyte for all-solid-state potassium batteries.</t>
  </si>
  <si>
    <t>; Qiu, Pengtao/ABB-5118-2021; Chen, Xinwei/ABN-8830-2022; Chen, Xuenian/C-4111-2018</t>
  </si>
  <si>
    <t>Wu, Yiying/0000-0001-9359-1863; Qiu, Pengtao/0000-0001-8982-0803;</t>
  </si>
  <si>
    <t>10.1021/acsami.2c01586</t>
  </si>
  <si>
    <t>WOS:000797959300037</t>
  </si>
  <si>
    <t>Zhu, L; Wang, YW; Wu, YM; Feng, WL; Liu, ZL; Tang, WP; Wang, XW; Xia, YY</t>
  </si>
  <si>
    <t>Zhu, Lei; Wang, Youwei; Wu, Yongmin; Feng, Wuliang; Liu, Zhaolin; Tang, Weiping; Wang, Xiaowei; Xia, Yongyao</t>
  </si>
  <si>
    <t>Boron Nitride-Based Release Agent Coating Stabilizes Li1.3Al0.3Ti1.7(PO4)3/Li Interface with Superior Lean-Lithium Electrochemical Performance and Thermal Stability</t>
  </si>
  <si>
    <t>Sodium super ionic conductor (NASICON)-type Li1.3Al0.3Ti1.7(PO4)(3) (LATP) is one of the most promising solid-state electrolytes (SSEs) owing to its high Li-ion conductivity, high stability with air, and low cost. However, LATP is less widely deployed due to its high incompatibility with lithium metal. Herein, a facile and inexpensive spray-coating approach is proposed to construct a thin 3D organic/inorganic composite layer of a commercial boron nitride-based release agent (BNRA) onto LATP. Apart from protecting LATP, this interfacial BNRA layer enables Li-ion migration through BN defects and affords low resistance at BNRA/Li interface due to in situ formation of Li-N. Compared to bare LATP, which fails to support Li stripping-plating process in a lean-lithium Li/Li symmetric cell (2 mu m), BNRA-LATP runs for approximate to 1800 h. The assembled lean-lithium LiFePO4 (LFP)/BNRA-LATP/Li solid state batteries (SSBs) deliver a specific capacity of 150.9 mA h g(-1) at 0.5 C with minor capacity decay after 500 cycles. Besides, the BNRA layer eliminates thermal runaway risks of LATP-based SSBs by fast in-plane thermal dispersion. This work demonstrates a facile LATP-protection strategy regarding Li incompatibility and thermal runway issues, and pinpoints the interfacial formation mechanism, fulfilling the pursuit of high-performance low-cost SSEs.</t>
  </si>
  <si>
    <t>ZHU, LEI/JPA-1406-2023; wang, yiyi/GWZ-5830-2022; Wang, Xiaowei/JMB-3315-2023</t>
  </si>
  <si>
    <t>Wang, Youwei/0000-0001-8498-6548; Wang, Xiaowei/0000-0002-7542-6108;</t>
  </si>
  <si>
    <t>10.1002/adfm.202201136</t>
  </si>
  <si>
    <t>WOS:000783741200001</t>
  </si>
  <si>
    <t>Namkoong, B; Park, NY; Park, GT; Shin, JY; Beierling, T; Yoon, CS; Sun, YK</t>
  </si>
  <si>
    <t>Namkoong, Been; Park, Nam-Yung; Park, Geon-Tae; Shin, Ji-Yong; Beierling, Thorsten; Yoon, Chong S.; Sun, Yang-Kook</t>
  </si>
  <si>
    <t>High-Energy Ni-Rich Cathode Materials for Long-Range and Long-Life Electric Vehicles</t>
  </si>
  <si>
    <t>Li-ion batteries (LIBs) in electric vehicles (EVs) are usually operated intermittently and maintained at high states of charge (SoCs) for long periods. Because the internal particles of Ni-rich cathodes are easily exposed to the electrolyte at high SoCs owing to mechanical instability, the electrolyte exposure time-during which highly reactive Ni4+ ions react with the electrolyte-critically affects the degradation of the cathode. Here, 1 mol% B doping of a core-shell concentration gradient (CSG) Li[Ni0.88Co0.10Al0.02]O-2 cathode (CSG-NCA88) is shown to dramatically alter the microstructure of the cathode and effectively protect the particle interior from parasitic electrolyte attack. The B-doped CSG-NCA88 cathode, CSG-NCAB87, maintains its original microstructure even after holding for 500 h in the fully charged state, whereas irreversible structural damage occurs in the pristine CSG-NCA88 cathode during the prolonged electrolyte exposure. The long-term cycling results confirm that the capacity retention of the cathodes is determined by the electrolyte exposure time at a high SoC and that microstructural modification can effectively suppress the time-dependent degradation from electrolyte attack. The proposed CSG-NCAB87 cathode can be utilized at full capacity without restricting the SoC, thus realizing the development of economical high-energy-density LIBs.</t>
  </si>
  <si>
    <t>Sun, Yang-Kook/B-9157-2013; YOON, CHONG/P-2572-2015; Park, Nam-Yung/JWA-3826-2024; Shin, Ji-Yong/T-7206-2018</t>
  </si>
  <si>
    <t>Sun, Yang-Kook/0000-0002-0117-0170; Park, Geon-Tae/0000-0002-8964-6080;</t>
  </si>
  <si>
    <t>10.1002/aenm.202200615</t>
  </si>
  <si>
    <t>WOS:000782776800001</t>
  </si>
  <si>
    <t>Wang, P; Cui, XL; Zhao, DN; Yan, D; Ding, H; Dong, H; Wang, J; Wu, SM; Li, SY</t>
  </si>
  <si>
    <t>Wang, Peng; Cui, Xiaoling; Zhao, Dongni; Yan, De; Ding, Hao; Dong, Hong; Wang, Jie; Wu, Shumin; Li, Shiyou</t>
  </si>
  <si>
    <t>Effects of soluble products decomposed from chelato-borate additives on formation of solid electrolyte interface layers</t>
  </si>
  <si>
    <t>The prevailing account attributes the positive effects of boron-based additives on solid electrolyte interface (SEI) layers to its solid products by prior decomposition. However, this study proves the BOF(2-&amp; nbsp;)anion, a soluble product of film formation additive of lithium difluoro(oxalato)borate, plays a crucial role in improving the SEI layer. Specifically, BOF(2-&amp; nbsp;)suppresses the excessive decomposition of salt anions by aggregating on the electrode surface. Meanwhile, it catalyzes the reduction of ethylene carbonate, leading to improving the stability of the interface. In the end, ultrasound shaking is used to generate more BOF(2-&amp; nbsp;)anion and increase the cycle performance of cells at a high rate as excepted. This work helps to understand the effects of soluble products on the SEI forming process and provides new insights for improving the stability of electrode electrolyte interfaces.</t>
  </si>
  <si>
    <t>LIU, YUTING/JUV-1285-2023; Wang, Peng/HPC-8249-2023</t>
  </si>
  <si>
    <t>wu, shumin/0000-0003-3494-9663; Li, shiyou/0000-0001-7940-5235</t>
  </si>
  <si>
    <t>10.1016/j.jpowsour.2022.231451</t>
  </si>
  <si>
    <t>WOS:000793516900002</t>
  </si>
  <si>
    <t>Shrshr, AE; Dong, YT; Al-Tahan, MA; Kang, XY; Guan, H; Zheng, XF; Zhang, JM</t>
  </si>
  <si>
    <t>Shrshr, Aml E.; Dong, Yutao; Al-Tahan, Mohammed A.; Kang, Xiyang; Guan, Hui; Zheng, Xianfu; Zhang, Jianmin</t>
  </si>
  <si>
    <t>Modified separator engineering with 2D ultrathin Ni3B@rGO: Extraordinary electrochemical performance of the lithium-sulfur battery with enormous-sulfur-content cathode in low electrolyte/sulfur ratio</t>
  </si>
  <si>
    <t>Compared to other batteries, a next-generation lithium-sulfur (Li-S) battery's specific capacity and energy density are relatively high. However, the actual electrochemical performance (particularly for the cell with a high cathode sulfur content and a lean electrolyte/sulfur ratio) falls well short of practical usage requirements. The ultrathin Ni3B@rGO-PP is designed in this study as a unique modified separator for Li-S cells. Because of its distinct electronic structure, the modified separator shows outstanding adsorption ability toward polysulfide through the boron element's active sites. Additionally, it has excellent electrocatalytic activity, significantly enhancing the performance of Li-S batteries. After the 100th cycle, the cell with 80 wt% sulfur content can retain 819 mA h g(-1) under 0.2 C. Also, when the electrolyte/sulfur ratio is reduced to 15 mu L mg(-1) and 5 mu L mg(-1), respectively, considerable capacity retention of 736.3 mA h g(-1) and 615 mA h g(-1) is achieved after the 100th cycle at 0.2 C. What's more, for the high sulfur loading (single-side up to 4.5 mg cm(-2)) cathode, the cell obtains a retention capacity of 578 mA h g(-1) after the 200th cycle under 0.2 C. The surface engineering strategy with the Ni3B@rGO modified coating adopted in this work would open an efficient route to acquire the Li-S battery's outstanding electrochemical capability in the practical application situation. (C) 2022 Elsevier B.V. All rights reserved.</t>
  </si>
  <si>
    <t>Al-Tahan, Moahmmed/AAE-6372-2021; Dong, Yutao/AAH-6024-2021; Shrshr, AML/AAX-6834-2021</t>
  </si>
  <si>
    <t>Al-Tahan, Mohammed/0000-0001-7266-2693;</t>
  </si>
  <si>
    <t>10.1016/j.jallcom.2022.164917</t>
  </si>
  <si>
    <t>WOS:000797835600001</t>
  </si>
  <si>
    <t>Cai, CJ; Xiong, F; Dong, MW; Tao, YQ; Xiong, JX; Song, CY; Chao, J; Li, P; Huang, X; Li, SZ</t>
  </si>
  <si>
    <t>Cai, Chengjie; Xiong, Fei; Dong, Mengwei; Tao, Yaquan; Xiong, Jinxin; Song, Chunyuan; Chao, Jie; Li, Pan; Huang, Xiao; Li, Shaozhou</t>
  </si>
  <si>
    <t>Scalable synthesis of hydroxyl-functionalized boron nanosheets for high ion-conductive solid-state electrolyte applications</t>
  </si>
  <si>
    <t>A hydroxyl-functionalized boron nanosheet is developed as the filler material for the solid-state electrolyte (SSE) of lithium batteries. The nanosheet exhibits good oxidation resistance and thermal stability. Its composite SSE shows high ionic conductivity, and the resulting batteries present much enhanced capacities, rate capability and cycling performance, proving the electrochemical advances of the boron nanosheet.</t>
  </si>
  <si>
    <t>Chao, Jie/G-3157-2017; Huang, Xiao/B-7720-2014; Song, Chunyuan/E-5489-2013</t>
  </si>
  <si>
    <t>li, shaozhou/0000-0002-9773-3678; Song, Chunyuan/0000-0001-9111-1029</t>
  </si>
  <si>
    <t>MAY 5</t>
  </si>
  <si>
    <t>10.1039/d2cc00690a</t>
  </si>
  <si>
    <t>WOS:000784311300001</t>
  </si>
  <si>
    <t>Li, X; Yang, T; Zhou, J</t>
  </si>
  <si>
    <t>Li, Xiao; Yang, Tao; Zhou, Jian</t>
  </si>
  <si>
    <t>Synergetic ligand and size effects of boron cage based electrolytes in Li-ion batteries</t>
  </si>
  <si>
    <t>We explore the potential application of boron-based clusters as high-performance electrolytes in lithium-ion batteries using first-principles density functional theory. We use small and halogen-free ligands (such as CN, BO, NH2, NO2, and CH3) to replace H in closo-boron cages with different sizes to investigate the ligand and size effects. According to their geometric and electronic stability, Li+ dissociation energy in the lithium salt form, and electrochemical stabilities, we screen nine candidate electrolyte anions potentially overcoming the currently used electrolytes in lithium-ion batteries. We show that, when CH3 is used as a boron cage ligand, both the highest occupied molecular orbital and the lowest unoccupied molecular orbital levels are high, ensuring their electrochemical stability against the oxidation (or reduction) reaction at the anode (or cathode). Solvent effects are also evaluated and high electrostatic screening was found to be favorable for practical usage.</t>
  </si>
  <si>
    <t>Zhou, Jian/C-8652-2015</t>
  </si>
  <si>
    <t>MAY 11</t>
  </si>
  <si>
    <t>10.1039/d1cp05230f</t>
  </si>
  <si>
    <t>WOS:000789208500001</t>
  </si>
  <si>
    <t>Suwarno, S; Nale, A; Suwarta, P; Wijayanti, ID; Ismail, M</t>
  </si>
  <si>
    <t>Suwarno, Suwarno; Nale, Angeloclaudio; Suwarta, Putu; Wijayanti, Ika Dewi; Ismail, Mohammad</t>
  </si>
  <si>
    <t>Designing Nanoconfined LiBH4 for Solid-State Electrolytes</t>
  </si>
  <si>
    <t>Solid-state electrolytes are necessary for high-density and safe lithium-ion batteries. Lithium borohydride (LiBH4) is one of the hydride compounds that shows promising candidates for solid-state electrolytes and enables all-solid-state batteries. LiBH4 has good wetting properties and preferable mechanical properties when used in battery cells. The Li-ion conduction in LiBH4 can be modified with nanoconfinement as a result of distinct properties on the interfaces. The ion conductivities can be modified further by choosing property support materials, i.e., composition, textural properties, and surface chemistry. The present work briefly reviews the Li-ion conduction in nanoconfined LiBH4. A future perspective on the development of LiBH4 as a solid-state electrolyte is further elaborated in the last section.</t>
  </si>
  <si>
    <t>Suwarta, Putu/GSE-0568-2022; Wijayanti, Ika Dewi/GVU-8221-2022; Ismail, Mohammad/GWN-2617-2022; Suwarno, Suwarno/ABA-6602-2020</t>
  </si>
  <si>
    <t>APR 8</t>
  </si>
  <si>
    <t>10.3389/fchem.2022.866959</t>
  </si>
  <si>
    <t>WOS:000807797500001</t>
  </si>
  <si>
    <t>Thomas, CM; Hyun, WJ; Huang, HC; Zeng, D; Hersam, MC</t>
  </si>
  <si>
    <t>Thomas, Cory M.; Hyun, Woo Jin; Huang, Hsien Cheng; Zeng, Davy; Hersam, Mark C.</t>
  </si>
  <si>
    <t>Blade-Coatable Hexagonal Boron Nitride Ionogel Electrolytes for Scalable Production of Lithium Metal Batteries</t>
  </si>
  <si>
    <t>Solid-state electrolytes have attracted significant attentionfor rechargeable lithium-ion batteries due to their potential to enablehigher energy density technologies and improve cell safety by removingvolatile liquid electrolytes. However, existing solid-state electrolytematerials lack sufficient electrochemical performance or requireexpensive and time-consuming processing methods that have preventedtheir wide-scale adoption. Here, a blade-coatable hexagonal boronnitride ionogel electrolyte is introduced that exhibits high roomtemperature ionic conductivity (&gt;1 mS cm-1), is stable against lithiummetal anodes, and can be applied over a wide area in a thin (&lt;40 mu m)and crack-freefilm. Furthermore, this blade-coatable slurry has a tunableviscosity to enable its use in existing battery manufacturing infra-structure. The resulting blade-coated hBN ionogel electrolyte isemployed in a lithium metal battery with a LiFePO4cathode, exhibiting superlative rate capability at room temperaturewith a 78% capacity retention after 500 cycles at a rate of 1C.</t>
  </si>
  <si>
    <t>; Hersam, Mark/B-6739-2009; Huang, Hsien Cheng/KMX-7340-2024</t>
  </si>
  <si>
    <t>Huang, Hsien Cheng/0009-0000-1568-2719; Hersam, Mark/0000-0003-4120-1426</t>
  </si>
  <si>
    <t>10.1021/acsenergylett.2c00535</t>
  </si>
  <si>
    <t>WOS:000788751100034</t>
  </si>
  <si>
    <t>Yao, YH; Huang, GX; Liu, YB; Liu, Y; Li, YY; Han, GX; Xing, BL; Liu, QR; Jia, JB; Zhang, CX</t>
  </si>
  <si>
    <t>Yao, Youheng; Huang, Guangxu; Liu, Yingbin; Liu, Yang; Li, Yuanyuan; Han, Gaoxu; Xing, Baolin; Liu, Quanrun; Jia, Jianbo; Zhang, Chuanxiang</t>
  </si>
  <si>
    <t>Facile synthesis of B/N co-doped porous carbon nanosheets with high heteroatom content and electrical conductivity for excellent-performance supercapacitors</t>
  </si>
  <si>
    <t>Herein, we present a facile synthesis of B/N co-doped porous carbon nanosheets (BNMNC) from sodiumlignosulfonate-based porous carbon nanosheets based on synergistic effect of (NH4)2SO4 and B2O3. A chain co-doping mechanism of B/N heteroatoms is proposed, corresponding to the mutual promotion effect of B - N bonds and N-6/N-5 groups during their formation process. BNMNC simultaneously possesses high B (6 at %) and N (7.3 at %) contents, excellent electrical conductivity (1225 S m-1) and considerable specific surface area (880 m2 g-1). In two-electrode system using 3 M KOH electrolyte, BNMNC exhibits large specific capacitance of 224F g-1 at 0.25 A g-1, high capacitance retention of 81.3% at 20 A g-1, together with superior cycling stability with 96% capacitance retention after 10,000 cycles. Furthermore, BNMNC-based supercapacitor can deliver high energy densities of 7.2 and 3.9 Wh kg- 1 at the power densities of 70.1 W kg- 1 and 5.1 kW kg- 1, respectively. Impressively, a large energy density of 58.1 Wh kg- 1 at 878 W kg- 1 can be achieved, which retains 13.8 Wh kg- 1 even at 11.8 KW kg- 1 in EMIMBF4 ionic liquid electrolyte.</t>
  </si>
  <si>
    <t>Zhang, Chuanxiang/GVS-4876-2022; , 普明/AAZ-1743-2020; li, yuanyuan/GZA-4435-2022</t>
  </si>
  <si>
    <t>10.1016/j.apsusc.2021.152236</t>
  </si>
  <si>
    <t>WOS:000762841400004</t>
  </si>
  <si>
    <t>Zhu, YY; Chen, DL; Su, YT; Yu, L; Kang, PB; Lan, JL; Yang, XP; Sui, G</t>
  </si>
  <si>
    <t>Zhu, Yanyan; Chen, Dongli; Su, Yaotian; Yu, Lu; Kang, Peibin; Lan, Jinle; Yang, Xiaoping; Sui, Gang</t>
  </si>
  <si>
    <t>Multifunctional gel polymer electrolyte suppressing lithium dendrites and stabling cathodes by asymmetric structural design</t>
  </si>
  <si>
    <t>Lithium metal batteries with high-voltage cathodes are promising next-generation high performance energy storage devices. However, the lithium dendrites in lithium metal anodes, the unstable interface between electrolytes and high-voltage cathodes have hampered the application of high-voltage lithium metal batteries. Here, an asymmetric bilayer composite gel polymer electrolyte (GPE) was designed and prepared by introducing barium titanate (BTO) and hexagonal boron nitride nanosheets (h-BNNS) to PVDF-HFP matrix via electro-spinning. The layer doped with h-BNNS was toward lithium metal to suppress the growth of lithium dendrites, and the layer doped with BTO was near to LiNi0.5Co0.2Mn0.3O2 (NCM-523) cathode to stabilize the cathode electrolyte interface (CEI) simultaneously. The bilayer GPE co-doped with h-BNNS and BTO not only improved the ionic conductivity to 3.77 x 10(-3) S cm(-1), but also ameliorated the cycle performance of lithium batteries. The Li/NCM-523 battery with asymmetric composite GPE showed excellent rate performance and cycling stability (151 mAh g(-1) at 0.5 C, maintain 80% capacity after 170 cycles). Furthermore, the Li/LiNi0.8Co0.1Mn0.1O2 (NCM-811) battery with the asymmetric composite GPE exhibited the initial discharge capacity of 186.4 mAh g(-1) and 81% of capacity retention after 100 cycles at 0.5 C. This work demonstrates that the asymmetric composite GPE is of promising application value in lithium metal batteries matched with high voltage cathodes.</t>
  </si>
  <si>
    <t>Lan, Jin-Le/M-9053-2014</t>
  </si>
  <si>
    <t>10.1016/j.jelechem.2022.116263</t>
  </si>
  <si>
    <t>MAR 2022</t>
  </si>
  <si>
    <t>WOS:000788153400003</t>
  </si>
  <si>
    <t>Wang, L; Yan, JW; Zhong, M; Zhang, JL; Shen, WZ; Guo, SW</t>
  </si>
  <si>
    <t>Wang, Lei; Yan, Jiawei; Zhong, Min; Zhang, Jiali; Shen, Wenzhuo; Guo, Shouwu</t>
  </si>
  <si>
    <t>Regulating Lithium-Ion Transference Number of a Poly(vinyl alcohol)-Based Gel Electrolyte by the Incorporation of H3BO3 as an Anion Trapper</t>
  </si>
  <si>
    <t>Gel electrolytes hold great promise for improving the safety of lithium-ion batteries (LIBs); however, their low lithium-ion transference number (t(Li)(+) &lt; 0.4) remains to be improved. Herein, boron-containing poly(vinyl alcohol) (B-PVA) solutions are prepared based on the simple reaction between PVA and H3BO3 and then electrospun to obtain the B-PVA nanofiber matrices. The gel electrolytes are formed by loading the liquid electrolytes into the as-obtained porous B-PVA matrices. We demonstrate that the t(Li)(+) of B-PVA8 (with 8 wt % H3BO3 added) gel electrolyte can reach 0.81, much higher than that of the conventional PVA gel electrolyte (0.32). The B-PVA8 gel electrolyte also shows the highest Li+ conductivity of 1.81 x 10(-3) S cm(-1) compared to PVA. The B-PVA8 gel electrolyte enables a small Li nucleation overpotential of 129.8 mV when Li is plated and reduces the concentration polarization of Li parallel to Li batteries. The mesocarbon microbead (MCMB) half-coin cells with the B-PVA8 gel electrolyte exhibit excellent rate capability and exceptional charge/discharge cycling stability.</t>
  </si>
  <si>
    <t>zhong, min/HLX-8780-2023; Yan, Jiawei/ADG-8967-2022; Wang, Lei/GYV-0494-2022</t>
  </si>
  <si>
    <t>Zhong, Min/0000-0003-1615-009X; Wang, Lei/0000-0002-6893-6265;</t>
  </si>
  <si>
    <t>10.1021/acsaem.1c03549</t>
  </si>
  <si>
    <t>WOS:000813011800001</t>
  </si>
  <si>
    <t>Han, X; Zhou, WJ; Chen, MF; Luo, LS; Gu, LH; Zhang, QB; Chen, JZ; Liu, B; Chen, SY; Zhang, WQ</t>
  </si>
  <si>
    <t>Han, Xiang; Zhou, Weijun; Chen, Minfeng; Luo, Linshan; Gu, Lanhui; Zhang, Qiaobao; Chen, Jizhang; Liu, Bo; Chen, Songyan; Zhang, Wenqing</t>
  </si>
  <si>
    <t>Liquid-phase sintering enabling mixed ionic-electronic interphases and free-standing composite cathode architecture toward high energy solid-state battery</t>
  </si>
  <si>
    <t>Solid-state batteries (SSBs) will potentially offer increased energy density and, more importantly, improved safety for next generation lithium-ion (Li-ion) batteries. One enabling technology is solid-state composite cathodes with high operating voltage and area capacity. Current composite cathode manufacturing technologies, however, suffer from large interfacial resistance and low active mass loading that with excessive amounts of polymer electrolytes and conductive additives. Here, we report a liquidphase sintering technology that offers mixed ionic-electronic interphases and free-standing electrode architecture design, which eventually contribute to high area capacity. A small amount (similar to 4 wt.%) of lithium hydroxide (LiOH) and boric acid (H3BO3) with low melting point are utilized as sintering additives that infiltrate into single-crystal Ni-rich LiNi0.8Mn0.1Co0.1 (NMC811) particles at a moderately elevated temperature (similar to 350 degrees C) in a liquid state, which not only enable intimate physical contact but also promote the densification process. In addition, the liquid-phase additives react and transform to ionic-conductive lithium boron oxide, together with the indium tin oxide (ITO) nanoparticle coating, mixed ionic-electronic interphases of composite cathode are successfully fabricated. Furthermore, the liquid-phase sintering performed at high-temperature (similar to 800 degrees C) also enables the fabrication of highly dense and thick composite cathodes with a novel free-standing architecture. The promising performance characteristics of such composite cathodes, for example, delivering an area capacity above 8 mAh.cm(-2) within a wide voltage window up to 4.4 V, open new opportunities for SSBs with a high energy density of 500 Wh-kg(-1) for safer portable electronic and electrical transport.</t>
  </si>
  <si>
    <t>; Zhang, Wenqing/K-1236-2012; Zhong, Yanjun/IQU-8362-2023; Lin, Sicheng/GLT-3115-2022</t>
  </si>
  <si>
    <t>Zhang, Qiaobao/0000-0002-3584-5201;</t>
  </si>
  <si>
    <t>10.1007/s12274-022-4242-5</t>
  </si>
  <si>
    <t>WOS:000780304400002</t>
  </si>
  <si>
    <t>Zhao, YM; Wang, AX; Ren, LB; Liu, XJ; Luo, JY</t>
  </si>
  <si>
    <t>Zhao, Yumeng; Wang, Aoxuan; Ren, Libin; Liu, Xingjiang; Luo, Jiayan</t>
  </si>
  <si>
    <t>Revealing the solid electrolyte interface on calcium metal anodes</t>
  </si>
  <si>
    <t>Owing to its low potential, crustal abundances and environmental friendliness, calcium metal anode (CMA) is emerging as a powerful contender in post-lithium era. However, the passivation of CMA fatally hinders its development. Recently, several feasible electrolytes have been developed. Nevertheless, as a pivotal part, the solid electrolyte interface (SEI) formed on CMA has not been paid enough attention to. In this review, based on the passivation mechanism of CMA, the favorable composition of SEI is emphasized with the corresponding electrolytes. It is considered that boron-containing and organic-inorganic hybrid SEI might be preferred. By comparing electrolytes and SEI on CMA with lithium and magnesium metal anodes, the root causes of CMA passivation are further elaborated, enlightening rational design rules of suitable SEI. Furthermore, some noteworthy details when assembling secondary calcium metal batteries (CMBs) are put forward. It is expected that deeper understanding of SEI on CMA will promote the development of CMBs. (C) 2022 Science Press and Dalian Institute of Chemical Physics, Chinese Academy of Sciences. Published by ELSEVIER B.V. and Science Press. All rights reserved.</t>
  </si>
  <si>
    <t>Wang, Aoxuan/GVU-5445-2022; Luo, Jiayan/AAR-8083-2021</t>
  </si>
  <si>
    <t>Wang, Aoxuan/0000-0002-3727-9071</t>
  </si>
  <si>
    <t>10.1016/j.jechem.2022.02.022</t>
  </si>
  <si>
    <t>WOS:000820924300002</t>
  </si>
  <si>
    <t>Alvarez-Tirado, M; Guzmán-González, G; Vauthier, S; Cotte, S; Guéguen, A; Castro, L; Mecerreyes, D</t>
  </si>
  <si>
    <t>Alvarez-Tirado, Marta; Guzman-Gonzalez, Gregorio; Vauthier, Soline; Cotte, Stephane; Gueguen, Aurelie; Castro, Laurent; Mecerreyes, David</t>
  </si>
  <si>
    <t>Designing Boron-Based Single-Ion Gel Polymer Electrolytes for Lithium Batteries by Photopolymerization</t>
  </si>
  <si>
    <t>MACROMOLECULAR CHEMISTRY AND PHYSICS</t>
  </si>
  <si>
    <t>Single-ion lithium conducting polymer electrolytes based on delocalized borate groups are designed and synthesized by rapid UV-photopolymerization. For this purpose, three different functional lithium boron sp(3) anionic monomers, containing fluorinated, ethoxy, or a blend of both functionalities are synthesized. These monomers are photopolymerized in the presence of a poly(ethylene glycol) dimethacrylate crosslinker and tetraglyme as plasticizer. By this method, gel polymer electrolytes endowed with lithium single-ion conduction are prepared (SIGPEs). The impact generated by the different functionalities of the borate groups and the addition of plasticizer on the electrochemical and ion conducting properties of the synthesized polymer electrolytes are analyzed in detail. These polymer electrolytes show high ionic conductivity (1.71 x 10(-4) S cm(-1) at 25 degrees C) and high lithium transference number values (up to 0.85). Finally, they are investigated as solid electrolytes in lithium metal symmetrical cells showing good performance (&lt;0.85 V at +/- 0.2 mA cm(-2) for 175 h).</t>
  </si>
  <si>
    <t>; Castro, Laurent/I-6054-2012; Mecerreyes, David/K-7541-2014</t>
  </si>
  <si>
    <t>Alvarez-Tirado, Marta/0000-0003-3477-5990; Mecerreyes, David/0000-0002-0788-7156; Castro, Laurent/0000-0001-9530-432X</t>
  </si>
  <si>
    <t>1022-1352</t>
  </si>
  <si>
    <t>1521-3935</t>
  </si>
  <si>
    <t>10.1002/macp.202100407</t>
  </si>
  <si>
    <t>WOS:000769476300001</t>
  </si>
  <si>
    <t>Kocak, T; Wu, LY; Ugur, A; Shen, LF; De Giorgio, F; Kunduraci, M; Zhang, XG</t>
  </si>
  <si>
    <t>Kocak, Tayfun; Wu, Langyuan; Ugur, Alper; Shen, Laifa; De Giorgio, Francesca; Kunduraci, Muharrem; Zhang, Xiaogang</t>
  </si>
  <si>
    <t>Effect of doping amount on capacity retention and electrolyte decomposition of LiNi0.5Mn1.5O4-based cathode at high temperature</t>
  </si>
  <si>
    <t>JOURNAL OF SOLID STATE CHEMISTRY</t>
  </si>
  <si>
    <t>The long service life of batteries is one of the most desired parameters for the battery industry and end-users. Several doping elements have been proposed to increase discharge capacity, capacity retention, and rate capability of high voltage LiNi0.5Mn1.5O4 (LNMO) cathode. In this study, two different doping elements, i.e., boron (III) and vanadium (IV), are compared to investigate the doping effect on capacity retention of LNMO-electrodes at high temperatures (50 ?) and extended cycle performance. Different doping amounts are investigated for comparison, i.e., 1, 3, 5, 7, 10 wt% for boron and 10 wt% for vanadium. The actual benefit of doping is observed over extended cycle tests (&gt; 1000 cycles) at 50 ? and 1C. While pristine LNMO electrodes fail after 80 cycles, 10% B-doped LNMO exhibits the highest capacity retention, 80% at 50 ? and 1C after 1200 cycles. The operando differential electrochemical mass spectroscopy results reveal that LNMO electrodes show the highest amount of gas emission (H-2 and O-2) at ~ 4.7 V, where the oxidation of Ni4+/3+ and Ni3+/2+ occurs. Since high amount doping strategy increases Mn3+ amount and, consequently, the charge voltage plateau at ~4 V (Mn3+/Mn4+), this implicitly prevents electrolyte decomposition at high voltage due to decreasing of nickel voltage plateau and less charging step duration at ~ 4.7 V. This investigation shows that the cathode life remarkably can be extended by reducing the nickel content with high amount of doping.</t>
  </si>
  <si>
    <t>; Shen, Laifa/J-7312-2012; Zhang, Xiaogang/G-8896-2013; Ugur, Alper/AAR-5714-2021</t>
  </si>
  <si>
    <t>KOCAK, TAYFUN/0000-0002-4951-2520; KUNDURACI, MUHARREM/0000-0003-0670-5987;</t>
  </si>
  <si>
    <t>0022-4596</t>
  </si>
  <si>
    <t>1095-726X</t>
  </si>
  <si>
    <t>10.1016/j.jssc.2022.123006</t>
  </si>
  <si>
    <t>WOS:000780270500014</t>
  </si>
  <si>
    <t>Li, JJ; Yang, LP; Zhang, HT; Ji, XY</t>
  </si>
  <si>
    <t>Li, Jiajia; Yang, Lipeng; Zhang, Haitao; Ji, Xiaoyan</t>
  </si>
  <si>
    <t>Self-healing composite solid electrolytes with enhanced Li+ transport and mechanical properties for safe lithium metal batteries</t>
  </si>
  <si>
    <t>The Li dendrites introduced by the inhomogeneous Li-ion flux are the barriers to the commercialization of solid -state lithium metal batteries (LMBs). Increasing the Li+ transference number and homogenizing the Li+ flux are two effective strategies to solve the aforementioned issues. Herein, a flexible composite solid electrolyte (CSE) with an enhanced Li+ transference number, high ionic conductivity, and self-healing function was synthesized via a simple template method. Boron nitride (BN) nanosheets with high specific surface area and richly porous structure were used as the passive inorganic filler, homogenizing the Li+ flux and facilitating the Li+ trans-mission. The flexible and self-healing features of the CSE reduced the interface resistance and considerably prolonged their cycling life. By exploiting stress-strain curves before and after healing, along with physical characterizations, the self-healing efficiency was obtained and the dendrite suppress mechanisms at the electrode/CSE interface were discussed. Finally, the assembled LiFePO4/Li cell with optimized CSE exhibited impressive cycling performance and delivered a steady discharge capacity up to 152 mA h g(-1) after 300 cycles at 0.1C. This universal strategy can be used in other emerging energy storage fields to boost high energy density and long cycling life.</t>
  </si>
  <si>
    <t>Li, Jiajia/ABF-6476-2020; Zhang, Haitao/G-3767-2010</t>
  </si>
  <si>
    <t>Zhang, Haitao/0000-0002-3253-9727; Li, Jiajia/0000-0001-5551-7101</t>
  </si>
  <si>
    <t>10.1016/j.cej.2022.135418</t>
  </si>
  <si>
    <t>WOS:000779738200005</t>
  </si>
  <si>
    <t>Liu, JF; Lu, RH; Xiao, GF; Zhang, CY; Zhao, K; He, Q; Zhao, Y</t>
  </si>
  <si>
    <t>Liu, Jianfeng; Lu, Ruihu; Xiao, Gaofan; Zhang, Chenyi; Zhao, Kristin; He, Qiu; Zhao, Yan</t>
  </si>
  <si>
    <t>Trade-off effect of 3d transition metal doped boron nitride on anchoring polysulfides towards application in lithium-sulfur battery</t>
  </si>
  <si>
    <t>Sulfur cathodes in lithium-sulfur batteries (LSBs) suffer from the notorious shuttle effect, low sulfur use ratio, and tardy transformation of lithium polysulfides (LiPSs), while using two-dimensional (2D) polar anchoring materials combined with single-atom catalysis is one of the promising methods to address these issues. Herein, the 3d transition metal (TM) doped 2D boron nitrides (BN), labeled as TM-BN, are studied for the anchoring and redox kinetics of LiPSs using first principles calculations. From the simulated results, the TM atom and adjacent N atoms are active adsorption sites for binding S atoms in LiPSs/S8 and Li atoms in LiPSs, respectively. A negative d-band center closer to the Fermi level of TMBN is key for enhancing the binding strength of TM-S and lowering the Li2S decomposition energy barrier, while it deteriorates the activity of adjacent N atoms. Fortunately, the electrolyte environment has little effect on the superiority of the TM-BN for binding polysulfides/S8, guaranteeing the sturdy anchor of polysulfides/S8 in realistic conditions. The trade-off effect on the activities of TM and adjacent N atom sites in TM-BN for binding LiPSs highlights the excellence of Ti/V/Cr-BN as modification materials for LSB. (c) 2022 Elsevier Inc. All rights reserved.</t>
  </si>
  <si>
    <t>Lu, Ruihu/AAM-7813-2021; Zhao, Yan/A-2375-2008; HE, QIU/I-8617-2018</t>
  </si>
  <si>
    <t>Lu, Ruihu/0000-0001-8405-5962; Zhao, Yan/0000-0002-1234-4455;</t>
  </si>
  <si>
    <t>10.1016/j.jcis.2022.02.123</t>
  </si>
  <si>
    <t>WOS:000792040700010</t>
  </si>
  <si>
    <t>Chen, XM; Jia, SH; Kang, JX; Zhang, YC; Ma, YB; Ma, YM; Jiang, X; Yu, XC; Qiu, PT; Chen, XN</t>
  </si>
  <si>
    <t>Chen, Xi-Meng; Jia, Si-Han; Kang, Jia-Xin; Zhang, Yichun; Ma, Yubin; Ma, Yiming; Jiang, Xin; Yu, Xing-Chao; Qiu, Pengtao; Chen, Xuenian</t>
  </si>
  <si>
    <t>Synthesis of K[B3H7NH2BH2NH2B3H7] for a K-ion solid-state electrolyte</t>
  </si>
  <si>
    <t>All-solid-state K batteries are ideal energy storage devices for grid-scale applications of renewable energies. A novel electrolyte K[B3H7NH2BH2NH2B3H7] with weakly coordinating anions was synthesized. It has a high K+ conductivity of 1.01 x 10(-4) S cm(-1) at 75 degrees C, which is probably due to the increased electrostatic potential and size of the anions.</t>
  </si>
  <si>
    <t>Jiang, Xin/L-6247-2019; Chen, Xuenian/ADS-0591-2022; Qiu, Pengtao/ABB-5118-2021; Ma, Yiming/AAG-3479-2019</t>
  </si>
  <si>
    <t>Chen, Xuenian/0000-0001-9029-1777; Qiu, Pengtao/0000-0001-8982-0803; Kang, Jia-Xin/0000-0003-1718-7409;</t>
  </si>
  <si>
    <t>MAR 29</t>
  </si>
  <si>
    <t>10.1039/d2cc00408a</t>
  </si>
  <si>
    <t>WOS:000767355200001</t>
  </si>
  <si>
    <t>Nguyen, TP; Kim, IT</t>
  </si>
  <si>
    <t>Nguyen, Thang Phan; Kim, Il Tae</t>
  </si>
  <si>
    <t>Boron Oxide Enhancing Stability of MoS2 Anode Materials for Lithium-Ion Batteries</t>
  </si>
  <si>
    <t>Molybdenum disulfide (MoS2) is the most well-known transition metal chalcogenide for lithium storage applications because of its simple preparation process, superior optical, physical, and electrical properties, and high stability. However, recent research has shown that bare MoS2 nanosheet (NS) can be reformed to the bulk structure, and sulfur atoms can be dissolved in electrolytes or form polymeric structures, thereby preventing lithium insertion/desertion and reducing cycling performance. To enhance the electrochemical performance of the MoS2 NSs, B2O3 nanoparticles were decorated on the surface of MoS2 NSs via a sintering technique. The structure of B2O3 decorated MoS2 changed slightly with the formation of a lattice spacing of similar to 7.37 angstrom. The characterization of materials confirmed the formation of B2O3 crystals at 30% weight percentage of H3BO3 starting materials. In particular, the MoS2_B-3 sample showed a stable capacity of similar to 500 mAh.g(-1) after the first cycle. The cycling test delivered a high reversible specific capacity of similar to 82% of the second cycle after 100 cycles. Furthermore, the rate performance also showed a remarkable recovery capacity of similar to 98%. These results suggest that the use of B2O3 decorations could be a viable method for improving the stability of anode materials in lithium storage applications.</t>
  </si>
  <si>
    <t>; Nguyen, Phan Thang/M-8139-2018</t>
  </si>
  <si>
    <t>KIM, IL TAE/0000-0002-8857-0061;</t>
  </si>
  <si>
    <t>10.3390/ma15062034</t>
  </si>
  <si>
    <t>WOS:000775129700001</t>
  </si>
  <si>
    <t>Gu, SY; Mallick, BC; Hsieh, CT; Gandomi, YA; Zhang, RS</t>
  </si>
  <si>
    <t>Gu, Siyong; Mallick, Bikash Chandra; Hsieh, Chien-Te; Gandomi, Yasser Ashraf; Zhang, Ren-Shou</t>
  </si>
  <si>
    <t>Hexagonal boron nitride nanosheets as metal-free electrochemical catalysts for oxygen reduction reactions</t>
  </si>
  <si>
    <t>A high-performance ball milling technique was developed for synthesizing hexagonal boron nitride (h-BN) carbon paper (CP) electrodes as metal-free catalyst for the oxygen reduction reaction (ORR) and hydrogen storage (electrochemically) in acidic media. The h-BN nanosheets were functionalized with glycine to enhance the number of active sites and to boost the catalytic activity. The ball-milled h-BN catalytic electrodes demon-strated ultra-high catalytic activity toward electrochemical hydrogen adsorption/desorption (similar to 3.5 times higher than pristine electrodes) as well as ORR in acidic electrolytes. Furthermore, in-situ durability analysis of the h-BN electrodes was performed via conducting a long-duration cycling experiment (&gt;200 cycles). A mechanistic re -action pathway (sequential) including chemisorption and charge transfer reactions (four-electron and two-electron pathways) was also proposed for the ORR. Considering superior catalytic activity of as-prepared h-BN/CP electrodes, this class of metal-free nanostructured materials can be employed as inexpensive catalysts for the electrochemical H-storage and ORR within various energy storage/conversion devices (e.g., batteries, elec-trolyzers, and fuel cells).</t>
  </si>
  <si>
    <t>Ashraf Gandomi, Yasser/0000-0003-2546-1754; Mallick, Bikash Chandra/0000-0001-8792-0691</t>
  </si>
  <si>
    <t>10.1016/j.ceramint.2021.12.148</t>
  </si>
  <si>
    <t>FEB 2022</t>
  </si>
  <si>
    <t>WOS:000772636500001</t>
  </si>
  <si>
    <t>Huang, XT; Wen, JX; Lei, JL; Huang, GS; Pan, FS; Li, LJ</t>
  </si>
  <si>
    <t>Huang, Xueting; Wen, Jiaxin; Lei, Jinglei; Huang, Guangsheng; Pan, Fusheng; Li, Lingjie</t>
  </si>
  <si>
    <t>Facile and Economic Synthesis of Robust Non-Nucleophilic Electrolyte for High-Performance Rechargeable Magnesium Batteries</t>
  </si>
  <si>
    <t>A cost-effective and highly efficient electrolyte with a wide electrochemical window, high reversibility of Mg plating/stripping, non-/low-corrosivity, good compatibility with cathode materials, and tolerance of trace water and impurity is crucial for the commercialization of rechargeable magnesium batteries. In this work, a novel boron-centered non-nucleophilic electrolyte that meets all the above requirements is prepared via a facile and economic approach from the raw materials B(TFE)(3)/MgCl2/CrCl3/Mg (BMCM). The as-prepared BMCM electrolyte is mainly composed of tetracoordinated anions [B(TFE)(4)](-) and solvated cations [Mg-2(mu-Cl)(2)(DME)(4)](2+). The BMCM electrolyte demonstrates attractive electrochemical performance, with a low overpotential (similar to 139 mV), a high Coulombic efficiency (similar to 97%), a high anodic stability (similar to 3.5 V vs Mg/Mg2+), and a long-term (more than 500 h) cycling stability. Moreover, BMCM shows good compatibility with the CuS cathode material. The CuS vertical bar BMCM vertical bar Mg full cell delivers a discharge specific capacity of 231 mAh g(-1) (at 56 mA g(-1)), which can retain similar to 88% even after 100 cycles. Importantly, the BMCM electrolyte is cost-effective and tolerant of trace impurity and water, which has great potential to be commercialized. This work is expected to promote the development of practical rechargeable magnesium batteries.</t>
  </si>
  <si>
    <t>Pan, Fusheng/E-1885-2018</t>
  </si>
  <si>
    <t>Li, Lingjie/0000-0002-7039-2404</t>
  </si>
  <si>
    <t>FEB 23</t>
  </si>
  <si>
    <t>10.1021/acsami.1c19971</t>
  </si>
  <si>
    <t>WOS:000787372800022</t>
  </si>
  <si>
    <t>Ebechidi, N; Ahmed, R; Oyewole, O; Bello, A; Ngene, P; Soboyejo, W</t>
  </si>
  <si>
    <t>Ebechidi, Nnaemeka; Ahmed, Ridwan; Oyewole, Oluwaseun; Bello, Abdulhakeem; Ngene, Peter; Soboyejo, Winston</t>
  </si>
  <si>
    <t>Charge-discharge-induced local strain distributions in a lithium amide-borohydride-iodide [LiBH4-LiNH2-LiI] solid electrolyte</t>
  </si>
  <si>
    <t>All-solid-state batteries based on solid-state electrolytes (SSE) have attracted considerable attention due to their high capacity and relative safety, compared to conventional batteries based on liquid electrolytes. As ions migrate from the electrodes through solid electrolytes (during charge and discharge cycles of an all-solid-state battery), they exert strains of varying proportions that are distributed across the electrolytes. Here, we show that, for an all-solid-state lithium-oxygen battery based on the SSE lithium amide-borohydride-iodide (LiBH4- LiNH2-LiI), the heterogeneous nature of the electrolyte leads to spatial and temporal variations in the induced strain distributions. The strains associated with discharging are much greater than those induced during charging. These results suggest that charging and discharging processes lead to local strain build-up and possible failure of solid electrolytes. The implications of the results are also discussed for the development of robust -solidstate batteries.</t>
  </si>
  <si>
    <t>Bello, Abdulhakeem/AAI-4777-2021; Ahmed, Ridwan/LXU-9942-2024; Ngene, Peter/C-1151-2011; Peter, Ngene/H-8567-2015</t>
  </si>
  <si>
    <t>Ngene, Peter/0000-0003-3691-0623; Soboyejo, Winston (Wole)/0000-0002-0209-1079;</t>
  </si>
  <si>
    <t>10.1016/j.est.2021.103600</t>
  </si>
  <si>
    <t>WOS:000780213100001</t>
  </si>
  <si>
    <t>Wang, YY; Yu, MF; Li, J; Zhang, TY; Wang, X; Hao, ML; Wang, X; Cheng, L; Sun, H</t>
  </si>
  <si>
    <t>Wang, Yuyang; Yu, Mingfu; Li, Jie; Zhang, Tianyu; Wang, Xun; Hao, Milong; Wang, Xue; Cheng, Long; Sun, Hong</t>
  </si>
  <si>
    <t>Mass transfer analysis of boron-doped carbon nanotube cathodes for dual-electrolyte lithium-air batteries</t>
  </si>
  <si>
    <t>Dual-electrolyte Li-air batteries (LABs) have the advantages of high specific energy density and low overpotential, but the mass transfer mechanism is still unclear. Mass transfer is essential to battery performance. To improve the mass transfer capability of the positive electrode, this research studied the effect of boron (B)-doped carbon nanotubes (BC3NTs) with different amounts of defects as positive electrodes. Deep discharge results showed that the discharge voltage platform of BC3NTs was higher than that of CNTs, and the more defects, the higher the discharge voltage platform. The electrochemical impedance spectroscopy (EIS) results also showed that the more defects, the smaller the charge transfer resistance. As the discharge current density increased, the discharge voltage platform decreased gradually. Traditional molecular dynamics calculation results showed that the topological defects caused by BC3NTs reduced the Li+ and O-2 diffusion energy barriers from the sidewalls from 4.5 eV to 1.65 eV and 4.94 eV to 0.11 eV, respectively. The diffusion capabilities of Li+ and O-2 in BC3NTs were improved, and at the same concentration, the diffusion coefficients of Li+ and O-2 increase to 3.0 x 10(-9) m(2) s(-1) and 0.415 x 10(-9) m(2) s(-1), respectively. The radial distribution function results showed that the larger the topological defect ring was, the greater the probability of finding Li+ and O-2 near the electrode. In summary, the defects produced by BC3NTs were conducive to mass transfer, which could reduce polarization and impedance, and improve battery performance.</t>
  </si>
  <si>
    <t>Cheng, Long/ABB-8122-2020</t>
  </si>
  <si>
    <t>WANG, Yuyang/0000-0001-8138-4613; Yu, Mingfu/0000-0002-6717-4676</t>
  </si>
  <si>
    <t>MAR 2</t>
  </si>
  <si>
    <t>10.1039/d1cp05390f</t>
  </si>
  <si>
    <t>WOS:000756859500001</t>
  </si>
  <si>
    <t>Kumar, V; Aepuru, R; Faizal, A; Panda, HS</t>
  </si>
  <si>
    <t>Kumar, Viresh; Aepuru, Radhamanohar; Faizal, Abu; Panda, Himanshu Sekhar</t>
  </si>
  <si>
    <t>Elucidating the pseudocapacitive mechanism of ternary Co-Ni-B electrodes-Towards miniaturization and superior electrochemical performance for building outmatched supercapacitors</t>
  </si>
  <si>
    <t>Ternary bi-metallic borides have been prepared by administrating two different solvent media utilized through co-precipitation process with particles dimension ranging from 3 to 5 nm. The X-ray photoelectron spectroscopy suggests the presence of redox states in the cobalt-nickel based bi-metallic borides that promotes excess electroactive sites. The outstanding stability of bimetallic borides has been estimated by measuring relaxation time (T-2) in solvent medium. The surface area has been evaluated about 151.302 m(2) g(-) (1)with associated pore diameter of 6.57 nm. Moreover, the ternary bi-metallic electrode exhibited excellent pseudocapacitance with exceptional specific capacitance (SC) of 4835 Fg(- 1) (606 mAh g(-1)) at 5 Ag-1 by upholding cycling retention of-94.2% over 15,000 cycles. Also, different concentrations of sodium hydroxide (NaOH) electrolyte (0.5, 1.0 &amp; 1.5 M) are employed for comparative study to achieve optimal electrochemical performance. Simultaneously, an electrode configuration is designed with cobalt-nickel -boron (Co-Ni-B) 1:1:0.15 as positive and carbon black as negative electrodes to fabricate asymmetric device. The device illuminates a commercial light emitted diode (LED similar to 1.8 V) to justify the electrode performance and their full-scale deployment with a device efficiency-363 Fg(- 1) (358 mAh g(-1)) and an energy density of 114 Wh kg(-1.)</t>
  </si>
  <si>
    <t>Panda, Himanshu/JBS-2697-2023; AEPURU, RADHAMANOHAR/AAT-4645-2020; Kumar, Viresh/GZA-4728-2022</t>
  </si>
  <si>
    <t>Panda, Himanshu/0000-0003-1353-3714;</t>
  </si>
  <si>
    <t>10.1016/j.electacta.2022.140003</t>
  </si>
  <si>
    <t>WOS:000788161100002</t>
  </si>
  <si>
    <t>Xie, YW; Zhang, HY; Yu, JL; Liu, ZJ; Zhang, SS; Shao, HY; Cao, YL; Huang, XF; Li, SK</t>
  </si>
  <si>
    <t>Xie, Yiwen; Zhang, Haiyan; Yu, Jiale; Liu, Zhenjiang; Zhang, Shangshang; Shao, Huaiyu; Cao, Yuliang; Huang, Xifeng; Li, Shengkai</t>
  </si>
  <si>
    <t>A Novel Dendrite-Free Lithium Metal Anode via Oxygen and Boron Codoped Honeycomb Carbon Skeleton</t>
  </si>
  <si>
    <t>Lithium (Li) metal is an excellent anode of Li ion batteries because of its high theoretical capacity and the low redox potential compared to other anodes. However, the uncontrollable growth of Li dendrites still incurs serious safety issues and poor electrochemical performances, leading to its limited practical application. An oxygen and boron codoped honeycomb carbon skeleton (OBHcCs) is reported and a stable Li metal-based anode is realized. It can be coated on a copper foil substrate to be used as a current collector for a dendrite-free Li metal anode. OBHcCs effectively reduces the local current density owing to the high surface area and inhibits Li dendrite growth, which is explored by scanning electron microscopy and an X-ray photoelectron spectra depth profile. The abundant lithiophilic oxygen and boron-containing functional groups reduce the potential barrier of nucleation and lead to the homogeneous Li ions flux as confirmed by the density functional theories. Therefore, the Li metal anode based on OBHcCs (OBHcCs@Li) stably runs for 700 h in a symmetric cell with a Li stripping capacity of 1 mAh cm(-2) at 1 mA cm(-2). Furthermore, the OBHcCs@Li|LiFePO4 full cell shows a good capacity retention of 84.6% with a high coulombic efficiency of 99.6% at 0.5 C for 500 cycles.</t>
  </si>
  <si>
    <t>; Yu, Jiale/AAV-1016-2021; Shao, Huaiyu/E-3726-2017; Lee, Nacl/IVH-7881-2023; Cao, Yuliang/AFM-3253-2022</t>
  </si>
  <si>
    <t>Li, Shengkai/0000-0002-7865-697X; Liu, Zhenjiang/0000-0002-2075-3320; Zhang, Shangshang/0000-0001-6012-3430</t>
  </si>
  <si>
    <t>10.1002/smll.202104876</t>
  </si>
  <si>
    <t>WOS:000750921300001</t>
  </si>
  <si>
    <t>Ahmed, F; Kumar, S; Shaalan, NM; Saber, O; Rehman, S; Aljaafari, A; Abuhimd, H; Alshahrani, M</t>
  </si>
  <si>
    <t>Ahmed, Faheem; Kumar, Shalendra; Shaalan, Nagih Mohammed; Saber, Osama; Rehman, Sarish; Aljaafari, Abdullah; Abuhimd, Hatem; Alshahrani, Mohammad</t>
  </si>
  <si>
    <t>Synergistic Effect of Hexagonal Boron Nitride-Coated Separators and Multi-Walled Carbon Nanotube Anodes for Thermally Stable Lithium-Ion Batteries</t>
  </si>
  <si>
    <t>In this work, we report the development of separators coated with hexagonal boron nitride (hBN) to improve the thermal stability of Li-ion batteries (LIBs). Aiming to achieve a synergistic effect of separators and anodes on thermal stability and electrochemical performance, multiwalled carbon nanotubes (MWCNTs) were prepared via plasma-enhanced chemical vapor deposition (PECVD) method and used as potential anode materials for LIBs. The grown MWCNTs were well characterized by using various techniques which confirmed the formation of MWCNTs. The prepared MWCNTs showed a crystalline structure and smooth surface with a diameter of ~9-12 nm and a length of ~10 mu m, respectively. Raman spectra showed the characteristic peaks of MWCNTs and BN, and the sharpness of the peaks showed the highly crystalline nature of the grown MWCNTs. The electrochemical studies were performed on the fabricated coin cell with a MWCNT anode using a pristine and BN-coated separators. The results show that the cell with the BN-coated separator in a conventional organic carbonate-based electrolyte and MWCNTs as the anode resulted in a discharge capacity (at 65 degrees C) of ~567 mAhg(-1) at a current density of 100 mAg(-1) for the first cycle, and delivered a capacity of ~471 mAhg(-1) for 200 cycles. The columbic efficiency was found to be higher (~84%), which showed excellent reversible charge-discharge behavior as compared with the pristine separator (69%) after 200 cycles. The improved thermal performance of the LIBs with the BN-coated separator and MWCNT anode might be due to the greater homogeneous thermal distribution resulting from the BN coating, and the additional electron pathway provided by the MWCNTs. Thus, the fabricated cell showed promising results in achieving the stable operation of the LIBs even at higher temperatures, which will open a pathway to solve the practical concerns over the use of LIBs at higher temperatures without compromising the performance.</t>
  </si>
  <si>
    <t>Mohamed, Osama Saber/M-2196-2016; Saber, Osama/GMW-5272-2022; Ahmed, Faheem/C-5425-2011; Alshahrani, M/AAX-9276-2020; Shaalan, Nagih/J-6005-2015; Aljaafari, Abdullah/G-2803-2016; Kumar, Shalendra/D-1410-2009</t>
  </si>
  <si>
    <t>Mohamed, Osama Saber/0000-0002-1840-2732; Shaalan, Nagih/0000-0001-5419-6043; Ahmed, Faheem/0000-0002-5436-1966; Aljaafari, Abdullah/0000-0001-7742-6665; Kumar, Shalendra/0000-0002-3823-7017</t>
  </si>
  <si>
    <t>10.3390/cryst12020125</t>
  </si>
  <si>
    <t>WOS:000763285000001</t>
  </si>
  <si>
    <t>Angizi, S; Alem, SAA; Pakdel, A</t>
  </si>
  <si>
    <t>Angizi, Shayan; Alem, Sayed Ali Ahmad; Pakdel, Amir</t>
  </si>
  <si>
    <t>Towards Integration of Two-Dimensional Hexagonal Boron Nitride (2D h-BN) in Energy Conversion and Storage Devices</t>
  </si>
  <si>
    <t>ENERGIES</t>
  </si>
  <si>
    <t>The prominence of two-dimensional hexagonal boron nitride (2D h-BN) nanomaterials in the energy industry has recently grown rapidly due to their broad applications in newly developed energy systems. This was necessitated as a response to the demand for mechanically and chemically stable platforms with superior thermal conductivity for incorporation in next-generation energy devices. Conventionally, the electrical insulation and surface inertness of 2D h-BN limited their large integration in the energy industry. However, progress on surface modification, doping, tailoring the edge chemistry, and hybridization with other nanomaterials paved the way to go beyond those conventional characteristics. The current application range, from various energy conversion methods (e.g., thermoelectrics) to energy storage (e.g., batteries), demonstrates the versatility of 2D h-BN nanomaterials for the future energy industry. In this review, the most recent research breakthroughs on 2D h-BN nanomaterials used in energy-based applications are discussed, and future opportunities and challenges are assessed.</t>
  </si>
  <si>
    <t>Angizi, Shayan/AAZ-9659-2020; Angizi, Shayan/I-5721-2018; Alem, Sayed/AAK-2822-2021; Pakdel, Amir/I-8405-2014</t>
  </si>
  <si>
    <t>Angizi, Shayan/0000-0002-5345-4271; Alem, Sayed Ali Ahmad/0000-0003-0539-9332; Pakdel, Amir/0000-0001-5852-0808</t>
  </si>
  <si>
    <t>1996-1073</t>
  </si>
  <si>
    <t>10.3390/en15031162</t>
  </si>
  <si>
    <t>WOS:000760482700001</t>
  </si>
  <si>
    <t>Fan, XL; Liu, YQ; Tan, JY; Yang, S; Zhang, XY; Liu, BL; Cheng, HM; Sun, ZH; Li, F</t>
  </si>
  <si>
    <t>Fan, Xialu; Liu, Yingqi; Tan, Junyang; Yang, Shan; Zhang, Xiaoyin; Liu, Bilu; Cheng, Huiming; Sun, Zhenhua; Li, Feng</t>
  </si>
  <si>
    <t>An ultrathin and highly efficient interlayer for lithium-sulfur batteries with high sulfur loading and lean electrolyte</t>
  </si>
  <si>
    <t>Lithium-sulfur (Li-S) batteries are considered to have great potential due to their high theoretical specific energy and natural abundance of sulfur. However, the practical specific energy and cycle life of Li-S pouch cells are significantly hindered by thin sulfur cathodes, flooded electrolytes and excess Li metal anodes. Here, an ultrathin and highly efficient boron nitride/single-wall carbon nanotube (BN/SWCNT) interlayer (UHEI) achieves excellent Li-S pouch cell performance with high sulfur loading and a lean electrolyte. Compared with the reported interlayer materials, the UHEI can not only hinder the diffusion of polysulfides, but also promote further redox reactions and allow Li+ to pass through easily. Meanwhile, this UHEI can significantly improve lean electrolyte performance (E/S ratio of 8 mu L mg(-1)) and both high and low plateau capacities of Li-S batteries with a high sulfur loading (10 mg cm(-2)). Moreover, a normalized ratio of the areal loading interlayer to sulfur (I/S) was proposed and two interlayer efficiency index (IEI) were obtained by using I/S to quantify the efficiency of interlayers at a certain current density and guide the design of high-efficiency interlayers. The IEI of our UHEI@PP is dozens of times higher than previously reported results. Li-S cells with UHEI@PP delivered a remarkable discharge capacity of 6.6 mA h cm(-2) after 100 cycles at 0.2C for pouch cells (4.1 mg cm(-2) per side, E/S ratio of 10 mu L mg(-1)). The work provides new insights into separator modification for the practical application of lithium-sulfur batteries in the future.</t>
  </si>
  <si>
    <t>Sun, Zhenhua/D-1576-2011; Li, Feng/C-9991-2010; yang, shan/JEZ-6385-2023; Liu, Yingqi/AEY-3570-2022; Cheng, Hui-Ming/B-8682-2012; zhang, xiaoyin/ABA-5072-2021; Liu, Bilu/B-2287-2010</t>
  </si>
  <si>
    <t>Sun, Zhenhua/0000-0002-4899-6084; Zhang, Xiaoyin/0009-0001-4840-0172; Cheng, Hui-Ming/0000-0002-5387-4241; Liu, Bilu/0000-0002-7274-5752; LI, Feng/0000-0002-2213-9914</t>
  </si>
  <si>
    <t>APR 5</t>
  </si>
  <si>
    <t>10.1039/d1ta10444f</t>
  </si>
  <si>
    <t>JAN 2022</t>
  </si>
  <si>
    <t>WOS:000754010200001</t>
  </si>
  <si>
    <t>Bugday, N; Altin, S; Bulut, F; Altin, E; Yasar, S</t>
  </si>
  <si>
    <t>Bugday, Nesrin; Altin, Serdar; Bulut, Fatih; Altin, Emine; Yasar, Sedat</t>
  </si>
  <si>
    <t>Boron-doped porous carbon material derived from ZIF-11: Investigation of cotton fabric supercapacitor and Li-ion battery performances</t>
  </si>
  <si>
    <t>INTERNATIONAL JOURNAL OF ENERGY RESEARCH</t>
  </si>
  <si>
    <t>Nitrogen-doped porous carbon (NPC@ZIF-11) and boron-NPC (BNPC@ZIF-11) materials were synthesized by pyrolysis methods, and structural characterization of the compounds was carried out by scanning electron microscopy, transmission electron microscopy, Fourier-transform infrared spectroscopy, X-ray diffraction, Brunauer-Elmet-Teller technique, Raman spectroscopy, and inductively coupled plasma-mass spectrometry techniques. The ZIF-11 was converted to the NPC@ZIF11 by pyrolysis. BNPC@ZIF-11 was fabricated from NPC@ZIF-11 by pyrolysis in the presence of phenylboronic acid. The fabric supercapacitor, sandwich-type supercapacitor, and Li-ion battery performances of NPC@ZIF-11 and BNPC@ZIF-11 were investigated. The capacity of the Li-ion cell was found as 720 mAh g(-1) for the first cycle, and it was decreased to 250 mAh g(-1) after 100 cycles. The capacitance values of the cylindrical devices were 92 F g(-1) and 115.6 F g(-1), for C1 and C4000 in KOH electrolytes. The BNPC@ZIF-11 was used as an electrode material on cotton fabric, and the highest obtained capacitance was 72.8 mF for 0.1 mA, which is a promising result for wearable energy storage materials.</t>
  </si>
  <si>
    <t>Yaşar, Sedat/ABG-8356-2020; ALTIN, Serdar/H-4880-2014; ALTIN, EMINE/AHE-9774-2022; Bulut, Fatih/F-7201-2013</t>
  </si>
  <si>
    <t>Bugday, Nesrin/0000-0002-3882-035X; Altin, Emine/0000-0002-2187-4036; yasar, sedat/0000-0001-7285-2761; bulut, fatih/0000-0001-6603-2468; Altin, Serdar/0000-0002-4590-907X</t>
  </si>
  <si>
    <t>0363-907X</t>
  </si>
  <si>
    <t>1099-114X</t>
  </si>
  <si>
    <t>10.1002/er.7676</t>
  </si>
  <si>
    <t>WOS:000746205000001</t>
  </si>
  <si>
    <t>Pei, HJ; Yang, CY; Wang, PP; Lin, JY; Yin, LL; Zhou, XP; Xie, XL; Ye, YS</t>
  </si>
  <si>
    <t>Pei, Huijie; Yang, Chengyin; Wang, Panpan; Lin, Jingya; Yin, Liangliang; Zhou, Xingping; Xie, Xiaolin; Ye, Yunsheng</t>
  </si>
  <si>
    <t>Efficient thermal management of lithium-sulfur batteries by highly thermally conductive LBL-assembled composite separators</t>
  </si>
  <si>
    <t>The movement toward lithium-sulfur (Li-S) batteries with high sulfur utilization and low polysulfides (PSs) shuttling has served as a primary motivation for increased research in high energy storage devices for next-generation electric vehicles. Although enormous studies have been made to facilitate the commercial adoption of Li-S batteries, but in actual use, the battery suffers from undesired elevated temperature and temperature gradient, leading to significant limitations for its extensive implementation. Herein, highly thermally conductive composite separators modified by ultralight and double-sided boron nitride nanosheet (BNNS)/poly(acrylic acid) (PAA) composites are fabricated via a facile layer-by-layer (LBL) selfassembly approach. Benefiting from its uniform thermal distribution, in-built high modulus, promising electrolyte affinity, and strong barrier effect, the LBL-assembled composite separator enables Li-S batteries to work stably at elevated temperatures and temperature gradients, giving the batteries excellent PSs shuttle and Li dendrites suppressing capabilities, as well as outstanding cycling stability and rate performance. This work also suggests a new path to construct high-efficiency and high safety battery systems by eliminating elevated temperature and temperature gradient effects with separator engineering. (c) 2021 Published by Elsevier Ltd.</t>
  </si>
  <si>
    <t>Wang, Panpan/GXF-3400-2022; ye (Ye), yun sheng (YunSheng)/M-5092-2017; Ye, YunSheng/M-5092-2017; Xie, Xiaolin/H-4993-2014</t>
  </si>
  <si>
    <t>ye (Ye), yun sheng (YunSheng)/0000-0002-2351-1845;</t>
  </si>
  <si>
    <t>10.1016/j.electacta.2021.139807</t>
  </si>
  <si>
    <t>WOS:000794205200006</t>
  </si>
  <si>
    <t>Qiu, MH; Jia, H; Lan, CT; Liu, HQ; Fu, SH</t>
  </si>
  <si>
    <t>Qiu, Minghui; Jia, Hao; Lan, Chuntao; Liu, Hongqi; Fu, Shaohai</t>
  </si>
  <si>
    <t>An enhanced kinetics and ultra-stable zinc electrode by functionalized boron nitride intermediate layer engineering</t>
  </si>
  <si>
    <t>The current application of zinc (Zn) anode for aqueous Zn-ion batteries (AZIBs) is faced with several challenges, such as the Zn dendrite growth, hydrogen evolution reaction and by-product generation. Here, an intermediate layer of sulfonate group modified boron nitride nanosheets (S-BN) has been rationally designed and harnessed to regulate Zn plating/stripping behavior and mitigate the side reaction with electrolyte. Benefiting from the nanoscale cavities and surface anionic charge groups, the S-BN intermediate layer endows a dendrite-free electrodeposition behavior via an advanced desolvation process and even interface electronic field. As expected, the S-BN@Zn symmetrical cell enables long-term cycling of 2500 h under 2 mAh &amp; BULL;cm(-2) with a small plating/stripping overpotential of around 45 mV. When coupled with Na2V6O16 &amp; BULL;1.63H(2)O (NVO) cathode, the S-BN@Zn/NVO battery can operate stably up to 1200 cycles, implying the superior durability of S-BN@Zn anode. Accordingly, this novel Zn diffusion intermediate layer provides a promising approach to significantly enhance the anode electrochemical performance of AZIBs.</t>
  </si>
  <si>
    <t>Liu, Hongqi/ABH-6760-2020</t>
  </si>
  <si>
    <t>10.1016/j.ensm.2021.11.018</t>
  </si>
  <si>
    <t>WOS:000783198600002</t>
  </si>
  <si>
    <t>Monnier, J; Zhang, JX; Cuevas, F; Latroche, M</t>
  </si>
  <si>
    <t>Monnier, Judith; Zhang, Junxian; Cuevas, Fermin; Latroche, Michel</t>
  </si>
  <si>
    <t>Hydrides compounds for electrochemical applications</t>
  </si>
  <si>
    <t>CURRENT OPINION IN ELECTROCHEMISTRY</t>
  </si>
  <si>
    <t>Hydrides have been used since a long time for solid-state hydrogen storage and electrochemical nickel-metal hydride batteries. Besides these applications, growing attention has been devoted to their development as anode materials, as well as solid electrolytes for Li-ion and other ion batteries. Herein, we review and summarize the recent advances of hydrides as negative electrodes for Ni-MH and A-ion batteries (A = Li, Na), and as electrolyte for all solid-state batteries (ASSB). Metallic hydrides such as intergrowth compounds are highlighted as the best compromise up to now for Ni-MH. Regarding anodes of Li-ion batteries, MgH2, especially its combination with TiH2, provides very promising results. Complex hydrides such as Liborohydride and related closo-borates and monovalent carborate boron clusters appear to be very attractive as solid electrolytes for Li-based ASSB, whereas closo-hydroborate sodium salts and closo-carboborates are investigated for Naand Mg-ASSB. Finally, further research directions are foreseen for hydrides in electrochemical applications.</t>
  </si>
  <si>
    <t>; Cuevas, Fermin/L-6262-2014; CUEVAS, Fermin/L-6262-2014</t>
  </si>
  <si>
    <t>MONNIER, Judith/0000-0002-8872-6556; Cuevas, Fermin/0000-0002-9055-5880;</t>
  </si>
  <si>
    <t>2451-9103</t>
  </si>
  <si>
    <t>10.1016/j.coelec.2021.100921</t>
  </si>
  <si>
    <t>WOS:000788053500019</t>
  </si>
  <si>
    <t>Parida, R; Pahari, S; Jana, M</t>
  </si>
  <si>
    <t>Parida, Rakesh; Pahari, Somdev; Jana, Madhurima</t>
  </si>
  <si>
    <t>Introducing the potency of new boron-based heterocyclic anion receptor additives to regulate the solvation and transport properties of Li-ions in ethylene carbonate electrolyte of Li-Ion battery: An atomistic molecular dynamics study</t>
  </si>
  <si>
    <t>Development of new solvent/additive electrolyte is emerging field of research towards the improvement of ion transport and solid-electrolyte-interface formation in Li-ion battery (LIB). We perform extensive atomistic molecular dynamics simulations with LiPF6 in ethylene carbonate (EC) in presence of a new class of boron (B) based heterocyclic anion receptor additives; C2HBNO(NO2)(2), and C2HBNS(NO2)(2) and their trimers B[C2HBNO (NO2)(2)](3), and B[C2HBNS(NO2)(2)](3) to investigate the efficacy of this class of additives in regulating the solvation and transport properties of Li+ ions as compared to the reference LiPF6/EC solution that contained TPFPB, a commonly used B-based additive. Our designed additives in several aspects show their efficacy. Among all, C2HBNS(NO2)(2) is found to be the most efficient PF6- trapper that reduces ion pair formation. It promotes diffusion of Li+ and EC, improves the transference number, and reduces viscosity of solution, as compared to TPFPB. Further, it improves the ionic conductivity and drift velocity under a wide range of temperatures and external electric fields, respectively. Some of the computed properties are in agreement with the available experimental results. Our study would facilitate the design and synthesis of this class of additives to open up new possibilities of accelerating the LIB power sources for portable appliances.</t>
  </si>
  <si>
    <t>; Parida, Rakesh/LJL-4811-2024; Jana, Madhurima/IWD-6482-2023</t>
  </si>
  <si>
    <t>10.1016/j.jpowsour.2021.230962</t>
  </si>
  <si>
    <t>WOS:000745959800004</t>
  </si>
  <si>
    <t>Hong, DG; Baik, JH; Kim, S; Lee, JC</t>
  </si>
  <si>
    <t>Hong, Dong Gi; Baik, Ji-Hoon; Kim, Sangwan; Lee, Jong-Chan</t>
  </si>
  <si>
    <t>Solid polymer electrolytes based on polysiloxane with anion-trapping boron moieties for all-solid-state lithium metal batteries</t>
  </si>
  <si>
    <t>Cross-linked solid polymer electrolytes (SPEs) based on ion-conducting poly(ethylene glycol) (PEG), flexible polysiloxane, and anion-trapping boron cross-linker (BPC) were prepared via thiol-ene click reaction for lithium metal batteries. Various thermal and electrochemical properties of SPEs were systematically investigated by varying the content of BPC. Thermally stable free-standing SPE systems could be obtained due to the cross-linked structure, while relatively high ionic conductivity of about 1.3 x 10(-4) S cm(-1) at 60 C was obtained at the same time by the flexible polysiloxane moiety. The boron moiety in BPC could increase the lithium ion transference number compared to the corresponding boron-free SPE due to the anion-trapping capability of boron atom. The formation and growth of lithium dendrites were effectively suppressed by the anion-trapping capability and mechanically stable cross-linked structure of the SPE.</t>
  </si>
  <si>
    <t>; Lee, Jong-Chan/AAJ-2401-2020</t>
  </si>
  <si>
    <t>Baik, Ji-Hoon/0000-0002-3587-9188;</t>
  </si>
  <si>
    <t>10.1016/j.polymer.2022.124517</t>
  </si>
  <si>
    <t>WOS:000783213800001</t>
  </si>
  <si>
    <t>Guzmán-González, G; Vauthier, S; Alvarez-Tirado, M; Cotte, S; Castro, L; Guéguen, A; Casado, N; Mecerreyes, D</t>
  </si>
  <si>
    <t>Guzman-Gonzalez, Gregorio; Vauthier, Soline; Alvarez-Tirado, Marta; Cotte, Stephane; Castro, Laurent; Gueguen, Aurelie; Casado, Nerea; Mecerreyes, David</t>
  </si>
  <si>
    <t>Single-Ion Lithium Conducting Polymers with High Ionic Conductivity Based on Borate Pendant Groups</t>
  </si>
  <si>
    <t>A family of single-ion lithium conducting polymer electrolytes based on highly delocalized borate groups is reported. The effect of the nature of the substituents on the boron atom on the ionic conductivity of the resultant methacrylic polymers was analyzed. To the best of our knowledge the lithium borate polymers endowed with flexible and electron-withdrawing substituents presents the highest ionic conductivity reported for a lithium single-ion conducting homopolymer (1.65x10(-4) S cm(-1) at 60 degrees C). This together with its high lithium transference number tLi+ =0.93 and electrochemical stability window of 4.2 V vs Li-0/Li+ show promise for application in lithium batteries. To illustrate this, a lithium borate monomer was integrated into a single-ion gel polymer electrolyte which showed good performance on lithium symmetrical cells (&lt;0.85 V at +/- 0.2 mA cm(-2) for 175 h).</t>
  </si>
  <si>
    <t>Mecerreyes, David/K-7541-2014; Casado, Nerea/ABG-9247-2020; Castro, Laurent/I-6054-2012</t>
  </si>
  <si>
    <t>Mecerreyes, David/0000-0002-0788-7156; Casado, Nerea/0000-0003-0799-5111; Alvarez-Tirado, Marta/0000-0003-3477-5990; Castro, Laurent/0000-0001-9530-432X</t>
  </si>
  <si>
    <t>FEB 7</t>
  </si>
  <si>
    <t>e202114024</t>
  </si>
  <si>
    <t>10.1002/anie.202114024</t>
  </si>
  <si>
    <t>DEC 2021</t>
  </si>
  <si>
    <t>WOS:000736073800001</t>
  </si>
  <si>
    <t>Wang, KL; Wei, L; Wang, LW; Xu, K</t>
  </si>
  <si>
    <t>Wang, Kangle; Wei, Long; Wang, Liangwei; Xu, Ke</t>
  </si>
  <si>
    <t>Ab-initio investigation on the interface improvement by doping boron and carbon in LiMn2O4/LiPON all solid state battery</t>
  </si>
  <si>
    <t>Lithium phosphorous oxynitride (LiPON), since its outstanding electrochemical stability window and negligible electronic conductivity , it is suitable for practical allsolid-state batteries (ASSBs). Besides, elements doping can not only improve interfacial compatibility but also increase ionic conductivity. However, the detailed interfacial structures of LiMn2O4/LiPON and diffusion mechanism of lithium in LiPON based electrolyte are hardly investigated so far. Herein, we examine the electrochemical and chemical stabilities of LiMn2O4-electrode and LiPON-based-electrolyte interfaces by analyzing the thermodynamics of formation of interfacial phases, LiBPON shows high interfacial stability with LiMn2O4. The doping boron atoms in LiPON play a vital role to enlarge Li ion diffusion channel sizes, hence the diffusion barrier of Li in LiBPON is only 0.25 eV, which is much smaller than that in the LiPON, leading to Li-ion super ionic conductivity in LiBPON. Through a charge density difference analysis, it suggests the LiO,Li3O and Li2O4 for LiPON, LiBPON and LiCPON will transfer charge to the surrounding matrix, realize the stability of the interface. This work provides a theoretical insight for the application of LiPON based electrolytes in all solid state battery.</t>
  </si>
  <si>
    <t>Xu, Ke/0000-0002-4498-2830</t>
  </si>
  <si>
    <t>10.1016/j.jssc.2021.122797</t>
  </si>
  <si>
    <t>WOS:000736159800001</t>
  </si>
  <si>
    <t>Li, SY; Xu, F; Zhang, NS; Wang, P; Wang, J</t>
  </si>
  <si>
    <t>Li, Shi-You; Xu, Fei; Zhang, Ning-Shuang; Wang, Peng; Wang, Jie</t>
  </si>
  <si>
    <t>Anions Tuned Solid Electrolyte Interphase in Lithium-Ion Batteries</t>
  </si>
  <si>
    <t>It is a key and challenging problem to study how the lithium salt anion affects the solid electrolyte interphase (SEI) film formation process. However, the current research focuses on the solvation structure of electrolytes with a general considered conclusion of the preferential reduction effect of anions, while the action mechanism of anions on the solvation structure is rarely studied. Herein, the specific role of anions in the SEI film formation process is illustrated by comparing the influence of anions on the solvation structure with two kinds of boron containing lithium salts. It is found that lithium salt anions can affect the coordination capability of lithium ions and solvents, and then affect the energy consumption in the desolvation process of lithium ions and the composition of SEI film. This work provides a method to study the film formation process, which have certain reference and guide significance for the research of electrolyte field.</t>
  </si>
  <si>
    <t>Li, shiyou/0000-0001-7940-5235</t>
  </si>
  <si>
    <t>10.1002/batt.202100274</t>
  </si>
  <si>
    <t>WOS:000729825900001</t>
  </si>
  <si>
    <t>Yabu, H; Nakamura, K; Matsuo, Y; Umejima, Y; Matsuyama, H; Nakamura, J; Ito, K</t>
  </si>
  <si>
    <t>Yabu, Hiroshi; Nakamura, Koki; Matsuo, Yasutaka; Umejima, Yutaro; Matsuyama, Haruyuki; Nakamura, Jun; Ito, Koju</t>
  </si>
  <si>
    <t>Pyrolysis-Free Oxygen Reduction Reaction (ORR) Electrocatalysts Composed of Unimolecular Layer Metal Azaphthalocyanines Adsorbed onto Carbon Materials</t>
  </si>
  <si>
    <t>The oxygen reduction reaction (ORR) at the cathode is one of the critical bottlenecks in the energy conversion process in polymer electrolyte fuel cells (PEFCs) and metal-air batteries. An iron azaphthalocyanine unimolecular layer (Fe-AZUL) adsorbed onto a carbon substrate exhibited high ORR activity as an alternative of Pt supported on carbon black (Pt/C) electrocatalyst. We herein report the synthesis of various AzPc molecules with different peripheral structures and complex metals, as well as measurements of the ORR activities of catalysts containing the synthesized molecules and carbons. The catalytic activities were characterized by electrochemical analysis, density functional theory (DFT) calculations, and measurements of ionization potential (IP) values. From the results, the IP values on Ketjen Black (KB) were found to be one of the significant indicators for high ORR activities, providing a guideline for the development of high-performance electrocatalysts.</t>
  </si>
  <si>
    <t>Yabu, Hiroshi/A-4844-2010; Matsuo, Yasutaka/E-4178-2012; Nakamura, Jun/JXX-1886-2024</t>
  </si>
  <si>
    <t>Yabu, Hiroshi/0000-0002-1943-6790; Matsuo, Yasutaka/0000-0002-5071-0284; Nakamura, Jun/0000-0001-8909-4645;</t>
  </si>
  <si>
    <t>DEC 27</t>
  </si>
  <si>
    <t>10.1021/acsaem.1c03054</t>
  </si>
  <si>
    <t>WOS:000732049900001</t>
  </si>
  <si>
    <t>Li, S; Wang, XS; Han, B; Lai, C; Shi, PR; Ma, JB; Wang, SW; Zhang, LH; Liu, Q; Deng, YH; He, YB; Yang, QH</t>
  </si>
  <si>
    <t>Li, Song; Wang, Xian-Shu; Han, Bing; Lai, Chen; Shi, Pei-Ran; Ma, Jia-Bin; Wang, Shu-Wei; Zhang, Li-Han; Liu, Qi; Deng, Yong-Hong; He, Yan-Bing; Yang, Quan-Hong</t>
  </si>
  <si>
    <t>Ultrathin and High-Modulus LiBO2 Layer Highly Elevates the Interfacial Dynamics and Stability of Lithium Anode under Wide Temperature Range</t>
  </si>
  <si>
    <t>Lithium (Li) metal batteries (LMBs) face huge challenges to achieve long cycling life at wide temperature range owing to the severe dendrite growth at subambient temperature and the intense side reactions with electrolyte at high temperature. Herein, an ultrathin LiBO2 layer with an extremely high Young's modulus of 8.0 GPa is constructed on Li anode via an in situ reaction between Li metal and 4,4,5,5-tetramethyl-1,3,2-dioxa-borolane (TDB) to form LiBO2@Li anode, which presents two times higher exchange current density than pristine Li anode. The LiBO2 layer presents a strong absorption to Li ions and greatly improves the interfacial dynamics of Li-ion migration, which induces homogenous lithium nucleation and deposition to form a dense lithium layer. Consequently, the Li dendrite growth during cycling at subambient temperature and the side reactions with electrolyte at high temperature are simultaneously suppressed. The LiBO2@Li/LiNi0.8Co0.1Mn0.1O2 (NCM811) full batteries with limited Li capacity and high cathode mass loading of 9.9 mg cm(-2) can steadily cycle for 300 cycles with a capacity retention of 86.6%. The LiBO2@Li/NCM811 full batteries and LiBO2@Li/LiBO2@Li symmetric batteries also present excellent cycling performance at both -20 and 60 degrees C. This work develops a strategy to achieve outstanding performance of LMBs at wide working temperature-range.</t>
  </si>
  <si>
    <t>; Yang, Quan-Hong/Y-6091-2019; Liu, Qi/GQY-6900-2022; Wang, Xianshu/ISS-3880-2023; Zhang, Lihan/LDE-5830-2024; He, Yanbing/AFQ-3143-2022; Han, Bing/MVW-0919-2025; Deng, Yonghong/AAI-7410-2021</t>
  </si>
  <si>
    <t>Wang, Xianshu/0000-0003-0581-6677; Han, Bing/0000-0001-8143-3964;</t>
  </si>
  <si>
    <t>10.1002/smll.202106427</t>
  </si>
  <si>
    <t>WOS:000728355700001</t>
  </si>
  <si>
    <t>Cao, Z; Zheng, XY; Wang, Y; Huang, WB; Li, YC; Huang, YH; Zheng, HH</t>
  </si>
  <si>
    <t>Cao, Zhang; Zheng, Xueying; Wang, Yan; Huang, Weibo; Li, Yuchen; Huang, Yunhui; Zheng, Honghe</t>
  </si>
  <si>
    <t>Tailoring a multifunctional, boron and fluoride-enriched solid-electrolyte interphase precursor towards high-rate and stable-cycling silicon anodes</t>
  </si>
  <si>
    <t>Rational design and construction of stable artificial interface for silicon (Si) anodes exhibits great promise in shielding the Si particles against their intrinsic volumetric changes and minimizing the side reactions, both constituting prerequisites towards the long-term stability of the high-energy density Si-based batteries. Herein, a multifunctional solid-electrolyte interphase (SEI) precursor of 4-trifluoromethylphenylboronic acid (TFPBA) nano-layer is tailored, which readily polymerizes to form 2,4,6-tris-4-(trifluoromethylphenyl)boroxine (TTFPB) on Si surface during high-temperature drying process of the electrodes. After one-electron reduction, the B-O bonds in TTFPB molecule break where the radical molecules are thus generated, initiating the spontaneous polymerization to form the poly-4-trifluoromethylphenylboronic acid (PTFPBA) with repeated B-O chains. Such polymerized nano-layer not only manifests a desirable artificial SEI for its high robustness and elasticity in accommodating the volume expansions, but also effectively improves the electrolyte absorption rate of the electrode, providing accelerated kinetics for Li+ transfer. Under the stable framework formed by PTFPBA, preferential adsorption of LiPF6 molecules is enabled with the electron-deficient boron (B) species, further inducing a continuous and dense SEI rich in benzene rings and inorganic substances. As such, the as-obtained Si@TTFPB anode demonstrates significantly enhanced rate capability and long-cycle performance. After 500 cycles at 0.2 C rate, the modified Si electrode still delivers a capacity of 1778.7 mA h g(-1), while the reference Si anode has almost no capacity.</t>
  </si>
  <si>
    <t>; Wang, Yan/AAC-1439-2022</t>
  </si>
  <si>
    <t>Cao, Zhang/0000-0001-9726-2100;</t>
  </si>
  <si>
    <t>10.1016/j.nanoen.2021.106811</t>
  </si>
  <si>
    <t>WOS:000731486700002</t>
  </si>
  <si>
    <t>Liang, X; Wang, LL; Wang, Y; Liu, YC; Sun, Y; Xiang, HF</t>
  </si>
  <si>
    <t>Liang, Xin; Wang, Lulu; Wang, Yang; Liu, Yongchao; Sun, Yi; Xiang, Hongfa</t>
  </si>
  <si>
    <t>Constructing multi-functional composite separator of PVDF-HFP/h-BN supported Co-CNF membrane for lithium-sulfur batteries</t>
  </si>
  <si>
    <t>SUSTAINABLE ENERGY &amp; FUELS</t>
  </si>
  <si>
    <t>The functional design of separators has been proved to be one of the most efficient methods to improve the electrochemical performance of lithium-sulfur batteries. In this work, a multifunctional separator with gradual changes to four aspects was constructed by integrating a PVDF-HFP/h-BN membrane with a Co-doped carbon nanofiber. The architecture has four gradations, which offers multifold advantages. First, in terms of density, there is a transition from loose to dense, which results in a higher electrolyte uptake rate, reduces the amount of free electrolyte and further suppresses the shuttle effect. Additionally, in terms of composition, a transition from inorganic to organic is designed, which allows the inorganic and organic components to bind closely and reduces the interfacial resistance. Meanwhile, there is a transition from high electronic conductivity to insulation. The change in electronic conductivity leads to effective conversion of the polysulfide. Finally, in terms of ionic conductivity, there is a transition from low to high, which gives the separator better ability to conduct lithium ions. As a consequence, a battery with the as-constructed multifunctional separator performs with good capacity stability, which demonstrates a new concept for high-performance lithium-sulfur battery design.</t>
  </si>
  <si>
    <t>; Xiang, Hongfa/I-5126-2012; LIANG, Xin/AAC-6325-2019; , Yongchao Liu/AAW-4770-2021</t>
  </si>
  <si>
    <t>Liang, Xin/0000-0001-8420-5959; Xiang, Hongfa/0000-0002-6182-1932;</t>
  </si>
  <si>
    <t>2398-4902</t>
  </si>
  <si>
    <t>10.1039/d1se01666k</t>
  </si>
  <si>
    <t>WOS:000732018400001</t>
  </si>
  <si>
    <t>Niitani, K; Ushiroda, S; Kuwata, H; Ohata, HN; Shimo, Y; Hozumi, M; Matsunaga, T; Nakanishi, S</t>
  </si>
  <si>
    <t>Niitani, Keita; Ushiroda, Shin; Kuwata, Hiroko; Ohata, Hiroko N.; Shimo, Yusuke; Hozumi, Masato; Matsunaga, Tomoya; Nakanishi, Shinji</t>
  </si>
  <si>
    <t>Hard Carbon Anode with a Sodium Carborane Electrolyte for Fast-Charging All-Solid-State Sodium-Ion Batteries</t>
  </si>
  <si>
    <t>Compared with conventional lithium-ion batteries, all-solid-state sodium-ion batteries (AS(3)IBs) have the potential to achieve fast charging. This is due to the fast diffusion of sodium ions in the solid phase. Unfortunately, AS(3)IBs have often been limited by poor contact area and incompatibility between the active material and the solid electrolyte. Herein, we demonstrate a fast-charging AS(3)IB utilizing a hard carbon anode and a sodium carborane solid electrolyte, Na(CB9H10)(0.7)(CB11H12)(0.3). The highly deformable nature of Na(CB9H10)(0.7)(CB11H12)(0.3) enabled an intimate and stable contact with the hard carbon through forming a thin oxide interphase, which resulted in a small interfacial resistance (0.68 Omega cm(2) at 0.1 V vs Na+/Na) for the hard carbon anode (active mass loading, 5.8 mg cm(-2)). A battery cell that paired the hard carbon anode with a Na0.7Mn0.5Ni0.2Co0.3O2 cathode exhibited an excellent fast-charging capability, storing an areal capacity of over 1 mA h cm(-2) in about 5 min.</t>
  </si>
  <si>
    <t>Niitani, Keita/0000-0001-7928-201X</t>
  </si>
  <si>
    <t>JAN 14</t>
  </si>
  <si>
    <t>10.1021/acsenergylett.1c02307</t>
  </si>
  <si>
    <t>WOS:000729722900001</t>
  </si>
  <si>
    <t>Hagemann, H</t>
  </si>
  <si>
    <t>Hagemann, Hans</t>
  </si>
  <si>
    <t>Boron Hydrogen Compounds: Hydrogen Storage and Battery Applications</t>
  </si>
  <si>
    <t>About 25 years ago, Bogdanovic and Schwickardi (B. Bogdanovic, M. Schwickardi: J. Alloys Compd. 1-9, 253 (1997) discovered the catalyzed release of hydrogen from NaAlH4. This discovery stimulated a vast research effort on light hydrides as hydrogen storage materials, in particular boron hydrogen compounds. Mg(BH4)(2), with a hydrogen content of 14.9 wt %, has been extensively studied, and recent results shed new light on intermediate species formed during dehydrogenation. The chemistry of B3H8-, which is an important intermediate between BH4- and B12H122-, is presented in detail. The discovery of high ionic conductivity in the high-temperature phases of LiBH4 and Na2B12H12 opened a new research direction. The high chemical and electrochemical stability of closo-hydroborates has stimulated new research for their applications in batteries. Very recently, an all-solid-state 4 V Na battery prototype using a Na-4(CB11H12)(2)(B12H12) solid electrolyte has been demonstrated. In this review, we present the current knowledge of possible reaction pathways involved in the successive hydrogen release reactions from BH4- to B12H122-, and a discussion of relevant necessary properties for high-ionic-conduction materials.</t>
  </si>
  <si>
    <t>10.3390/molecules26247425</t>
  </si>
  <si>
    <t>WOS:000736520800001</t>
  </si>
  <si>
    <t>Li, GJ; Li, HN; Wang, Y; Xiong, DB; Wang, S; Yan, YP; Chen, S; Tian, BB; Shi, YM</t>
  </si>
  <si>
    <t>Li, Guojing; Li, Henan; Wang, Ye; Xiong, Dongbin; Wang, Shuo; Yan, Yaping; Chen, Song; Tian, Bingbing; Shi, Yumeng</t>
  </si>
  <si>
    <t>Suppressing Li Dendrite Puncture with a Hierarchical h-BN Protective Layer</t>
  </si>
  <si>
    <t>Lithium metal has been perceived as an extremely attractive anode due to its superior energy density and low redox potential. However, great challenges affiliated with the operating security of Li metal batteries (LMBs) posed by growing Li dendrites hamper the widespread application of rechargeable LMBs. In this study, hierarchical hairball-like boron nitride (h-BN) was fabricated on a Li metal anode using the pulsed laser deposition (PLD) method. The chemically inert and mechanically robust dielectric h-BN coating on the Li anode can act as an interfacial layer conducive to enhancing the stability and extending the battery lifetime of LMBs by suppressing the formation and propagation of dendrites during the recurrent plating and stripping process. Moreover, the h-BN layer favors the drift of Li ions and mitigates electrolyte depletion, therefore demonstrating a reduced polarization in the voltage profiles, which further facilitates the uniform deposition of Li ions during battery operation. As proof, the Li/BN parallel to BN/Li symmetrical cells can circulate steadily for 1800 h with no observable polarization at constant current density. Thus, the three-dimensional h-BN interface layer is efficacious for Li dendrite suppression during the practical application of LMBs, and it may also be promising for tackling dendrite issues in other metal ion battery systems.</t>
  </si>
  <si>
    <t>Tian, Bingbing/AAC-1357-2021; Li, Henan/GQZ-1966-2022; Shi, Yumeng/A-7349-2012; Li, Guojing/MVX-6934-2025</t>
  </si>
  <si>
    <t>TIAN, Bingbing/0000-0003-1508-6217; Shi, Yumeng/0000-0002-9623-3778; Chen, Song/0009-0006-4026-3368</t>
  </si>
  <si>
    <t>10.1021/acsami.1c15980</t>
  </si>
  <si>
    <t>WOS:000751894800030</t>
  </si>
  <si>
    <t>Ren, B; Sun, Y; Feng, X; Peng, JF; Ding, R; Sun, XJ; Liu, EH; Gao, P</t>
  </si>
  <si>
    <t>Ren, Bo; Sun, Ye; Feng, Xin; Peng, Jinfeng; Ding, Rui; Sun, Xiujuan; Liu, Enhui; Gao, Ping</t>
  </si>
  <si>
    <t>Electrolyte engineering on a porphyrin-based electrode for lithium-organic charge storage</t>
  </si>
  <si>
    <t>Lithium-organic batteries using organic molecules as active materials have attracted considerable attention. However, the dissolution of organic active materials and mismatched electrolyte have led to insufficient cycle life. The electrolyte chemistry induced stable solid-electrolyte interface at the electrode plays a critical role in the improvement of electrochemical performance. Herein, electrolyte engineering with different anions on a porphyrin-based cathode was systematically studied. The cycling stability and reversible capacity of the functionalized porphyrin of [5,15-bis(ethynyl)-10,20-diphenylporphinato] copper(II) (CuDEPP) were significantly influenced by regulating electrolytes. The CuDEPP cathode exhibited better compatibility with electrolyte containing phosphorus and nitrogen-based anions than boron-based ones. Anions containing C=O or S=O groups showed enhanced charge storage performance. Improved specific capacity (up to 250 mA h g(-1)) was achieved in lithium bis(trifluoromethanesulfonyl)imide (LiTFSI) based electrolyte. Different techniques were applied to probe the porphyrin cathode and it was revealed that electrolytes with appropriate functionalized groups and higher concentration can improve the charge storage performance of the porphyrin cathode in lithium-organic batteries.</t>
  </si>
  <si>
    <t>ren, bo/HNN-5566-2023; Peng, Jinfeng/O-1640-2015; Gao, Ping/AAX-5389-2020; Sun, Xiujuan/B-1273-2019; DING, RUI/P-3018-2019</t>
  </si>
  <si>
    <t>Gao, Ping/0000-0002-6717-3243; Sun, Xiujuan/0000-0002-2876-6986;</t>
  </si>
  <si>
    <t>10.1039/d1se01649k</t>
  </si>
  <si>
    <t>NOV 2021</t>
  </si>
  <si>
    <t>WOS:000729460700001</t>
  </si>
  <si>
    <t>Wang, YY; Yu, MF; Zhang, TY; Xue, ZC; Ma, Y; Sun, H</t>
  </si>
  <si>
    <t>Wang, Yuyang; Yu, Mingfu; Zhang, Tianyu; Xue, Zhichao; Ma, Ying; Sun, Hong</t>
  </si>
  <si>
    <t>Defect-rich boron doped carbon nanotubes as an electrocatalyst for hybrid Li-air batteries</t>
  </si>
  <si>
    <t>CATALYSIS SCIENCE &amp; TECHNOLOGY</t>
  </si>
  <si>
    <t>Carbon nanotubes (CNTs) have been used as a cathode material for hybrid Li-air batteries (HLABs); however, their catalytic abilities for the oxygen reduction reaction (ORR) and oxygen evolution reaction (OER) are relatively limited. Herein, to improve their catalytic performance, we have synthesized a boron-doped CNT (BC3NT) with varying boron contents. The Raman spectrum proves that the more defects are due to the higher boron content. And HLABs based on BC3NT show great cyclability and catalytic performance in air, with an overpotential value of 0.3 V for 200 hours at a current density of 0.05 mA cm(-2). Furthermore, theoretical calculations with density functional theory (DFT) confirm the effects of topological defects of BC3NT on the ORR and OER. Since boron is doped into the CNT, BC3NT containing a large amount of defect rings is obtained. And the generation of defects was conducive to the battery reaction. Accordingly, as a positive electrode material for HLABs, BC3NT is more conducive to the ORR and OER, and the topological defect ring generated by it improved the ORR and OER performance.</t>
  </si>
  <si>
    <t>2044-4753</t>
  </si>
  <si>
    <t>2044-4761</t>
  </si>
  <si>
    <t>JAN 4</t>
  </si>
  <si>
    <t>10.1039/d1cy01832a</t>
  </si>
  <si>
    <t>WOS:000725114800001</t>
  </si>
  <si>
    <t>Zhang, Z; Liu, FY; Huang, ZY; Yi, MY; Fan, XM; Bai, MH; Hong, B; Zhang, ZA; Li, J; Lai, YQ</t>
  </si>
  <si>
    <t>Zhang, Zhi; Liu, Fangyan; Huang, Zeyu; Yi, Maoyi; Fan, Xinming; Bai, Maohui; Hong, Bo; Zhang, Zhian; Li, Jie; Lai, Yanqing</t>
  </si>
  <si>
    <t>Improving interfacial stability of ultrahigh-voltage lithium metal batteries with single-crystal Ni-rich cathode via a multifunctional additive strategy</t>
  </si>
  <si>
    <t>Electrode (including cathode and anode) /electrolyte interfaces play a vital role in determining battery performance. Especially, high-voltage lithium metal batteries (HVLMBs) with the Ni-rich layered oxide ternary cathode (NCM) can be considered a promising energy storage technology due to their outstanding energy density. However, it is still extremely challenging to address the unstable electrode/electrolyte interface and structural collapse of polycrystalline NCM at high voltage, greatly restraining its practical applications. In this work, a novel electrolyte additive, tris(2-cyanoethyl) borate (TCEB), has been used to construct the robust nitrogen (N) and boron (B)-rich protective films on single-crystal LiNi0.6Co0.1Mn0.3O2 (SNCM) cathode and lithium metal anode surfaces, which could effectively mitigate parasitic reactions against electrolyte corrosion and retain the structural integrity of electrode. Remarkably, the SNCM parallel to Li metal cell using TCEB-containing electrolyte maintains unprecedentedly superb capacity retention of 80% after 100 cycles at an ultrahigh charging voltage of 4.7 V (versus Li/Li+). This finding provides a valuable reference to construct a stable electrode/electrolyte interface for the HVLMBs with achieving high-energy density. (C) 2021 Elsevier Inc. All rights reserved.</t>
  </si>
  <si>
    <t>bai, maohui/L-9522-2019; hong, bo/HHS-4080-2022</t>
  </si>
  <si>
    <t>10.1016/j.jcis.2021.10.061</t>
  </si>
  <si>
    <t>WOS:000744118900003</t>
  </si>
  <si>
    <t>Zhang, Z; Liu, FY; Huang, ZY; Gu, JH; Song, Y; Zheng, JQ; Yi, MY; Mao, QY; Bai, MH; Fan, XM; Hong, B; Zhang, ZA; Lai, YQ</t>
  </si>
  <si>
    <t>Zhang, Zhi; Liu, Fangyan; Huang, Zeyu; Gu, Jiahao; Song, Ying; Zheng, Jingqiang; Yi, Maoyi; Mao, Qiuyun; Bai, Maohui; Fan, Xinming; Hong, Bo; Zhang, Zhian; Lai, Yanqing</t>
  </si>
  <si>
    <t>Enhancing the Electrochemical Performance of a High-Voltage LiCoO2 Cathode with a Bifunctional Electrolyte Additive</t>
  </si>
  <si>
    <t>Increasing the cutoff charge voltage is a promising strategy to enhance the actual discharge capacity of a LiCoO2 cathode. However, the oxidative decomposition of a carbonate electrolyte and the structural destruction of the cathode are intensified under a high operating voltage of 4.5 V, resulting in the poor cycling stability of a LiCoO2-based battery. Herein, a (TCEB), is proposed to improve the cyclability of LiCoO2 parallel to Li cells at elevated voltages. Due to the synergistic effect of boron- oxygen bonds (-B-O-) and nitrile groups (-C N), the TCEB additive can be preferentially decomposed on the surface of the LiCoO2 cathode, which generates a uniform and stable cathode electrolyte interphase (CEI) film to stabilize the cathode/electrolyte interface. As a result, a LiCoO2 parallel to Li battery using a TCEB-containing electrolyte shows excellent cycling performance with a capacity retention of 78.2% after 200 cycles at 1C and 4.5 V. In contrast, a battery cycled in a base electrolyte experiences a rapid capacity decay with a relatively low capacity retention of 40.4% at the same conditions. This work sheds light on an effective strategy for attaining stable cycling of the LiCoO2 cathode at high voltages via interfacial modification using an electrolyte additive, achieving high-energy-density lithium-ion batteries.</t>
  </si>
  <si>
    <t>NOV 22</t>
  </si>
  <si>
    <t>10.1021/acsaem.1c02593</t>
  </si>
  <si>
    <t>OCT 2021</t>
  </si>
  <si>
    <t>WOS:000734172800008</t>
  </si>
  <si>
    <t>Liu, Y; Zeng, QH; Chen, PP; Li, ZF; Chen, AQ; Guan, JZ; Wang, AL; Zhang, LY</t>
  </si>
  <si>
    <t>Liu, Yu; Zeng, Qinghui; Chen, Pingping; Li, Zhenfeng; Chen, Anqi; Guan, Jiazhu; Wang, Ailian; Zhang, Liaoyun</t>
  </si>
  <si>
    <t>Modified MOF-Based Composite All-Solid-State Polymer Electrolyte with Improved Comprehensive Performance for Dendrite-Free Li-Ion Batteries</t>
  </si>
  <si>
    <t>Solid-state polymer electrolytes (SPEs) used for Li-ion batteries have consistently received widely-attention owing to its high safety, excellent flexibility, and good compatibility with electrodes. However, pristine SPEs are difficult to satisfy all necessary demands for the practical applications in high-performance Li-ion batteries. Herein, a polycaprolactone modified metal-organic framework (MOF-PCL) composite polymer electrolyte (CSPE) is fabricated through the facile UV-light induced photopolymerization of boronic ester crosslinking monomer (BEM) and poly (ethylene glycol) diacrylate (PEGDA) in the presence of lithium bis(trifluoromethanesulfonyl) imide (LiTFSI) and MOF-PCL. The existence of MOF-PCL in the electrolyte can not only obviously improve the ion conduction, but also enhance electrochemical stability simultaneously. Besides, the boron-doped network structure can further promote the transport of Li-ions. As a result, the obtained CSPE has a higher lithium-ion transference number of 0.59 and a wide electrochemical window of 5.29 V. Moreover, the LiFePO4/Li cell based on this CSPE also exhibits excellent long-cycling and rate performance. Undoubtedly, this study not only can provide a new designed method for SPEs with comprehensive performance, but also exhibits a good application potential of this modified MOF-based CSPE with borate ester in the high-performance Li-ion batteries.</t>
  </si>
  <si>
    <t>; zhang, xian/JAC-5480-2023; zhao, yan/GWC-9174-2022; Chen, Pingping/J-9561-2013</t>
  </si>
  <si>
    <t>Zhang, Liaoyun/0000-0002-3682-0516;</t>
  </si>
  <si>
    <t>10.1002/macp.202100325</t>
  </si>
  <si>
    <t>WOS:000709901500001</t>
  </si>
  <si>
    <t>Yu, XF; Li, WC; He, B; Shi, L; Tang, F; Yan, D; Wang, DQ; Lu, AH</t>
  </si>
  <si>
    <t>Yu, Xiao-Fei; Li, Wen-Cui; He, Bin; Shi, Lei; Tang, Fan; Yan, Dong; Wang, Dongqi; Lu, An-Hui</t>
  </si>
  <si>
    <t>Porous Carbon/Borocarbonitride hybrid with enhanced tap density as a polar host for ultralong life Lithium-Sulfur batteries</t>
  </si>
  <si>
    <t>The severe shuttle effect and sluggish redox kinetics are the current bottlenecks of lithium-sulfur (Li-S) batteries, resulting in capacity fading and inferior rate performance, especially under the condition of high sulfur loading and low electrolyte/sulfur ratio (E/S). Herein, conductive carbon nanoparticles (Ketjen Black, KB) covered by borocarbonitride (BCN) are assembled into micro-sized particles to form a polar KB@BCN hybrid, which is employed as a sulfur host with enhanced tap density via a facile intergrowth method. At a molecular level, BCN, endowed with abundant adsorption sites as the adsorbent and catalyst, can adsorb polysulfides and catalyze the conversion of polysulfides. On the nanometer scale, the BCN is loaded on the highly conductive KB nanoparticles, which can improve the conductivity of the hybrid (1786 S m-1), thereby improving the conversion of polysulfides. On the micrometer scale, the BCN and the KB nanoparticles together form micro-sized particles to improve the tap density, which is beneficial to build thick electrodes and reduce the amount of electrolyte. When applied as a sulfur cathode, KB@BCN-2 shows good cycling capability (a low-capacity decay of 0.05% after 800 cycles at 0.5C) and high rate performance (765 mA h g-1 at 3.0C). Even under a lean electrolyte condition (E/S = 5 mu L mg-1), the KB@BCN-2-S has a high initial capacity of 1266 mA h g-1 at 0.1C. Significantly, incorporating polar electrocatalysts with carbon matrix to form a high-density sulfur host through secondary granulation can provide a new insight for achieving high-performance Li-S batteries.</t>
  </si>
  <si>
    <t>Wang, Dongqi/A-8977-2012</t>
  </si>
  <si>
    <t>10.1016/j.cej.2021.132987</t>
  </si>
  <si>
    <t>WOS:000727839000002</t>
  </si>
  <si>
    <t>Kang, XM; Fu, GD; Si, FZ; Deng, XH; Wang, L; Fu, XZ; Luo, JL</t>
  </si>
  <si>
    <t>Kang, Xiaomin; Fu, Guodong; Si, Fengzhan; Deng, Xiaohui; Wang, Lei; Fu, Xian-Zhu; Luo, Jing-Li</t>
  </si>
  <si>
    <t>Iron and boron-doped carbonized zeolitic imidazolate frameworks as efficient oxygen reduction electrocatalysts for Al-Air batteries</t>
  </si>
  <si>
    <t>Porous boron-bearing Fe-nitrogen doped carbon electrocatalysts (Fe-BNC) are prepared by pyrolysis treatment of Fe/B co-doped zeolitic imidazolate frameworks (ZIFs). The as obtained Fe-BNC catalysts with a high surface area (1300 m(2) g(-1)) favor a 4-electron reduction pathway for efficient oxygen reduction reaction (ORR). The Fe-BNC catalysts demonstrate a half-wave potential of similar to 0.85 V vs RHE comparable to that of Pt/C catalyst and high stability in 0.1 M KOH. The dopant of little boron and iron into nitrogen-doped carbon results in the high surface area, enhanced surface polarities, electronic properties and exposing more active sites to introduce a synergistic effect for enhanced ORR performance. Moreover, Fe-BNC electrocatalysts used as air cathode for Al-air batteries exhibit a high peak power density of 195.2 mw cm(-2) and excellent stability even after discharging for 24 h at room temperature, revealing an excellent performance in application of metal-air batteries and other energy converting devices. (C) 2021 Hydrogen Energy Publications LLC. Published by Elsevier Ltd. All rights reserved.</t>
  </si>
  <si>
    <t>Deng, Xiaohui/GRO-3183-2022; Wang, Lei/E-9227-2016; Liu, Jiabin/GRO-6169-2022; Si, Fengzhan/J-9459-2019; Kang, Xiaomin/HNI-5447-2023; Fu, XZ/G-4692-2010</t>
  </si>
  <si>
    <t>Kang, Xiaomin/0009-0009-8486-8715;</t>
  </si>
  <si>
    <t>OCT 22</t>
  </si>
  <si>
    <t>10.1016/j.ijhydene.2021.08.176</t>
  </si>
  <si>
    <t>WOS:000706707900007</t>
  </si>
  <si>
    <t>Wang, SW; Zhang, LH; Cai, XK; Chu, TZ; Liu, DQ; Han, CP; Qin, XY; Kang, FY; Li, BH</t>
  </si>
  <si>
    <t>Wang, Shuwei; Zhang, Lihan; Cai, Xingke; Chu, Tianzhi; Liu, Dongqing; Han, Cuiping; Qin, Xianying; Kang, Feiyu; Li, Baohua</t>
  </si>
  <si>
    <t>Synthesis design of a 3D interfacial structure for highly reversible lithium deposition</t>
  </si>
  <si>
    <t>Metallic lithium (Li) is a highly promising anode for high-energy-density batteries. However, irreversible Li deposition and Li dendrite growth during cycling, originating from an unstable interface and chemical disintegration, are the most serious challenges for the commercialization of Li metal anodes. Herein, we propose a sustainable synthesis route to achieve a highly reversible and stable Li anode by constructing a three-dimensional (3D) graphene network host decorated with highly dispersed lithiophilic inorganic components (Li2O and Li2CO3) and coated with an insulating interphase of boron nitride, termed BIG. Homogeneous Li plating and bottom-up deposition can be achieved due to the Lewis acid and insulating nature of boron nitride in the BIG architecture. The uniformly decorated inorganic components on the 3D graphene network benefit the construction of a robust inorganic-rich solid electrolyte interface, enabling highly reversible Li deposition. Therefore, the free-standing BIG electrode delivers a superior cyclability of 150 cycles at an areal capacity of 3.0 mA h cm(-2) with low voltage hysteresis for Li plating/stripping. When coupled with a LiFePO4 cathode, the as-assembled full cell can stably operate for over 350 cycles with negligible capacity degradation and a low overpotential of 47 mV. This work provides a convenient and cost-effective method to develop highly stable Li metal anodes by comprehensively regulating the interfacial structure and chemistry.</t>
  </si>
  <si>
    <t>; Han, Cuiping/C-4730-2015; Li, Baohua/F-6991-2011; Kang, Feiyu/AFH-4369-2022; Cai, Xingke/ABC-1628-2021; Zhang, Lihan/LDE-5830-2024</t>
  </si>
  <si>
    <t>Liu, Dongqing/0000-0002-5989-1202; Han, Cuiping/0000-0003-1186-3234; Cai, Xingke/0000-0003-3878-4456</t>
  </si>
  <si>
    <t>NOV 16</t>
  </si>
  <si>
    <t>10.1039/d1ta06742g</t>
  </si>
  <si>
    <t>WOS:000714141800001</t>
  </si>
  <si>
    <t>Islam, E; Nebhani, L</t>
  </si>
  <si>
    <t>Islam, E.; Nebhani, L.</t>
  </si>
  <si>
    <t>Concerted effect of boron and porosity on shear thickening behavior of hybrid mesoporous silica dispersions</t>
  </si>
  <si>
    <t>MATERIALS TODAY CHEMISTRY</t>
  </si>
  <si>
    <t>In the present work, the influence of porosity and boron on shear thickening behavior of hybrid mesoporous silica has been studied. Three different levels of boron modification were performed by varying the molar composition of boric acid viz., 1.5 mmol, 2.5 mmol, and 3.5 mmol in a co-condensation approach. The incorporation of boron in mesoporous silica network was confirmed by various techniques such as Fourier transform infra-red (FTIR), and 11B solid-state nuclear magnetic resonance (NMR) spectroscopy. The morphology and particle size were confirmed by using scanning and transmission electron microscopy. To evaluate the effect of boron and porosity on the shear thickening behavior, dispersions were prepared from mesoporous boron-modified silica (MSiB), control mesoporous silica (MSi), non-porous boron-modified silica (SiB), and control non-porous silica (Si) in polyethylene glycol. The shear thickening behavior was studied using steady shear rheology. The dispersion prepared from different loadings of synthesized MSiB containing 1.5 mmol boron showed more than 16 times increase in viscosity (657.7 Pa.s) compared to that of MSi (39.2 Pa.s) at a fairly low volume fraction (4 1/4 0.15) of silica. It is expected that the highly ordered mesoporous architecture of hybrid silica has improved the interaction between the particle and the dispersing medium through hydrogen bonding. The porous morphology of the hybrid mesoporous silica as well as the incorporation of boron in the silica network favors the formation of a frictional contact network, and a transition from continuous shear thickening (CST) to discontinuous shear thickening (DST) behavior was observed. Therefore, silica prepared via incorporation of boron as well as porosity can be material of interest in variety of applications, for example, soft body armors, sporting goods, and shear thickening electrolytes for high impact resistant batteries. (C) 2021 Elsevier Ltd. All rights reserved.</t>
  </si>
  <si>
    <t>Nebhani, Leena/K-5482-2018</t>
  </si>
  <si>
    <t>2468-5194</t>
  </si>
  <si>
    <t>10.1016/j.mtchem.2021.100565</t>
  </si>
  <si>
    <t>WOS:000708856900012</t>
  </si>
  <si>
    <t>Sheng, JZ; Zhang, Q; Liu, MS; Han, ZY; Li, C; Sun, CB; Chen, B; Zhong, XW; Qiu, L; Zhou, GM</t>
  </si>
  <si>
    <t>Sheng, Jinzhi; Zhang, Qi; Liu, Minsu; Han, Zhiyuan; Li, Chuang; Sun, Chongbo; Chen, Biao; Zhong, Xiongwei; Qiu, Ling; Zhou, Guangmin</t>
  </si>
  <si>
    <t>Stabilized Solid Electrolyte Interphase Induced by Ultrathin Boron Nitride Membranes for Safe Lithium Metal Batteries</t>
  </si>
  <si>
    <t>Lithium-ion batteries (LIBs) are still facing safety problems, mainly due to dendrite growth on the anode that leads to combustion and explosion. Forming a stable solid electrolyte interface (SEI) layer is an effective way to suppress this. To induce the formation of stable SEI using simple methods at a low cost, we report an ultrathin and large-scale hexagonal boron nitride (hBN)/polyimide (PI) layer that was coated on a commercial polypropylene (PP) separator. The formation of a stabilized SEI component induced by the h-BN coating layer is proposed, as suggested by theoretical calculations and confirmed by electrochemical analysis and spectroscopy. It effectively suppresses Li dendrite growth and reduces the consumption of active lithium. The separator also has good electrolyte wettability, excellent mechanical strength and thermal conductivity, and high thermal stability. When using the h-BN modified separator in a full cell, the capacity is extremely stable after long cycling and high temperature.</t>
  </si>
  <si>
    <t>Zhong, Xiongwei/ABB-1713-2020; chen, biao/D-1141-2018; Zhou, Guangmin/ABE-6563-2020; zhong, xiongwei/ABB-1713-2020; li, chuang/HNT-0863-2023</t>
  </si>
  <si>
    <t>chen, biao/0000-0002-6181-2155; zhong, xiongwei/0000-0003-2307-0450; Zhou, Guangmin/0000-0002-3629-5686</t>
  </si>
  <si>
    <t>10.1021/acs.nanolett.1c03106</t>
  </si>
  <si>
    <t>SEP 2021</t>
  </si>
  <si>
    <t>WOS:000709549100071</t>
  </si>
  <si>
    <t>An, HW; Liu, QS; An, JL; Liang, ST; Wang, XF; Xu, ZW; Tong, YJ; Huo, H; Sun, N; Wang, YL; Shi, YF; Wang, JJ</t>
  </si>
  <si>
    <t>An, Hanwen; Liu, Qingsong; An, Jiale; Liang, Shuaitong; Wang, Xufeng; Xu, Zhiwei; Tong, Yujin; Huo, Hua; Sun, Nan; Wang, Yinglin; Shi, Yifan; Wang, Jiajun</t>
  </si>
  <si>
    <t>Coupling two-dimensional fillers with polymer chains in solid polymer electrolyte for room-temperature dendrite-free lithium-metal batteries</t>
  </si>
  <si>
    <t>The urgent demand for high security and high energy density all-solid-state batteries has generated a strong interest in polyethylene oxide (PEO)-based solid polymer electrolyte (SPE). However, devising a SPE with a high ionic conductivity without sacrificing mechanical properties remains a critical challenge. Herein, an interpenetrating polymer network electrolyte is designed by chemical grafting coupling, where 2D boron nitride nanosheets and poly(ethylene glycol)diacrylate were coupled by a silane coupling agent. A considerable intensification of mechanical strength has been achieved for the SPE via the graft-coupling strategy, and the interpenetrating network with BNNs leads to the generation of amorphous regions for fast Li-ion immigration. The electrolyte integrates high mechanical strength with enhanced room-temperature ionic conductivity, enabling a long-cycle stability dendrite-free Li parallel to Li symmetrical cell, and prominent cyclic performance is demonstrated in full cells at room temperature. Our approach provides a broader promise for the practical applications of solid-state batteries.</t>
  </si>
  <si>
    <t>Liu, Qingsong/AAI-1117-2021; sun, nan/KWT-9194-2024; Xu, Zhiwei/A-1313-2015; xu, zhiwei/A-1313-2015; wang, jiajun/JRW-6032-2023; Tong, Yujin/K-3838-2017</t>
  </si>
  <si>
    <t>xu, zhiwei/0000-0002-8067-5344; Tong, Yujin/0000-0002-4084-7711</t>
  </si>
  <si>
    <t>10.1016/j.ensm.2021.09.019</t>
  </si>
  <si>
    <t>WOS:000709762700001</t>
  </si>
  <si>
    <t>Zou, Y; Liu, GP; Zhou, K; Zhang, J; Jiao, TP; Zhang, XZ; Yang, Y; Zheng, JM</t>
  </si>
  <si>
    <t>Zou, Yue; Liu, Gaopan; Zhou, Ke; Zhang, Jing; Jiao, Tianpeng; Zhang, Xiaozhen; Yang, Yong; Zheng, Jianming</t>
  </si>
  <si>
    <t>Enhanced Interfacial Stability of a LiNi0.9Co0.05Mn0.05O2 Cathode by a Diboron Additive</t>
  </si>
  <si>
    <t>Ni-rich LiNixCoyMnzO2 (NCM, x(Ni) &gt;= 0.9) layered materials are appealing cathode candidates for future-generation higher-energy-density lithium-ion batteries (LIBs). However, structural and interfacial instability of Ni-rich cathodes needs to be addressed prior to the large-scale deployment in electric vehicles. Herein, a diboron electrolyte additive 5,5,5',5'-tetramethyl-2,2'-bi-1,3,2-dioxaborinane (TBDB) is proposed for constructing a stable LiNi0.9Co0.05Mn0.05O2 (NCM90)/electrolyte interface, thus improving the long-term cycle life and rate capability of an NCM90 cathode. Using an optimized 0.3% TBDB-containing electrolyte, the NCM90 cathode shows a capacity retention up to 84.3% after 200 cycles at 1C at a charge cutoff of 4.4 V, much superior over 70.1% when using the baseline electrolyte. The obvious performance improvement could be explained by the fact that TBDB with higher highest occupied molecular orbital (HOMO) energy is preferentially oxidized before electrolyte solvents, through boron-boron bond cleavage, generating a compact, thin, and protective cathode electrolyte interphase (CEI) layer on the cathode electrode. As a result, the electrolyte decomposition is effectively restrained with fewer poorly conducting byproducts being accumulated, which significantly enhances the interfacial stability and redox reaction kinetics of a Ni-rich NCM90 cathode.</t>
  </si>
  <si>
    <t>Zheng, Jianming/F-2517-2014; Zheng, Jianming/AGL-9640-2022; Yang, Yong/G-4650-2010</t>
  </si>
  <si>
    <t>Zheng, Jianming/0000-0002-4928-8194; Liu, Gaopan/0000-0001-6026-759X; ke, Zhou/0000-0003-1145-8992; Yang, Yong/0000-0002-9928-7165</t>
  </si>
  <si>
    <t>10.1021/acsaem.1c01977</t>
  </si>
  <si>
    <t>WOS:000711236300066</t>
  </si>
  <si>
    <t>Liu, P; Zhang, JW; Zhong, L; Huang, S; Gong, L; Han, DM; Wang, SJ; Xiao, M; Meng, YZ</t>
  </si>
  <si>
    <t>Liu, Peng; Zhang, Jianwei; Zhong, Lei; Huang, Sheng; Gong, Li; Han, Dongmei; Wang, Shuanjin; Xiao, Min; Meng, Yuezhong</t>
  </si>
  <si>
    <t>Interphase Building of Organic-Inorganic Hybrid Polymer Solid Electrolyte with Uniform Intermolecular Li+ Path for Stable Lithium Metal Batteries</t>
  </si>
  <si>
    <t>Lithium (Li) metal has been generally noticed as the most prospective anode for next-generation batteries attributed to its outstanding theoretical capacity and low electrochemical potential. Nevertheless, the unstable solid-electrolyte interphase (SEI) and uncontrollable dendrite growth cause poor reversibility and fetter the practical application of Li metal anodes. Herein, a new organic-inorganic hybrid polymer artificial SEI (POSS-LiBMAB) layer with uniform lithium-ion paths at a molecular level is designed to stabilize Li metal anodes. The SEI layer is constructed by the thiol-ene click chemistry reaction between inorganic polyhedral oligomeric silsesquioxane containing eight-mercaptopropyl (POSS-SH) with lithium bis (allylmalonato) borate (LiBMAB) on Li foil. What is more, the POSS-LiBMAB film can be cross-linked and self-reinforced via intermolecular S-C bonds. Benefiting from its flexible polymeric covalent structure and noble inorganic Si8O16-type cubes, the organic-inorganic hybrid polymer layer is flexible and effectively tolerates the volume change of Li metal anodes during plating/stripping cycles. In addition, this layer shows loose and uniformly distributed electrostatic interaction between Li+ and charge delocalized sp(3) boron-oxygen anions, which aids to form a uniform intermolecular Li+ path regulating the homogeneous distribution of Li+ flux on Li anodes. Finally, the designed POSS-LiBMAB layer has high ionic conductivity and lithium-ion transference number, which can effectively promote Li+ diffusion and guide Li deposition beneath the SEI layer. Therefore, with the protection of the POSS-LiBMAB layer, the Li metal anode exhibits stable cycling at 5 mA cm(-2) for more than 1000 h, and the LFP//Li full cells also present outstanding cycling stability.</t>
  </si>
  <si>
    <t>Xiao, Min/D-5218-2015; han, dongmei/D-5222-2015; wang, shuanjin/E-5066-2013; Zhong, Lei/H-3126-2015; Huang, Sheng/JWO-6797-2024; Zhang, Jianwei/HJA-0011-2022; liu, peng/G-2954-2010</t>
  </si>
  <si>
    <t>Han, Dong mei/0000-0003-1557-0789;</t>
  </si>
  <si>
    <t>10.1002/smll.202102454</t>
  </si>
  <si>
    <t>WOS:000695135400001</t>
  </si>
  <si>
    <t>Zhu, H; Zhang, YL; Li, MY; Luo, JH; Wei, WF; Zhang, SY</t>
  </si>
  <si>
    <t>Zhu, Hai; Zhang, Yaling; Li, Mingyang; Luo, Jinhua; Wei, Weifeng; Zhang, Shiying</t>
  </si>
  <si>
    <t>Constructing a stable interface by 2,4,6-trimethoxyboroxine as an electrolyte additive for Li-rich layered oxide cathode under high voltage</t>
  </si>
  <si>
    <t>Li-rich layered oxides (LLO) feature high delivery capacity are considered the most promising cathodes for the next-generation high-energy-density battery systems. Unfortunately, the LLO cathode suffers from poor cycling stability and fast voltage fading because of structural failure and unstable electrode/electrolyte interphase. Herein, we propose 2,4,6-trimethoxyboroxine (TMBX) as an effective electrolyte additive for enhancing the specific capacity and service life of LLO cathode. Impressively, the LLO/Li cell with 1 wt% TMBX exhibits a specific capacity of 226.3 mAh/g with a considerable cycling retention of 96.1% at 0.5 C after 200 cycles, while the capacity of the baseline cell is only 133.8 mAh/g and the cycling retention is less than 60%. Even at 1 C, the cell using TMBX additive still sustains a capacity retention of as high as 91.1% after 400 cycles. The cell with excellent performance is attributed to TMBX additive which can form a uniform, robust, and boron-rich interface film on both the cathode and anode surfaces simultaneously. Structural characterization and mechanism analysis reveal that TMBX additive can effectively eliminate HF hydrolysis from LiPF6, alleviate the loss of transition metal ions, maintain the integrity of crystal structure and improve the interfacial charge transfer.</t>
  </si>
  <si>
    <t>zhang, yaling/GYV-2775-2022; Wei, Weifeng/B-4613-2011; shiying, zhang/JJD-0690-2023</t>
  </si>
  <si>
    <t>10.1016/j.jelechem.2021.115682</t>
  </si>
  <si>
    <t>WOS:000696964200004</t>
  </si>
  <si>
    <t>Li, T; Zhang, XQ; Yao, N; Yao, YX; Hou, LP; Chen, X; Zhou, MY; Huang, JQ; Zhang, Q</t>
  </si>
  <si>
    <t>Li, Tao; Zhang, Xue-Qiang; Yao, Nan; Yao, Yu-Xing; Hou, Li-Peng; Chen, Xiang; Zhou, Ming-Yue; Huang, Jia-Qi; Zhang, Qiang</t>
  </si>
  <si>
    <t>Stable Anion-Derived Solid Electrolyte Interphase in Lithium Metal Batteries</t>
  </si>
  <si>
    <t>High-energy-density lithium (Li) metal batteries are severely hindered by the dendritic Li deposition dictated by non-uniform solid electrolyte interphase (SEI). Despite its unique advantages in improving the uniformity of Li deposition, the current anion-derived SEI is unsatisfactory under practical conditions. Herein regulating the electrolyte structure of anions by anion receptors was proposed to construct stable anion-derived SEI. Tris(pentafluorophenyl)borane (TPFPB) anion acceptors with electron-deficient boron atoms interact with bis(fluorosulfonyl)imide anions (FSI-) and decrease the reduction stability of FSI-. Furthermore, the type of aggregate cluster of FSI- in electrolyte changes, FSI- interacting with more Li ions in the presence of TPFPB. Therefore, the decomposition of FSI- to form Li2S is promoted, improving the stability of anion-derived SEI. In working Li | LiNi0.5Co0.2Mn0.3O2 batteries under practical conditions, the anion-derived SEI with TPFPB undergoes 194 cycles compared with 98 cycles of routine anion-derived SEI. This work inspires a fresh ground to construct stable anion-derived SEI by manipulating the electrolyte structure of anions.</t>
  </si>
  <si>
    <t>Zhang, Qiang/B-1799-2012; 李, 滔/O-9988-2018; Yao, Nan/AAK-5075-2021; Hou, Li-Peng/ABC-8161-2021; Huang, Jia-Qi/B-7425-2013; Chen, Xiang/C-6926-2017; Zhou, Mingyue/MHR-7128-2025; Li, Tao/O-9988-2018; ZHANG, Xue-Qiang/R-2505-2017</t>
  </si>
  <si>
    <t>Huang, Jia-Qi/0000-0001-7394-9186; Chen, Xiang/0000-0002-7686-6308; Yao, Yu-Xing/0000-0001-6350-1206; Zhou, Mingyue/0000-0001-9843-1439; Li, Tao/0000-0003-0283-4933; Yao, Nan/0000-0003-1965-2917; ZHANG, Xue-Qiang/0000-0003-2856-1881; Zhang, Qiang/0000-0002-3929-1541</t>
  </si>
  <si>
    <t>OCT 11</t>
  </si>
  <si>
    <t>10.1002/anie.202107732</t>
  </si>
  <si>
    <t>WOS:000695459100001</t>
  </si>
  <si>
    <t>Guo, YJ; Wang, PF; Niu, YB; Zhang, XD; Li, QH; Yu, XQ; Fan, M; Chen, WP; Yu, Y; Liu, XF; Meng, QH; Xin, S; Yin, YX; Guo, YG</t>
  </si>
  <si>
    <t>Guo, Yu-Jie; Wang, Peng-Fei; Niu, Yu-Bin; Zhang, Xu-Dong; Li, Qinghao; Yu, Xiqian; Fan, Min; Chen, Wan-Ping; Yu, Yang; Liu, Xiangfeng; Meng, Qinghai; Xin, Sen; Yin, Ya-Xia; Guo, Yu-Guo</t>
  </si>
  <si>
    <t>Boron-doped sodium layered oxide for reversible oxygen redox reaction in Na-ion battery cathodes</t>
  </si>
  <si>
    <t>The irreversible oxygen redox reaction during charging to the high-voltage region causes cathode structural degradation and Na-ion cell capacity fading. Here, the authors report a B-doped cathode active material to mitigate the irreversible oxygen oxidation and increase the cell capacity. Na-ion cathode materials operating at high voltage with a stable cycling behavior are needed to develop future high-energy Na-ion cells. However, the irreversible oxygen redox reaction at the high-voltage region in sodium layered cathode materials generates structural instability and poor capacity retention upon cycling. Here, we report a doping strategy by incorporating light-weight boron into the cathode active material lattice to decrease the irreversible oxygen oxidation at high voltages (i.e., &gt;4.0 V vs. Na+/Na). The presence of covalent B-O bonds and the negative charges of the oxygen atoms ensures a robust ligand framework for the NaLi1/9Ni2/9Fe2/9Mn4/9O2 cathode material while mitigating the excessive oxidation of oxygen for charge compensation and avoiding irreversible structural changes during cell operation. The B-doped cathode material promotes reversible transition metal redox reaction enabling a room-temperature capacity of 160.5 mAh g(-1) at 25 mA g(-1) and capacity retention of 82.8% after 200 cycles at 250 mA g(-1). A 71.28 mAh single-coated lab-scale Na-ion pouch cell comprising a pre-sodiated hard carbon-based anode and B-doped cathode material is also reported as proof of concept.</t>
  </si>
  <si>
    <t>; Chen, Wanping/JGL-6387-2023; Li, Qinghao/Q-8822-2019; Guo, Yu-Guo/A-1223-2009; Yin, Ya-Xia/H-2251-2017; Xin, Sen/AEF-6518-2022; Hou, Guangjin/AAW-6736-2021; Wang, Peng-Fei/A-7375-2017; Yu, Yang/R-6940-2016; Niu, Yu-Bin/L-7774-2019; Meng, Qinghai/U-9357-2017; Yu, Xiqian/B-5574-2014; Liu, Xiangfeng/AAG-2550-2020; Liu, Xiangfeng/F-8541-2015</t>
  </si>
  <si>
    <t>Niu, Yubin/0009-0007-1824-5064; Li, Qinghao/0000-0002-5498-5066; Wang, Peng-Fei/0000-0001-9882-5059; Yu, Xiqian/0000-0001-8513-518X; Yu, Yang/0000-0003-0146-6374; Liu, Xiangfeng/0000-0001-9633-7721</t>
  </si>
  <si>
    <t>SEP 6</t>
  </si>
  <si>
    <t>10.1038/s41467-021-25610-7</t>
  </si>
  <si>
    <t>WOS:000694666900032</t>
  </si>
  <si>
    <t>Zhang, M; Zhu, M; Dai, WL; Yao, CC; Zhu, XQ; Chen, ZG; Liu, CB; Chen, F</t>
  </si>
  <si>
    <t>Zhang, Meng; Zhu, Min; Dai, Weilong; Yao, Congcong; Zhu, Xinqi; Chen, Zhigang; Liu, Chengbao; Chen, Feng</t>
  </si>
  <si>
    <t>Surface coating with Li3BO3 protection layer to enhance the electrochemical performance and safety properties of Ni-rich LiNi0.85Co0.05Mn0.10O2 cathode material</t>
  </si>
  <si>
    <t>POWDER TECHNOLOGY</t>
  </si>
  <si>
    <t>To enhance the electrochemical properties and safety performance of Ni-rich cathode materials for Lithium-ion batteries, a typical wet chemical method followed by high temperature sintering was applied to make the Li+ conductive Li3BO3 with different mass fractions cover on the surface of Ni-rich LiNi0.85Co0.05Mn0.10O2. And the influence of the coating layer on the phase, crystal structure, particles morphology and electrochemical properties during cycling were systematically studied. The physicochemical characterization results suggested a coating layer with a thickness of 10-15 nm formed by Li3BO3 nanoparticles was equably adhered on the surface of cathode particles, without causing obvious variation of the crystal structure and morphology. The electrochemical measurement indicated the suitable amount of Li3BO3 coating layer could effectively enhance the rate capability, discharge ability at low temperature and cycling performance of LiNi0.85Co0.05Mn0.10O2 due to the increased Li+ diffusion rate and restrained side reaction from electrode with electrolyte. Particularly, the 2 wt% Li3BO3 coated LiNi0.85Co0.05Mn0.10O2 respectively delivered a capacity retention of 91.4% and 90.1% at 25 degrees C and 45 degrees C after 300 cycles, and the pristine one merely retained a capacity retention of 83.9% and 80.4% accordingly. Besides, the pouch full batteries with 2 wt% Li3BO3 coated LiNi0.85Co0.05Mn0.10O2 cathode demonstrated the obvious enhancement on the safety properties and storage performance when compared to the pristine one for the pouch batteries (c) 2021 Elsevier B.V. All rights reserved.</t>
  </si>
  <si>
    <t>CHEN, FENG/0000-0002-1900-1332</t>
  </si>
  <si>
    <t>0032-5910</t>
  </si>
  <si>
    <t>1873-328X</t>
  </si>
  <si>
    <t>10.1016/j.powtec.2021.08.083</t>
  </si>
  <si>
    <t>WOS:000709513800002</t>
  </si>
  <si>
    <t>Küpers, V; Dohmann, JF; Bieker, P; Winter, M; Placke, T; Kolek, M</t>
  </si>
  <si>
    <t>Kuepers, Verena; Dohmann, Jan Frederik; Bieker, Peter; Winter, Martin; Placke, Tobias; Kolek, Martin</t>
  </si>
  <si>
    <t>Opportunities and Limitations of Ionic Liquid- and Organic Carbonate Solvent-Based Electrolytes for Mg-Ion-Based Dual-Ion Batteries</t>
  </si>
  <si>
    <t>Dual-ion batteries (DIBs) offer a great alternative to state-of-the-art lithium-ion batteries, based on their high promises due to the absence of transition metals and the use of low-cost materials, which could make them economically favorable targeting stationary energy storage applications. In addition, they are not limited by certain metal cations, and DIBs with a broad variety of utilized ions could be demonstrated over the last years. Herein, a systematic study of different electrolyte approaches for Mg-ion-based DIBs was conducted. A side-by-side comparison of Li- and Mg-ion-based electrolytes using activated carbon as negative electrode revealed the opportunities but also limitations of Mg-ion-based DIBs. Ethylene sulfite was successfully introduced as electrolyte additive and increased the specific discharge capacity significantly up to 93 +/- 2 mAh g(-1) with coulombic efficiencies over 99 % and an excellent capacity retention of 88 % after 400 cycles. In addition, and for the first time, highly concentrated carbonate-based electrolytes were employed for Mg-ion-based DIBs, showing adequate discharge capacities and high coulombic efficiencies.</t>
  </si>
  <si>
    <t>; Winter, Martin/AEY-7433-2022; Placke, Tobias/M-4067-2017; Dohmann, Jan/E-5698-2017; Placke, Tobias/HDN-1338-2022; Kolek, Martin/AAP-5780-2020; Dohmann, Jan Frederik/E-5698-2017</t>
  </si>
  <si>
    <t>Kolek, Martin/0000-0001-7852-4064; Kupers, Verena/0000-0003-0193-1088; Bieker, Peter/0000-0003-4378-4805; Placke, Tobias/0000-0002-2097-5193; Winter, Martin/0000-0003-4176-5811; Dohmann, Jan Frederik/0000-0001-9870-0766</t>
  </si>
  <si>
    <t>10.1002/cssc.202101227</t>
  </si>
  <si>
    <t>WOS:000692039600001</t>
  </si>
  <si>
    <t>Clarke-Hannaford, J; Breedon, M; Rüther, T; Spencer, MJS</t>
  </si>
  <si>
    <t>Clarke-Hannaford, Jonathan; Breedon, Michael; Ruther, Thomas; Spencer, Michelle J. S.</t>
  </si>
  <si>
    <t>Fluorinated Boron-Based Anions for Higher Voltage Li Metal Battery Electrolytes</t>
  </si>
  <si>
    <t>Lithium metal batteries (LMBs) require an electrolyte with high ionic conductivity as well as high thermal and electrochemical stability that can maintain a stable solid electrolyte interphase (SEI) layer on the lithium metal anode surface. The borate anions tetrakis(trifluoromethyl)borate ([B(CF3)(4)](-)), pentafluoroethyltrifluoroborate ([(C2F5)BF3](-)), and pentafluoroethyldifluorocyanoborate ([(C2F5)BF2(CN)](-)) have shown excellent physicochemical properties and electrochemical stability windows; however, the suitability of these anions as high-voltage LMB electrolytes components that can stabilise the Li anode is yet to be determined. In this work, density functional theory calculations show high reductive stability limits and low anion-cation interaction strengths for Li[B(CF3)(4)], Li[(C2F5)BF3], and Li[(C2F5)BF2(CN)] that surpass popular sulfonamide salts. Specifically, Li[B(CF3)(4)] has a calculated oxidative stability limit of 7.12 V vs. Li+/Li-0 which is significantly higher than the other borate and sulfonamide salts (&lt;= 6.41 V vs. Li+/Li-0). Using ab initio molecular dynamics simulations, this study is the first to show that these borate anions can form an advantageous LiF-rich SEI layer on the Li anode at room (298 K) and elevated (358 K) temperatures. The interaction of the borate anions, particularly [B(CF3)(4)](-), with the Li+ and Li anode, suggests they are suitable inclusions in high-voltage LMB electrolytes that can stabilise the Li anode surface and provide enhanced ionic conductivity.</t>
  </si>
  <si>
    <t>Spencer, Michelle/D-6637-2011; Clarke-Hannaford, Jonathan/AAD-8402-2020; Ruether, Thomas/AAH-9438-2021; Breedon, Michael/F-9031-2013</t>
  </si>
  <si>
    <t>Clarke-Hannaford, Jonathan/0000-0002-9134-7442; Spencer, Michelle J.S./0000-0003-4646-1550; Ruether, Thomas/0000-0003-4109-558X</t>
  </si>
  <si>
    <t>10.3390/nano11092391</t>
  </si>
  <si>
    <t>WOS:000701806300001</t>
  </si>
  <si>
    <t>Pu, J; Zhang, K; Wang, ZH; Li, CW; Zhu, KP; Yao, YG; Hong, G</t>
  </si>
  <si>
    <t>Pu, Jun; Zhang, Kai; Wang, Zhenghua; Li, Chaowei; Zhu, Kaiping; Yao, Yagang; Hong, Guo</t>
  </si>
  <si>
    <t>Synthesis and Modification of Boron Nitride Nanomaterials for Electrochemical Energy Storage: From Theory to Application</t>
  </si>
  <si>
    <t>As a conventional insulating material, boron nitride (BN) has been mainly investigated in the electronics field. Very recently, with the development of preparation/modification technology and deeper understanding of the electrochemical mechanisms, BN-based nanomaterials have made significant progress in the field of electrochemistry. Exploiting the characteristics of BN for advanced electrochemical devices is expected to be a breakthrough that will stimulate a new energy revolution. Owing to its chemical and thermal stability, as well as its high mechanical strength, BN can alleviate various inherent problems in electrochemical systems, such as thermal deformation of conventional organic separators, weak solid electrolyte interface layers of metal anodes, and electrocatalyst poisoning. The integration of BN with various electrochemical energy technologies is systematically summarized from the perspectives of material preparation, theoretical calculations, and practical applications. Moreover, the challenges and prospects for the future development of BN-based electrochemistry are highlighted.</t>
  </si>
  <si>
    <t>; Hong, Guo/HOH-1836-2023; Pu, Jun/T-2313-2017; Wang, Zhenghua/R-9183-2017</t>
  </si>
  <si>
    <t>Li, Chaowei/0000-0003-2213-1231; Hong, Guo/0000-0002-5658-2244; Pu, Jun/0000-0001-9393-3798;</t>
  </si>
  <si>
    <t>10.1002/adfm.202106315</t>
  </si>
  <si>
    <t>AUG 2021</t>
  </si>
  <si>
    <t>WOS:000690693200001</t>
  </si>
  <si>
    <t>Zhou, BH; Zhou, Y; Lai, LJ; Chen, ZL; Li, JJ; Jiang, YL; Liu, J; Wang, ZP; Xue, ZG</t>
  </si>
  <si>
    <t>Zhou, Binghua; Zhou, Ying; Lai, Lujie; Chen, Ziling; Li, Jiajia; Jiang, Yunliang; Liu, Jian; Wang, Zhipeng; Xue, Zhigang</t>
  </si>
  <si>
    <t>Fabrication of Borate-Based Porous Polymer Electrolytes Containing Cyclic Carbonate for High-Performance Lithium Metal Batteries</t>
  </si>
  <si>
    <t>A series of borate-based porous polymer electrolytes (B-PPEs) is prepared by incorporating the copolymers containing cyclic boroxine and cyclic carbonate groups into poly(vinylidene fluoride) (PVDF) through the phase inversion method. The dense and well-interconnected pores are obtained in the polymer matrix when the content of the copolymer reached 40 wt %. The ethylene-oxygen chain segments in the copolymer can facilitate the mobility of polymer chains and form the uniform distribution of pores in the B-PPEs. The B-PPEs show an enhanced ionic conductivity of 1.32 x 10(-3) S cm(-1) at 30 degrees C, which is due to the uniform well-interconnected pores in the polymer host. The cyclic carbonate units interact with the liquid electrolyte, which could improve the electrolyte uptake capacity of the polymer matrix. Benefited from the Lewis acid-base interactions between boron moieties and the anions of the lithium salt, the lithium-ion transference number of B-PPEs is also significantly improved. Compared to the pure PVDF-based electrolyte, the Li/B-PPEs/Li cell displays a very stable polarization voltage and the long-time cycling for 1000 h at a current density of 0.2 mA cm(-2). Moreover, the Li/B-PPEs/LiFePO4 cells deliver a higher capacity of 143.0 mAh g(-1) at 0.2 C and 86% capacity retention after 150 cycles. The B-PPEs could be a promising candidate for enhancing the safety and electrochemical properties of lithium metal batteries.</t>
  </si>
  <si>
    <t>Jia, li/GPW-8015-2022; Xue, Zhigang/E-4484-2014; Jia, Lihua/ISU-7832-2023; Wang, Zhipeng/L-2789-2013</t>
  </si>
  <si>
    <t>Xue, Zhigang/0000-0003-2335-9537; Zhou, Binghua/0000-0002-2482-769X; Wang, Zhipeng/0000-0003-4415-7213; Liu, Jian/0000-0001-9765-9722;</t>
  </si>
  <si>
    <t>SEP 27</t>
  </si>
  <si>
    <t>10.1021/acsaem.1c01724</t>
  </si>
  <si>
    <t>WOS:000703338600093</t>
  </si>
  <si>
    <t>Zhuang, ZP; Dai, X; Dong, WD; Jiang, LQ; Wang, L; Li, CF; Yang, JX; Wu, L; Hu, ZY; Liu, J; Chen, LH; Li, Y; Su, BL</t>
  </si>
  <si>
    <t>Zhuang, Zhi-Peng; Dai, Xin; Dong, Wen-Da; Jiang, Li-Qi; Wang, Lang; Li, Chao-Fan; Yang, Jiu-Xiang; Wu, Liang; Hu, Zhi-Yi; Liu, Jing; Chen, Li-Hua; Li, Yu; Su, Bao-Lian</t>
  </si>
  <si>
    <t>Tris(trimethylsilyl) borate as electrolyte additive alleviating cathode electrolyte interphase for enhanced lithium-selenium battery</t>
  </si>
  <si>
    <t>Lithium-selenium (Li-Se) batteries have attracted increasing attentions in recent years because of their high energy density and theoretical capacity. One of the keys that influences the cycle stability of Se cathode is the formation of a stable cathode electrolyte interphase (CEI) film between the cathode material and electrolyte. In this work, we report utilizing tris(trimethylsilyl) borate (TMSB) as electrolyte additive to promote the formation of stable CEI film for enhanced Li-Se battery. The TMSB containing electron-deficient boron atoms easily adsorb electron-rich F(- )and PFx- to form polyanionic groups, which suppress the formation of insulating LiF in the CEI film, promoting the conductivity and stability of the cathode. Furthermore, the TMSB adsorbing PFx- releases more active Li+ for reaction to improve the capacity. These largely improve the compatibility of the electrolyte and the electrode material interface, significantly reducing the interface impedance and increasing the rate capability. As the result, the system with 1 wt% TMSB exhibits a high specific discharge capacity of 462 mA h g(-1) at 1 C after 500 cycles, showing 130% improvement for the cathode without TMSB. Our work here confirms that TMSB as electrolyte additive can effectively improve the electrochemical performance of Li-Se batteries. (C) 2021 Elsevier Ltd. All rights reserved.</t>
  </si>
  <si>
    <t>Hu, Zhiyi/LEL-9073-2024; Li, Yu/E-2389-2013; chen, lihua/KQU-9125-2024</t>
  </si>
  <si>
    <t>Li, Yu/0000-0002-1282-5312; Su, Bao-Lian/0000-0001-8474-0652;</t>
  </si>
  <si>
    <t>10.1016/j.electacta.2021.139042</t>
  </si>
  <si>
    <t>WOS:000692096000012</t>
  </si>
  <si>
    <t>Ren, W; Wu, D; NuLi, YN; Zhang, D; Yang, Y; Wang, Y; Yang, J; Wang, JL</t>
  </si>
  <si>
    <t>Ren, Wen; Wu, Di; NuLi, Yanna; Zhang, Duo; Yang, Yang; Wang, Ying; Yang, Jun; Wang, Jiulin</t>
  </si>
  <si>
    <t>An Efficient Bulky Mg[B(Otfe)4]2 Electrolyte and Its Derivatively General Design Strategy for Rechargeable Magnesium Batteries</t>
  </si>
  <si>
    <t>The requirement of practical high-performance electrolytes is a key bottleneck restricting the development of rechargeable magnesium batteries (RMBs). Electrolytes based on weakly coordinated and fluorinated bulky boron-center anions (B(ORF)(4)(-)) have attracted wide attention for their admirable oxidation stability, high ionic conductivity, and weak corrosion. However, the complex synthesis route and costly raw materials still hinder their wide application. Therefore, a magnesium tetra(trifluoroethanoloxy)borate (Mg[B(Otfe)(4)](2)) is designed not only to inherit these merits above but also greatly cut down the synthetic costs. The as-prepared electrolyte is synthesized by two methods of microcrystal redissolution and in situ reaction, both of them cycle stably for reversible Mg plating-stripping with an average Coulombic efficiency of similar to 99% and overpotentials as low as 0.2 V, as well as an oxidation stability of more than 3 V vs Mg at stainless steel. The design strategy of the electrolyte and its compatibility with insertion or replacement-type cathodes promote the realization of practical RMBs.</t>
  </si>
  <si>
    <t>10.1021/acsenergylett.1c01411</t>
  </si>
  <si>
    <t>WOS:000696180500022</t>
  </si>
  <si>
    <t>Li, Y; Hood, ZD; Holzwarth, NAW</t>
  </si>
  <si>
    <t>Li, Yan; Hood, Zachary D.; Holzwarth, N. A. W.</t>
  </si>
  <si>
    <t>Computational study of Li3BO3 and Li3BN2 I: Electrolyte properties of pure and doped crystals</t>
  </si>
  <si>
    <t>PHYSICAL REVIEW MATERIALS</t>
  </si>
  <si>
    <t>Both Li3BO3 and Li3BN2 materials have promising properties for use in all-solid-state batteries and other technologies dependent on electrolytes with significant ionic conductivity. As the first of a two-part study, this paper reports the analysis of detailed simulations of Li ion diffusion in the monoclinic forms of these materials. Using both NEB and MD methods, it is clear that Li ion migration via vacancy mechanisms provides the most efficient ion transport in each material. While the results suggest that interstitial defects in these materials do not play a direct role in Li ion migration, their relative stability seems to enhance vacancy production via the formation of Frenkel-type defects. This may partially explain why the Li ion conductivities computed from MD simulations of samples initially containing a single Li ion vacancy are in reasonable agreement with measured values of this work for Li3BO3 and those reported in the literature for poorly crystalline samples of both materials. The possibility of increasing vacancy concentrations by substitutional doping (F for O in Li3BO3 and C for B in Li3BN2) is also examined, finding simulated conductivities comparable to those of the ideal vacancy model.</t>
  </si>
  <si>
    <t>; Hood, Zachary/Q-1639-2019</t>
  </si>
  <si>
    <t>Hood, Zachary/0000-0002-5720-4392; Holzwarth, Natalie/0000-0001-5492-0660;</t>
  </si>
  <si>
    <t>2475-9953</t>
  </si>
  <si>
    <t>AUG 17</t>
  </si>
  <si>
    <t>10.1103/PhysRevMaterials.5.085402</t>
  </si>
  <si>
    <t>WOS:000686915800002</t>
  </si>
  <si>
    <t>Zhang, XL; Guo, WY; Zhou, LZ; Xu, QJ; Min, YL</t>
  </si>
  <si>
    <t>Zhang, XinLong; Guo, WenYao; Zhou, Luozeng; Xu, Qunjie; Min, Yulin</t>
  </si>
  <si>
    <t>Surface-modified boron nitride as a filler to achieve high thermal stability of polymer solid-state lithium-metal batteries</t>
  </si>
  <si>
    <t>Solid polymer electrolytes with low density, low cost, and excellent processability have been the ideal choice for researchers. However, their thermal stability and mechanical properties are so inadequate that it is difficult for them to withstand a sufficiently high temperature and to effectively suppress Li dendrites. PEO cannot inhibit dendrite growth by itself, particularly when the battery is operated at a higher temperature (&gt;80 degrees C) and the mechanical properties of PEO are significantly reduced. At high temperatures, the growth of lithium dendrites is an important factor affecting the cycle life of Li-metal batteries. Therefore, polymer electrolytes with high mechanical strength and excellent thermal stability can overcome the problems associated with Li-metal anodes and realize the application of rechargeable Li batteries in high-temperature situations. Herein, we prepared a polyethylene oxide (PEO) composite polymer electrolyte (CPE) with thermal stability and high mechanical strength via the modification of hexagonal boron nitride nanosheets (h-BNNS). The surface modification of h-BN enhanced the interface interaction between h-BNs and improved the thermal conductivity, thereby greatly enhancing the thermal stability of the battery. At the same time, the surface modification of h-BN enlarged the effective specific surface area of the filler, promoting the interaction with the Lewis acid-base of the anion, and helping the dissociation of Li salts to release more Li+ ions. This type of One Sagittal Two Piercing effect enabled the Li/LiFePO4 full battery with PEO/LiTFSI/SiO2@BNNS (PLSB) composite electrolyte to perform long-term cycles (900 cycles). Even when the battery was operated at a temperature as high as 150 degrees C, it could cycle stably for more than 1000 cycles at a rate of 2C, making the lithium metal battery suitable for operation at higher temperatures.</t>
  </si>
  <si>
    <t>yulin, min/0000-0001-6305-0476</t>
  </si>
  <si>
    <t>10.1039/d1ta05410d</t>
  </si>
  <si>
    <t>WOS:000691877100001</t>
  </si>
  <si>
    <t>Cao, Z; Zheng, XY; Qu, QT; Huang, YH; Zheng, HH</t>
  </si>
  <si>
    <t>Cao, Zhang; Zheng, Xueying; Qu, Qunting; Huang, Yunhui; Zheng, Honghe</t>
  </si>
  <si>
    <t>Electrolyte Design Enabling a High-Safety and High-Performance Si Anode with a Tailored Electrode-Electrolyte Interphase</t>
  </si>
  <si>
    <t>Silicon (Si) anodes are advantageous for application in lithium-ion batteries in terms of their high theoretical capacity (4200 mAh g(-1)), appropriate operating voltage (&lt;0.4 V vs Li/Li+), and earth-abundancy. Nevertheless, a large volume change of Si particles emerges with cycling, triggering unceasing breakage/re-formation of the solid-electrolyte interphase (SEI) and thereby the fast capacity degradation in traditional carbonate-based electrolytes. Herein, it is demonstrated that superior cyclability of Si anode is achievable using a nonflammable ether-based electrolyte with fluoroethylene carbonate and lithium oxalyldifluoroborate dual additives. By forming a high-modulus SEI rich in fluoride (F) and boron (B) species, a high initial Coulombic efficiency of 90.2% is attained in Si/Li cells, accompanied with a low capacity-fading rate of only 0.0615% per cycle (discharge capacity of 2041.9 mAh g(-1) after 200 cycles). Full cells pairing the unmodified Si anode with commercial LiFePO4 (approximate to 13.92 mg cm(-2)) and LiNi0.5Mn0.3Co0.2O2 (approximate to 17.9 mg cm(-2)) cathodes further show extended service life to 150 and 60 cycles, respectively, demonstrating the superior cathode-compatibility realized with a thin and F, B-rich cathode electrolyte interface. This work offers an easily scalable approach in developing high-performance Si-based batteries through Si/electrolyte interphase regulation.</t>
  </si>
  <si>
    <t>Cao, Zhang/0000-0001-9726-2100</t>
  </si>
  <si>
    <t>10.1002/adma.202103178</t>
  </si>
  <si>
    <t>WOS:000680529800001</t>
  </si>
  <si>
    <t>Fan, XL; Wang, CS</t>
  </si>
  <si>
    <t>Fan, Xiulin; Wang, Chunsheng</t>
  </si>
  <si>
    <t>High-voltage liquid electrolytes for Li batteries: progress and perspectives</t>
  </si>
  <si>
    <t>Since the advent of the Li ion batteries (LIBs), the energy density has been tripled, mainly attributed to the increase of the electrode capacities. Now, the capacity of transition metal oxide cathodes is approaching the limit due to the stability limitation of the electrolytes. To further promote the energy density of LIBs, the most promising strategies are to enhance the cut-off voltage of the prevailing cathodes or explore novel high-capacity and high-voltage cathode materials, and also replacing the graphite anode with Si/Si-C or Li metal. However, the commercial ethylene carbonate (EC)-based electrolytes with relatively low anodic stability of similar to 4.3 V vs. Li+/Li cannot sustain high-voltage cathodes. The bottleneck restricting the electrochemical performance in Li batteries has veered towards new electrolyte compositions catering for aggressive next-generation cathodes and Si/Si-C or Li metal anodes, since the oxidation-resistance of the electrolytes and the in situ formed cathode electrolyte interphase (CEI) layers at the high-voltage cathodes and solid electrolyte interphase (SEI) layers on anodes critically control the electrochemical performance of these high-voltage Li batteries. In this review, we present a comprehensive and in-depth overview on the recent advances, fundamental mechanisms, scientific challenges, and design strategies for the novel high-voltage electrolyte systems, especially focused on stability issues of the electrolytes, the compatibility and interactions between the electrolytes and the electrodes, and reaction mechanisms. Finally, novel insights, promising directions and potential solutions for high voltage electrolytes associated with effective SEI/CEI layers are proposed to motivate revolutionary next-generation high-voltage Li battery chemistries.</t>
  </si>
  <si>
    <t>; Fan, Xiulin/AAY-9245-2020; Wang, Chunsheng/H-5767-2011</t>
  </si>
  <si>
    <t>Wang, Chunsheng/0000-0002-8626-6381; Fan, Xiulin/0000-0001-7294-480X;</t>
  </si>
  <si>
    <t>SEP 21</t>
  </si>
  <si>
    <t>10.1039/d1cs00450f</t>
  </si>
  <si>
    <t>WOS:000680430500001</t>
  </si>
  <si>
    <t>Rani, P; Kumar, KS; Pathak, AD; Sharma, CS</t>
  </si>
  <si>
    <t>Rani, Poonam; Kumar, Krishna S.; Pathak, Anil D.; Sharma, Chandra S.</t>
  </si>
  <si>
    <t>Carbon-Based Hybrid Interlayer to Anchor the Shuttling of Polysulfides for High-Performance Lithium-Sulfur Batteries</t>
  </si>
  <si>
    <t>The next-generation lithium-sulfur (Li-S) batteries have been under intense research for the last two decades due to the problem of soluble polysulfides. This dissolution of polysulfides in electrolytes leads to the rapid fading of battery capacity, short cycle life, and self-discharge. To resolve these critical issues, we demonstrate a 3D interconnected network of micro-glass fiber (Mgf) coated with glucose-derived carbon as an interlayer (C_IL). The microscopic and structural characterization illustrates the mesoporous structure of the interlayer that traps the intermediate polysulfide. Also, it provides a conducting path to electrons, exhibiting enhanced electrochemical performance of Li-S batteries. To examine the role of carbon, we have also used the pyrolyzed micro-glass fiber (Py_Mgf) as a separator. The Py_Mgf shows improved electrochemical performance over the conventional separator. C_IL, on the other hand, demonstrates a high discharge capacity of 1389 mA h g(-1) at the current density of 0.5 A g(-1) (C/5) with an excellent Columbic efficiency of 90% over 100 cycles each. The improvement in the electrochemical performance is also evident from the density functional theory calculation, H-cell adsorption studies, and UV-vis spectra of collected samples from the H-cell at every interval of 3 h.</t>
  </si>
  <si>
    <t>; SHARMA, CHANDRA/MIN-0449-2025; Rani, Poonam/GXV-5033-2022; Pathak, Anil/JVY-6940-2024</t>
  </si>
  <si>
    <t>Rani, Poonam/0000-0003-2195-3460; Pathak, Anil D/0000-0003-3136-4969; Sharma, Chandra/0000-0003-3821-1471</t>
  </si>
  <si>
    <t>AUG 23</t>
  </si>
  <si>
    <t>10.1021/acsaem.1c01522</t>
  </si>
  <si>
    <t>JUL 2021</t>
  </si>
  <si>
    <t>WOS:000688250200090</t>
  </si>
  <si>
    <t>Liu, Y; Zhang, T; Duan, YE; Dai, X; Tan, Q; Chen, YZ; Liu, YN</t>
  </si>
  <si>
    <t>Liu, Yan; Zhang, Tao; Duan, Yu E.; Dai, Xin; Tan, Qiang; Chen, Yuanzhen; Liu, Yongning</t>
  </si>
  <si>
    <t>N,O-codoped carbon spheres with uniform mesoporous entangled Co3O4 nanoparticles as a highly efficient electrocatalyst for oxygen reduction in a Zn-air battery</t>
  </si>
  <si>
    <t>Highly efficient electrochemical catalysts for oxygen reduction reactions (ORRs) are urgently needed for various energy conversion and storage devices to overcome sluggish ORR kinetics. Here, N,O-codoped carbon spheres with uniform mesopores and a high specific surface area were used as supports for decorating Co3O4 nanoparticles via a facile immersion route. In addition to the benefit of ions and gas mass transfer, the abundant mesopores present in the three-dimensional (3D) carbon spheres also confine and isolate the Co3O4 nanoparticles growing in it, which help to provide rich Co3O4 active sites. The resulting hybrid material exhibits superior ORR activity in terms of even-better half-wave potential and stability than that of commercial Pt/C (40 wt%) in 0.1 M KOH electrolyte. To verify its catalytic activity, the hybrid material was employed as the cathode catalyst in a flexible solid-state zinc-air battery, which achieves a high power density of 227 mW cm(-2); this power density is much higher than that of a Pt/C catalytic zinc-air battery (133 mW cm(2)) under identical conditions. The improvement in catalytic activity in both aqueous and nonaqueous electrolytes can be attributed to the abundant active sites of the entangled Co3O4 nanoparticles, as well as the novel N,O-codoped carbon structure. (C) 2021 Elsevier Inc. All rights reserved.</t>
  </si>
  <si>
    <t>Chen, Yuanzhen/M-5518-2017; DAI, XIN/AAL-3706-2021; Tan, Qiang/ABI-1301-2020; ZHANG, TAO/ITV-6162-2023</t>
  </si>
  <si>
    <t>Zhang, Tao/0000-0003-2621-304X;</t>
  </si>
  <si>
    <t>10.1016/j.jcis.2021.07.040</t>
  </si>
  <si>
    <t>WOS:000704406800002</t>
  </si>
  <si>
    <t>Zeng, XF; Dong, LN; Fu, JF; Chen, LY; Zhou, J; Zong, PS; Liu, GZ; Shi, LY</t>
  </si>
  <si>
    <t>Zeng, Xingfa; Dong, Linna; Fu, Jifang; Chen, Liya; Zhou, Jia; Zong, Peisong; Liu, Guozhen; Shi, Liyi</t>
  </si>
  <si>
    <t>Enhanced interfacial stability with a novel boron-centered crosslinked hybrid polymer gel electrolytes for lithium metal batteries</t>
  </si>
  <si>
    <t>Low coulombic efficiency and serious safety issues due to uncontrollable lithium dendrite growth has severely impeded the practical application of lithium-ion batteries (LIBs) with lithium metal as the anode. In this work, we design and fabricate a novel single ion conducting crosslinked polymer gel electrolytes containing negatively charged delocalized state borate structures and rich EO units via one-step photoinitiated in-situ radical polymerization in presence of PVDF-HFP as reinforcing materials. Herein, we synthesize a novel lithium bis(macid acid) borate to give anion covalently bonded to the polymer main chain and vinyl monomers containing rich EO units are chosen to build polymer framework to ensure fast ion transport. As expected, the tailored boron centered single-ion-conducting polymer gel electrolytes exhibit high ionic conductivity up to 1.03x10(-3) S cm(-1) at 32 degrees C, excellent oxidation potential up to 5.05 V vs Li+/Li at 1 mV/s, and a near-single ion conducting behavior (lithium ion transference number of 0.65). The Lithium (Li) metal symmetric cells assembled with the novel boron-centered single-ion-conducting polymer gel electrolytes show long-term stable cycling over &gt;700 h at room temperature without short circuit, which implies the excellent stability of blend membranes during lithium metal deposition and stripping processes. Moreover, the Li/LiFePO4 cells assembled with the boron centered single-ion-conducting polymer gel electrolytes exhibit excellent rate performance and cycling performance. The initial discharge capacity is 161.3 mAh g(-1) at 0.1 C and a capacity of 127.7 mAh g(-1) maintains with nearly 100% coulombic efficiency after 100 cycles. Moreover, the Li/LiFePO4 cells deliver stable coulombic efficiency close to 100% at 0.5 C after 300 cycles.</t>
  </si>
  <si>
    <t>Shi, Liyi/AAV-1235-2021; Liu, Guozhen/ABC-9078-2021; Fu, Jifang/F-1700-2017; jiayi, zhou/AAF-8793-2019</t>
  </si>
  <si>
    <t>10.1016/j.cej.2021.131100</t>
  </si>
  <si>
    <t>WOS:000710916400002</t>
  </si>
  <si>
    <t>Hou, XK; Li, SF; Li, WH; Liang, HJ; Gu, ZY; Luo, XX; Wu, XL</t>
  </si>
  <si>
    <t>Hou, Xian-Kun; Li, Shao-Fang; Li, Wen-Hao; Liang, Hao-Jie; Gu, Zhen-Yi; Luo, Xiao-Xi; Wu, Xing-Long</t>
  </si>
  <si>
    <t>Electrolyte Chemistry Towards Improved Cycling Stability in Na-Based Dual-Ion Batteries with High-Power/Energy Storage</t>
  </si>
  <si>
    <t>Dual-ion batteries (DIBs) have attracted great research interests owing to the co-utilization of cation and anion as charge carriers. Unlike the low energy density (E-den) of supercapacitors and halogen-ion batteries also with anion working, graphite-cathode-based DIBs exhibit obviously higher E-den with high working voltage. However, general electrolytes cannot satisfy the high-energy demand for Na-based DIBs with high power density. Herein, we design an effective electrolyte with optimized performance to limit the occurrence of side reactions during cycling, improving the cycling stability and E-den of Na-based DIBs. Such electrolyte-modified Na-DIBs exhibit higher discharge plateau and specific capacity compared to the pristine batteries, contribute preeminent E-den of 370.4 Wh/kg at a high-power density of 8888.4 W/kg (2.0 A/g), and deliver higher capacity retention of 72 % after 1000 cycles under 40 degrees C (1.0 A/g). All of these improvements are attributed to the interphase protection of anode/cathode by modified electrolyte, and the increase of diffusion ability under high potential. This strategy not only provides reference significance for enhancing the performance of DIBs, but also promotes the development of DIBs with high-power/energy and long-term cycle working condition.</t>
  </si>
  <si>
    <t>; Wu, Xing-Long/J-8388-2012; Li, Wenhao/IQW-3235-2023</t>
  </si>
  <si>
    <t>li, wenhao/0009-0009-6173-3535; Wu, Xing-Long/0000-0003-1069-9145;</t>
  </si>
  <si>
    <t>10.1002/batt.202100124</t>
  </si>
  <si>
    <t>WOS:000668754700001</t>
  </si>
  <si>
    <t>Kang, CSM; Yunis, R; Zhu, HJ; Doherty, CM; Hutt, OE; Pringle, JM</t>
  </si>
  <si>
    <t>Kang, Colin S. M.; Yunis, Ruhamah; Zhu, Haijin; Doherty, Cara M.; Hutt, Oliver E.; Pringle, Jennifer M.</t>
  </si>
  <si>
    <t>Ionic liquids and plastic crystals utilising the oxazolidinium cation: the effect of ether functionality in the ring</t>
  </si>
  <si>
    <t>The development of safer electrolytes is critical for the advancement of electrochemical energy storage applications. Ionic Liquids (ILs) and Organic Ionic Plastic Crystals (OIPCs) are attractive choices as electrolytes due to their high thermal stabilities and intrinsic ionic conductivities. However, fundamental understanding of the impact of cation and anion choice, to form ILs or OIPCs, is still lacking, particularly with regard to how this can affect the electrolyte properties. In this work, we explore the synthesis and characterisation of several oxazolidinium-based salts to understand the effect of the ether functional group in the cation ring. Specifically, we investigate the 3,3-dimethyloxazolidinium ([C(1)moxa](+)) cation, paired with dicyanamide ([DCA](-)), bis(fluorosulfonyl)imide ([FSI](-)), bis(trifluoromethanesulfonyl)imide ([TFSI](-)), tetrafluoroborate ([BF4](-)) and hexafluorophosphate ([PF6](-)) anions. In addition to investigating the influence of the anion, the effect of changing the cation side chain is examined with 3-ethyl-3-methyloxazolidinium bis(fluorosulfonyl)imide ([C(2)moxa][FSI]). Studies of thermal behaviour revealed that these oxazolidinium-based salts can be highly disordered and exhibit wide phase I temperature ranges. The transport properties of the salts were determined by examining the ionic conductivity, ion dynamics using solid-state Nuclear Magnetic Resonance (NMR) analysis, and the free volume through Positron Annihilation Spectroscopy (PALS). It was found that oxazolidinium-based salts exhibit faster ion transport than the equivalent pyrrolidinium-based salts, which is consistent with the larger free volume. Hence, oxazolidinium-based salts demonstrate scope as promising electrolytes for battery applications due to their high ionic conductivity and good thermal and electrochemical stability.</t>
  </si>
  <si>
    <t>; Hutt, Oliver/B-5064-2014; Doherty, Cara/AAY-1334-2020; Zhu, Haijin/H-1010-2016; Pringle, Jennifer/D-5459-2012</t>
  </si>
  <si>
    <t>Yunis, Ruhamah/0000-0002-2549-2086; Hutt, Oliver/0000-0002-0475-0605; Doherty, Cara/0000-0003-3407-2873; Zhu, Haijin/0000-0001-6352-7633; Pringle, Jennifer/0000-0002-2729-2838</t>
  </si>
  <si>
    <t>AUG 21</t>
  </si>
  <si>
    <t>10.1039/d1qm00648g</t>
  </si>
  <si>
    <t>JUN 2021</t>
  </si>
  <si>
    <t>WOS:000668130000001</t>
  </si>
  <si>
    <t>Zhao, Y; Zhang, Z; Wu, R; Lyu, C; Zhao, X; Xu, H; Xiang, J; Zha, C; Ouyang, G; Wang, L</t>
  </si>
  <si>
    <t>Zhao, Y.; Zhang, Z.; Wu, R.; Lyu, C.; Zhao, X.; Xu, H.; Xiang, J.; Zha, C.; Ouyang, G.; Wang, L.</t>
  </si>
  <si>
    <t>'Be water' strategy of liquid lithium sulfide enables 0.2 V potential barrier for high-performance lithium-sulfur batteries</t>
  </si>
  <si>
    <t>The Li2S-based lithium-sulfur battery is an attractive option for next-generation energy storage, which can couple with Li-free anodes to reveal a feasible approach to circumvent the safety issue of the highly reactive lithium metal. However, bulk Li2S needs a high activation potential with the electrolyte decomposition in the initial oxidation and shows uncontrollable polysulfides migration in the cycling. To address these challenges, a facile solvation strategy to fully dissolve bulk Li2S is developed to achieve the only 0.2 V potential barrier without any hyperthermal treatments and/or additives. Meanwhile, the novel VB2 materials offer abundant active sites to confine polysulfide migration with the low self-lithiation property. With those ingenious tailoring of cell designs, the VB2-based liquid Li2S cell achieves a stable capacity (530 mAh/g with 2 mg/cm(2)) at 1.0 C with an extremely low fading capacity (78% capacity retention) after 500 cycles. More importantly, this strategy provides a novel insight into the liquid Li2S-based lithium-sulfur battery with a better performance for the commercial applications. (C) 2021 Elsevier Ltd. All rights reserved.</t>
  </si>
  <si>
    <t>Zhao, Xuan/JMR-2135-2023; Zha, Chenyang/I-4497-2014; Wang, Lin/GZG-8661-2022; Ouyang, Gang/AFM-5553-2022</t>
  </si>
  <si>
    <t>Zha, Chenyang/0000-0002-7491-9146; OUYANG, Gang/0000-0003-2589-9641;</t>
  </si>
  <si>
    <t>10.1016/j.mtener.2021.100793</t>
  </si>
  <si>
    <t>WOS:000701824000004</t>
  </si>
  <si>
    <t>Wang, TS; Wang, XF; Pendse, A; Gao, YC; Wang, K; Bae, C; Kim, S</t>
  </si>
  <si>
    <t>Wang, Tongshuai; Wang, Xiaofeng; Pendse, Aaditya; Gao, Yuechen; Wang, Kun; Bae, Chulsung; Kim, Sangil</t>
  </si>
  <si>
    <t>High-efficient multifunctional electrochemical membrane for lithium polysulfide redox flow batteries</t>
  </si>
  <si>
    <t>JOURNAL OF MEMBRANE SCIENCE</t>
  </si>
  <si>
    <t>Redox flow batteries (RFBs) based on lithium polysulfide (Li-PS) chemistry present great opportunities for largescale energy storage and electric vehicles because of their use of abundant raw materials and their higher energy density compared with traditional flow batteries. However, to successfully implement Li-PS RFBs, issues related to the crossover of PS species through a membrane separator must be resolved. In this work, we demonstrate a facile method for fabricating a novel multifunctional electrochemical membrane (mECM) consisting of an organic ion exchange membrane reinforced with a porous carbon nanotube layer and a boron nitride layer. This rational design endows the membrane with remarkable ion selectivity and dimensional stability in organic electrolyte, leading to a greatly enhanced Li+/PS ion selectivity, which exceeds that of a commercial polyolefin separator (i.e., Celgard 2325) by three orders of magnitude. A Li-PS RFB with the mECM exhibited stable electrochemical performance (0.05% capacity decay per cycle after 40 cycles) with 78% capacity retention over 100 cycles at 0.75C, while a reference cell with a Celgard 2325 membrane rapidly lost its capacity (0.33% capacity decay per cycle and 33% capacity at 100 cycles). Our results strongly suggest that the mECM with its high Li+/PS ion selectivity is a promising membrane separator for developing high-performance Li-PS RFB systems.</t>
  </si>
  <si>
    <t>; Wang, Xiaofeng/J-1560-2015; Pendse, Aaditya/HNP-6945-2023</t>
  </si>
  <si>
    <t>Wang, Tongshuai/0009-0006-7224-855X; Wang, Xiaofeng/0000-0001-6158-2161; Pendse, Aaditya/0000-0003-3390-0761</t>
  </si>
  <si>
    <t>0376-7388</t>
  </si>
  <si>
    <t>1873-3123</t>
  </si>
  <si>
    <t>10.1016/j.memsci.2021.119539</t>
  </si>
  <si>
    <t>WOS:000680024300005</t>
  </si>
  <si>
    <t>Souza, DHP; Moller, KT; Moggach, SA; Humphries, TD; D'Angelo, AM; Buckley, CE; Paskevicius, M</t>
  </si>
  <si>
    <t>H. P. Souza, Diego; Moller, Kasper T.; Moggach, Stephen A.; Humphries, Terry D.; D'Angelo, Anita M.; Buckley, Craig E.; Paskevicius, Mark</t>
  </si>
  <si>
    <t>Hydrated alkali-B11H14 salts as potential solid-state electrolytes</t>
  </si>
  <si>
    <t>Metal boron-hydrogen compounds are considered as promising solid electrolyte candidates for the development of all-solid-state batteries (ASSB), owing to the high ionic conductivity exhibited by closo- and nido-boranes. In this study, an optimised low cost preparation method of MB11H14 center dot(H2O)(n), (M = Li and Na) and KB11H14 is proposed and analysed. The formation of the B11H14- salt is pH-dependent, and H3O+ competes with small ionic radii cations, such as Li+ and Na+, to produce a hydronium salt of B11H14-, which forms B11H13OH- upon heating. The use of diethyl ether to extract B11H14- salt from the aqueous medium during synthesis is an important step to avoid hydrolysis of the compound upon drying. The proposed method of synthesis results in LiB11H14 and NaB11H14 coordinated with water, whereas KB11H14 is anhydrous. Hydrated LiB11H14 center dot(H2O)(n) and NaB11H14 center dot(H2O)(n) exhibit exceptional ionic conductivities at 25 degrees C, 1.8 x 10(-4) S cm(-1) and 1.1 x 10(-3) S cm(-1), respectively, which represent some of the highest solid-state Li+ and Na+ conductivities at room temperature. The salts also exhibit oxidative stability of 2.1 V vs. Li+/Li and 2.6 V vs. Na+/Na, respectively. KB11H14 undergoes a reversible polymorphic structural transition to a metastable phase before decomposing. All synthesised nido-boranes decompose at temperatures greater than 200 degrees C.</t>
  </si>
  <si>
    <t>Moggach, Stephen/W-7458-2019; Møller, Kasper/P-1298-2019; Buckley, Craig/B-6753-2013; Humphries, Terry/A-2042-2014; Paskevicius, Mark/K-1638-2013</t>
  </si>
  <si>
    <t>Moller, Kasper/0000-0002-1970-6703; Buckley, Craig/0000-0002-3075-1863; Humphries, Terry/0000-0003-1015-4495; Moggach, Stephen/0000-0001-5339-7070; Paskevicius, Mark/0000-0003-2677-3434; D'Angelo, Anita/0000-0002-3068-5288; HOLANDA PEREIRA DE SOUZA, DIEGO/0000-0001-7587-8326;</t>
  </si>
  <si>
    <t>JUL 14</t>
  </si>
  <si>
    <t>10.1039/d1ta01551f</t>
  </si>
  <si>
    <t>WOS:000667335900001</t>
  </si>
  <si>
    <t>Németh, K</t>
  </si>
  <si>
    <t>Nemeth, Karoly</t>
  </si>
  <si>
    <t>Radical anion functionalization of two-dimensional materials as a means of engineering simultaneously high electronic and ionic conductivity solids</t>
  </si>
  <si>
    <t>A radical anion based functionalization of the basal plane of hexagonal boron nitride (h-BN) and other two-dimensional materials is proposed in the present study. The resulting materials can reversibly be oxidized without the detachment of the functional groups from the basal plane and can thus serve as surface-intercalation type cathode electroactive species and fast solid ion conductors at the same time. The functionalization of h-BN with [OBX3](-) radical anions (X=F, Cl) in the presence of Li, Na or Mg cations provides one example of such systems. This material can be realized in a proposed simple, two step synthesis. In the first step, a symmetric Lewis adduct of the corresponding Li, Na or Mg peroxides is formed with BX3. In the second step, the anion of the Lewis adduct is thermally split into two identical [OBX3](-) radical anions that covalently functionalize the B atoms of h-BN. In the maximum density surface packing functionalization, the product of the synthesis is A(n)[(BN)(2)OBX3] (A = Li, Na with n = 1 or A = Mg with n = 0.5). Its ionic conductivity is predicted to be in the order of 0.01-0.1 S cm(-1) at room temperature, on the basis of Grotthus-like (or paddle-wheel) ion transport. In the highly oxidized states (0 &lt;= n &lt;= 1 for Li and Na and 0 &lt;= n &lt;= 0.5 for Mg), the electronic conductivity of this material is in the order of 1 S cm(-1), similar to carbon black. In the fully reduced states (n = 2 for Li and Na and n = 1 for Mg), the material becomes an insulator, like h-BN. The tunability of the electronic properties of A(n)[(BN)(2)OBX3] via the cation concentration (n) allows for its application as multifunctional material in energy storage devices, simultaneously serving as cathode active species, solid electrolyte, electroconductive additive, separator, heat conductor and coating for metal anodes that enables dendrite-free plating. This multifunctionality reduces the number of phases needed in an all-solid-state battery or supercapacitor and thus reduces the interfacial impedance making energy storage devices more efficient. For example, Li[(BN)(2)OBF3] is predicted to have 5.6 V open circuit voltage versus Li metal anode, capacity of 191 mAh g(-)(1), specific energy of 1067 Wh kg(-)(1) and can store energy at a (materials only) cost of 24 USD kWh(-)(1).</t>
  </si>
  <si>
    <t>; Nemeth, Karoly/GOP-1343-2022</t>
  </si>
  <si>
    <t>Nemeth, Karoly/0000-0001-8366-1397;</t>
  </si>
  <si>
    <t>10.1088/1361-6528/abd1a8</t>
  </si>
  <si>
    <t>WOS:000632396800001</t>
  </si>
  <si>
    <t>Li, CL; Zeng, SW; Wang, P; Li, ZJ; Yang, L; Zhao, DN; Wang, J; Liu, HN; Li, SY</t>
  </si>
  <si>
    <t>LI, Chun-lei; ZENG, Shuang-wei; WANG, Peng; LI, Zhao-juan; YANG, Li; ZHAO, Dong-ni; WANG, Jie; LIU, Hai-ning; LI, Shi-you</t>
  </si>
  <si>
    <t>Mechanism of aluminum corrosion in LiFSI-based electrolyte at elevated temperatures</t>
  </si>
  <si>
    <t>TRANSACTIONS OF NONFERROUS METALS SOCIETY OF CHINA</t>
  </si>
  <si>
    <t>Lithium bis(fluorosulfonyl)imide (LiFSI) is a promising replacement for lithium hexafluorosphate due to its excellent properties. A solution to the corrosion of aluminum (Al) current collectors by LiFSI at elevated temperatures is essential. The mechanisms of Al corrosion in LiFSI-based electrolyte at 45 degrees C were studied with density functional theory calculations and spectroscopic investigations. It is found that the irregular, loose and unprotected AlF3 materials caused by the dissolution of co-generated Al(FSI)(3) can exacerbate Al corrosion with the increase of temperature. Lithium bis(oxalate)borate (LiBOB) can effectively inhibit the Al corrosion with a robust and protective interphase; this can be attributed to the interfacial interactions between the Al foil and electrolyte. Boron-containing compounds promote the change from AlF3 to LiF, which further reinforces interfacial stability. This work allows the design of an interface to Al foil using LiFSI salt in lithium-ion batteries.</t>
  </si>
  <si>
    <t>LI, Cheuk-Wing/I-3255-2014; Wang, Peng/HPC-8249-2023</t>
  </si>
  <si>
    <t>1003-6326</t>
  </si>
  <si>
    <t>2210-3384</t>
  </si>
  <si>
    <t>10.1016/S1003-6326(21)65588-7</t>
  </si>
  <si>
    <t>WOS:000660035300007</t>
  </si>
  <si>
    <t>Wang, HQ; An, D; Tian, PZ; Jing, WF; Wang, M; Li, Y; Li, HR; Hu, SL; Ye, TN</t>
  </si>
  <si>
    <t>Wang, Huiqi; An, Duo; Tian, Pengzhu; Jing, Weifeng; Wang, Mei; Li, Ying; Li, Hai-Ru; Hu, Shengliang; Ye, Tian-Nan</t>
  </si>
  <si>
    <t>Incorporating quantum-sized boron dots into 3D cross-linked rGO skeleton to enable the activity of boron anode for favorable lithium storage</t>
  </si>
  <si>
    <t>Boron has drawn intensive attention as a competitive anode candidate for next-generation high-energy rechargeable batteries. However, the large-scale application of boron anodes for practical batteries is still hindered by their electrochemical inertness caused mainly by the strong covalent bond in the aggregate boron backbone. Herein, quantum-sized boron dots (BQDs) were synthesized by the low-temperature liquid-phase exfoliation of boron nanosheets and incorporated into the conductive graphene matrix, consequently forming a 3D cross-linked BQDs/reduced graphene oxide (B@rGO) skeleton as high-performance anodes for lithium-ion batteries. Decreasing the size of boron to the quantum-sized scale vastly enables the electrochemical activity of boron as well as provides more active sites for ion insertion and extraction, thus increasing capacity and improving ion/charge diffusion and transfer. The 3D cross-linked conductive structure activates BQDs to store/ release lithium reversibly, and endows the interrelated macroporous/mesopores, where the electrolyte can effortlessly access the conveying pathways and active sites for efficient Li+ adsorption and desorption. The developed anodes thus harvest remarkable electrochemical properties in terms of ultrahigh capacity of 2651 mAh g(-1) at a current density of 0.05 A g(-1), outstanding long-term cycling stability of 836 mAh g(-1) at 0.1 A g(-1) over 500 cycles, and excellent rate performance (even after enduring five consecutive current rates changing from 0.1 to 10 A g(-1), it still delivers a capacity of 202 mAh g(-1) at 10 A g(-1)). The protocol to boost the electrochemical performance by introducing BQDs could inspire wider explorations on other advanced anode materials.</t>
  </si>
  <si>
    <t>Wang, Huiqi/C-2960-2017</t>
  </si>
  <si>
    <t>10.1016/j.cej.2021.130659</t>
  </si>
  <si>
    <t>WOS:000707126000119</t>
  </si>
  <si>
    <t>Zhang, YB; Qin, JD; Batmunkh, M; Zhong, YL</t>
  </si>
  <si>
    <t>Zhang, Yubai; Qin, Jiadong; Batmunkh, Munkhbayar; Zhong, Yu Lin</t>
  </si>
  <si>
    <t>Facile Synthesis of Boron-Doped Reduced Electrochemical Graphene Oxide for Sodium Ion Battery Anode</t>
  </si>
  <si>
    <t>JOM</t>
  </si>
  <si>
    <t>In this work, we present a facile yet effective method to prepare boron-doped, highly reduced electrochemical graphene oxide (B-rEGO) using electrochemical oxidation coupled with high-temperature thermal reduction. We first fabricated EGO from natural graphite powder in different concentrations of sulfuric acid electrolytes in a packed-bed reactor and found that the 12 M acid could produce EGO with the highest level of oxidation. To introduce heteroatom doping (non-metallic boron), sufficient boric acid was added to the sulfuric acid electrolyte for electrochemical reactions whereby the boron-doped graphene precursor could be formed, namely tetraborate anion intercalated EGO compounds, and it could transform into B-rEGO by annealing at 900 degrees C for 3 h under Ar gas. We found that the B-rEGO was highly defective as well as effectively deoxygenated and contained 0.21 at.% of boron. The as-prepared B-rEGO is used as an active material in sodium ion battery anodes, delivering a good capacity of 129.59 mAh g(-1) at the current density of 100 mA g(-1) and long-term cyclic stability which could retain 100.20 mA g(-1) after 800 cycles at 500 mA g(-1).</t>
  </si>
  <si>
    <t>Zhong, Yu Lin/J-5697-2016; Qin, Jiadong/GLT-6335-2022; Batmunkh, Munkhbayar/R-9220-2019</t>
  </si>
  <si>
    <t>Zhong, Yu Lin/0000-0001-6741-3609; Batmunkh, Munkhbayar/0000-0002-7493-4186;</t>
  </si>
  <si>
    <t>1047-4838</t>
  </si>
  <si>
    <t>1543-1851</t>
  </si>
  <si>
    <t>10.1007/s11837-021-04750-7</t>
  </si>
  <si>
    <t>WOS:000658592600001</t>
  </si>
  <si>
    <t>Dobbins, TA</t>
  </si>
  <si>
    <t>Dobbins, Tabbetha A.</t>
  </si>
  <si>
    <t>Overview of the Structure-Dynamics-Function Relationships in Borohydrides for Use as Solid-State Electrolytes in Battery Applications</t>
  </si>
  <si>
    <t>The goal of this article is to highlight crucial breakthroughs in solid-state ionic conduction in borohydrides for battery applications. Borohydrides, Mz+BxHy, form in various molecular structures, for example, nido-M+BH4; closo-M2+B10H10; closo-M2+B12H12; and planar-M6+B6H6 with M = cations such as Li+, K+, Na+, Ca2+, and Mg2+, which can participate in ionic conduction. This overview article will fully explore the phase space of boron-hydrogen chemistry in order to discuss parameters that optimize these materials as solid electrolytes for battery applications. Key properties for effective solid-state electrolytes, including ionic conduction, electrochemical window, high energy density, and resistance to dendrite formation, are also discussed. Because of their open structures (for closo-boranes) leading to rapid ionic conduction, and their ability to undergo phase transition between low conductivity and high conductivity phases, borohydrides deserve a focused discussion and further experimental efforts. One challenge that remains is the low electrochemical stability of borohydrides. This overview article highlights current knowledge and additionally recommends a path towards further computational and experimental research efforts.</t>
  </si>
  <si>
    <t>Dobbins, Tabbetha/0000-0002-2427-3746</t>
  </si>
  <si>
    <t>10.3390/molecules26113239</t>
  </si>
  <si>
    <t>WOS:000660442800001</t>
  </si>
  <si>
    <t>Jing, BB; Mata, P; Zhao, QJ; Evans, CM</t>
  </si>
  <si>
    <t>Jing, Brian B.; Mata, Patricia; Zhao, Qiujie; Evans, Christopher M.</t>
  </si>
  <si>
    <t>Effects of crosslinking density and Lewis acidic sites on conductivity and viscoelasticity of dynamic network electrolytes</t>
  </si>
  <si>
    <t>JOURNAL OF POLYMER SCIENCE</t>
  </si>
  <si>
    <t>Polymers are promising materials for replacing organic liquids as electrolytes, and network architectures allow for the modulus to be tuned pseudo-independently of conductivity. When the crosslinks are dynamic bonds, they offer the additional benefits of recyclability and self-healing in response to damage. Dynamic network electrolytes (DNEs) comprised of precise linker lengths of 2, 3, or 4 repeat units of ethylene oxide and boronic ester junctions were prepared to investigate the roles of dense networks and bond exchange on conductivity and rheological properties. A range of salt concentrations were probed, and longer linker lengths led to consistently higher conductivities even after accounting for difference in the glass transition. In contrast, non-monotonic trends are observed in the salt dependence of viscosity as a function of linker length. The interaction of anions from the salt with boron leads to a drop in the viscosity, and at a critical salt content the networks no longer form a percolated network. From the bulk viscosity, a Walden Plot shows a transition from superionic to subionic behavior with added salt. These structure-property relationships offer key valuable insights for designing sustainable electrolytes.</t>
  </si>
  <si>
    <t>Evans, Christopher/G-6489-2013</t>
  </si>
  <si>
    <t>Evans, Christopher/0000-0003-0668-2500</t>
  </si>
  <si>
    <t>2642-4150</t>
  </si>
  <si>
    <t>2642-4169</t>
  </si>
  <si>
    <t>10.1002/pol.20210207</t>
  </si>
  <si>
    <t>WOS:000656576300001</t>
  </si>
  <si>
    <t>Liu, Y; Yu, PP; Sun, QT; Wu, Y; Xie, M; Yang, H; Cheng, T; Goddard, WA</t>
  </si>
  <si>
    <t>Liu, Yue; Yu, Peiping; Sun, Qintao; Wu, Yu; Xie, Miao; Yang, Hao; Cheng, Tao; Goddard, William A., III</t>
  </si>
  <si>
    <t>Predicted Operando Polymerization at Lithium Anode via Boron Insertion</t>
  </si>
  <si>
    <t>Concentrated dual-salt/ester systems have been demonstrated as an effective method in regulating the solid electrolyte interphase (SEI) formation that facilitates the long-term cycling stability of lithium metal batteries (LMBs). However, the atomic mechanism of the dual-salt enabling the stable SEI formation remains unclear. In this work, a hybrid scheme, combining ab initio and reactive force field methods (HAIR), is employed to investigate the initial reaction of SEI formation by monitoring 1 ns molecular dynamics (MD) simulation. The simulation results reveal that lithium bis(trifluoromethanesulfonyl)imide (LiTFSI) is subject to a sacrificial decomposition to protect lithium difluoro(oxalato)borate (LiDFOB) from being over-reduced by Li metal. The boron (B) released from LiDFOB can initiate a polymerization reaction by cutting the C-O bond. Such unexpected reaction turns dimethoxyethane (DME), a previously considered stable solvent, into a radical that can facilitate the propagation of polymerization. These insights from simulation provide atomic understanding about the complex reaction in SEI.</t>
  </si>
  <si>
    <t>; Qian, Liu/GYU-5886-2022; Liu, Yue/HTQ-9806-2023; Cheng, Tao/B-3491-2016; Goddard, William/AEF-2933-2022</t>
  </si>
  <si>
    <t>Xie, Miao/0000-0002-9797-1449; Cheng, Tao/0000-0003-4830-177X; Yu, Peiping/0000-0002-7269-9709; Goddard, William/0000-0003-0097-5716; liu, yue/0000-0002-9566-8104; Yang, Hao/0000-0002-8241-6231;</t>
  </si>
  <si>
    <t>10.1021/acsenergylett.1c00907</t>
  </si>
  <si>
    <t>WOS:000662227100036</t>
  </si>
  <si>
    <t>Zor, C; Subasi, Y; Haciu, D; Somer, M; Afyon, S</t>
  </si>
  <si>
    <t>Zor, Ceren; Subasi, Yaprak; Haciu, Durata; Somer, Mehmet; Afyon, Semih</t>
  </si>
  <si>
    <t>Guide to Water Free Lithium Bis(oxalate) Borate (LiBOB)</t>
  </si>
  <si>
    <t>Lithium bis(oxalate) borate, LiB(C2O4)(2) (LiBOB), is one of the most important electrolyte additives for Li-ion batteries (LIBs) due to its numerous advantages such as thermal stability, good solubility in organic solvents, high conductivity, and low cost as well as providing safer operations with superior electrochemical performance compared to conventional electrolyte combinations. However, the use of LiBOB is limited due to slight instability issues under ambient conditions that might require extra purification steps and result in poorer performances in real systems. Here, we address some of these issues and report a high purity water free LiBOB synthesized with fewer processing steps, employing lithium carbonate, oxalic acid, and boric acid as low-cost starting materials, and via ceramic processing methods under protective atmosphere. The physical and chemical characterizations of both anhydrous and monohydrate phases are performed with X-ray powder diffraction (XRPD), Fourier-transform infrared spectroscopy (FTIR), Raman spectroscopy, and scanning electron microscopy (SEM) analyses to determine the degree of the purity and the formation of impurities, such as LiBOB center dot H2O, HBO2, and Li2C2O4, as a result of the aging investigations where the as-synthesized salt was exposed to ambient conditions for different durations. Differential thermal analysis (DTA) is applied to determine the optimum synthesis conditions for anhydrous LiBOB and to analyze the water loss and the decomposition of LiBOB center dot H2O. Aging experiments with the water free LiBOB are carried out to evaluate the effect of humidity on the phase changes and resulting impurities under various conditions. The detrimental effect of even slightest humidity conditions is shown, and protective measures during and after the synthesis of LiBOB are discussed. Anhydrous LiBOB could be widely used as an electrolyte additive to improve the overall electrochemical performances for LIBs through development of a protective solid electrolyte interface (SEI) on the surface of high voltage cathodes and by bringing about superior electrochemical properties with increased cycling stability, rate capability, and Coulombic efficiency, if synthesized, purified, and handled properly before use in real electrochemical systems.</t>
  </si>
  <si>
    <t>; Zor, Ceren/MVX-0466-2025</t>
  </si>
  <si>
    <t>Afyon, Semih/0000-0002-0153-7446; Subasi, Yaprak/0000-0002-2718-7771; Zor, Ceren/0000-0002-0297-4592</t>
  </si>
  <si>
    <t>JUN 3</t>
  </si>
  <si>
    <t>10.1021/acs.jpcc.1c01437</t>
  </si>
  <si>
    <t>MAY 2021</t>
  </si>
  <si>
    <t>WOS:000661114000002</t>
  </si>
  <si>
    <t>Bridges, CA; Martins, ML; Jafta, CJ; Sun, XG; Paranthaman, MP; Liu, J; Dai, S; Mamontov, E</t>
  </si>
  <si>
    <t>Bridges, C. A.; Martins, M. L.; Jafta, C. J.; Sun, X. G.; Paranthaman, M. P.; Liu, J.; Dai, S.; Mamontov, E.</t>
  </si>
  <si>
    <t>Dynamics of Emim+ in [Emim][TFSI]/LiTFSI Solutions as Bulk and under Confinement in a Quasi-liquid Solid Electrolyte</t>
  </si>
  <si>
    <t>JOURNAL OF PHYSICAL CHEMISTRY B</t>
  </si>
  <si>
    <t>Quasi-liquid solid electrolytes are a promising alternative for next-generation Li batteries. These systems combine the safety of solid electrolytes with the desired properties of liquids and are typically formed by solutions of Li salts in ionic liquids incorporated into solid matrices. Here, we present a fundamental understanding of the transport properties in solutions of lithium bis(trifluoromethanesulfonyl)imide (LiTFSI) in 1-ethyl-3-methylimidazolium bis(trifluoromethylsulfonyl)imide ([Emim][TFSI]), either in bulk form or incorporated in a boron nitride (BN) matrix. We performed a series of quasi-elastic neutron scattering experiments that, given the high incoherent neutron scattering cross section of hydrogen, allowed us to focus on the Emim(+) dynamics. First, [Emim][TFSI]/LiTFSI solutions (0.5 and 2.5 mol.kg(-1)) were investigated and we show how the increase in the concentration reduces the Emim+ mobility and increases the activation energy of their long-range motions. Then, the 0.5 mol.kg(-1) solution was incorporated into the BN matrix and we report that the diffusivities of the Emim(+) cations that remain mobile under confinement are highly accelerated in comparison with the bulk sample and the activation energy of these motions is drastically reduced. We present the experimental evidence that this effect is related to the content of the Emim(+) cations immobilized near the surfaces of the BN pores.</t>
  </si>
  <si>
    <t>Paranthaman, Mariappan/AAO-9751-2021; Paranthaman, Mariappan/N-3866-2015; Martins, Murillo/CAF-0815-2022; Mamontov, Eugene/Q-1003-2015; Jafta, Charl/AAH-9295-2021; Bridges, Craig/HKW-8612-2023; Martins, Murillo Longo/C-7014-2016; Dai, Sheng/K-8411-2015</t>
  </si>
  <si>
    <t>Paranthaman, Mariappan/0000-0003-3009-8531; Jafta, Charl/0000-0002-9773-6799; Mamontov, Eugene/0000-0002-5684-2675; Martins, Murillo Longo/0000-0002-3883-9114; Dai, Sheng/0000-0002-8046-3931; Sun, Xiao-Guang/0000-0001-8451-3011</t>
  </si>
  <si>
    <t>1520-6106</t>
  </si>
  <si>
    <t>1520-5207</t>
  </si>
  <si>
    <t>MAY 27</t>
  </si>
  <si>
    <t>10.1021/acs.jpcb.1c02383</t>
  </si>
  <si>
    <t>WOS:000657362700025</t>
  </si>
  <si>
    <t>Hong, ZS; Maleki, H; Ludwig, T; Zhen, YC; Wilhelm, M; Lee, D; Kim, KH; Mathur, S</t>
  </si>
  <si>
    <t>Hong, Zhensheng; Maleki, Hajar; Ludwig, Tim; Zhen, Yichao; Wilhelm, Michael; Lee, Damin; Kim, Kwang-Ho; Mathur, Sanjay</t>
  </si>
  <si>
    <t>New insights into carbon-based and MXene anodes for Na and K-ion storage: A review</t>
  </si>
  <si>
    <t>Na-ion batteries and K-ion batteries are promising alternatives to vastly used lithium-ion batteries mainly due to the larger natural abundance of sodium and potassium resources. Carbon-based and MXene materials have received increasing attention due to their unique layered structure to accommodate the larger sodium and potassium ions. It's proposed that ionic size disparity (K+: 1.38 angstrom; Na+: 0.97 angstrom; Li+: 0.76 angstrom) leads to sluggish intercalation and extraction kinetics in larger alkali metal ions (AMIs). Nevertheless, the electrochemical inactivity of sodium intercalation in graphite suggests that different chemical properties of AMs and their interactions with carbon host and electrolytes is crucial for interfacial instability and irreversible capacity loss. Structural modifications by expanding interlayer spacing and defect engineering enable reduced diffusion barriers and enhanced insertion of sodium or potassium, but it blurs the electrochemical performance between battery and capacitor. This review provides insight into 2D carbon materials and their architectures for Na and K-ion batteries through an in-depth analysis of structure-property interdependence and different electrochemical mechanisms supported by both experimental and theoretical data to discuss the promises and challenges of post-lithium batteries. Finally, the perspectives and potential directions regarding material design concepts for 2D carbon based nanomaterials and MXene phases for metal-ion storage are proposed. (C) 2021 Science Press and Dalian Institute of Chemical Physics, Chinese Academy of Sciences. Published by ELSEVIER B.V. and Science Press. All rights reserved.</t>
  </si>
  <si>
    <t>Maleki, Hajar/L-3263-2019; Kim, Kwang Ho/AHH-1526-2022</t>
  </si>
  <si>
    <t>Wilhelm, Michael/0000-0002-4764-6955; Ludwig, Tim/0000-0002-3633-805X</t>
  </si>
  <si>
    <t>10.1016/j.jechem.2021.04.031</t>
  </si>
  <si>
    <t>WOS:000662273400007</t>
  </si>
  <si>
    <t>Wang, WZ; Wu, LY; Li, ZW; Huang, KS; Chen, ZY; Lv, C; Dou, H; Zhang, XG</t>
  </si>
  <si>
    <t>Wang, Wenzhi; Wu, Langyuan; Li, Zhiwei; Huang, Kangsheng; Chen, Ziyang; Lv, Chen; Dou, Hui; Zhang, Xiaogang</t>
  </si>
  <si>
    <t>Stabilization of a 4.7 V High-Voltage Nickel-Rich Layered Oxide Cathode for Lithium-Ion Batteries through Boron-Based Surface Residual Lithium-Tuned Interface Modification Engineering</t>
  </si>
  <si>
    <t>Residual lithium on the surface and the resulting side reactions for high-energy-density Ni-rich layered oxide cathodes principally impede their industrial application and trigger safety concerns. Herein, the successful construction of LiBO2-B2O3 co-modified single-crystal LiNi0.6Co0.2Mn0.2O2 (SC-NCM) as a lithium-ion battery (LIB) cathode is reported. Boric acid reacts with the surface residual lithium species to form such uniform coating on the SC-NCM particles, which presents advanced rate and cycling capabilities. As the cathode materials for LIBs, LiBO2-B2O3 co-modified SC-NCM delivers a 141.9 mAh g(-1) discharge specific capacity at 5 C between 3.0 and 4.5 V versus Li+/Li with 61.4 % capacity retention after 500 cycles, superior to the 20.8 % retention for the pristine SC-NCM cathode. Besides, the LiBO2-B2O3 protective layer substantially inhibits the unexpected phase transformation, effectively alleviates the mechanical microcracks, and stabilizes the cathode-electrolyte interface, even at an extended operational potential window. The proposed microstructure-modified SC-NCM cathode provides an affordable and feasible design strategy for Ni-rich SC-NCM cathodes towards stable electrochemical performance and prolonged service life at high potential.</t>
  </si>
  <si>
    <t>Lv, Chen/ABG-7641-2020; Zhang, Xiaogang/G-8896-2013; dou, hui/HJP-6208-2023</t>
  </si>
  <si>
    <t>10.1002/celc.202100125</t>
  </si>
  <si>
    <t>WOS:000649195500001</t>
  </si>
  <si>
    <t>Wei, P; Li, XG; He, ZM; Sun, XP; Liang, QR; Wang, ZY; Fang, C; Li, Q; Yang, H; Han, JT; Huang, YH</t>
  </si>
  <si>
    <t>Wei, Peng; Li, Xiaogang; He, Zhimin; Sun, Xueping; Liang, Qirui; Wang, Zhengying; Fang, Chun; Li, Qing; Yang, Hui; Han, Jiantao; Huang, Yunhui</t>
  </si>
  <si>
    <t>Porous N, B co-doped carbon nanotubes as efficient metal-free electrocatalysts for ORR and Zn-air batteries</t>
  </si>
  <si>
    <t>The flexible design and construction of oxygen reduction reaction (ORR) catalysts with high activity, great stability, and superior cost efficiency are essential for metal-air batteries and fuel cells. Hollow carbon nanotubes (CNTs) are considered promising electrocatalysts owing to their outstanding thermal stability, robust chemical properties, and high specific surface area. Herein, a convenient and controllable solid-phase route is proposed for the preparation of porous nitrogen (N) and boron (B) co-doped carbon nanotubes (NBCNT) by using tubular polypyrrole (PPy) and sodium tetraphenylboron ((C6H5)4BNa), in which (C6H5)4BNa serves not only as a B source but also as a pore-forming agent that can help to regulate N configuration and expose more active sites. Due to the synergistic effects of porous one-dimensional hollow structure and the binary heteroatom doping, the optimized NBCNT catalyst demonstrates superior catalytic performance for ORR in both acidic and alkaline electrolytes. Moreover, Zn-air batteries are constructed based on the as-prepared catalysts, which reveal a high operating voltage (1.43 V) and peak power density (173.93 mW cm-2), further demonstrating a comparable electrocatalytic performance of the catalysts to commercial Pt/C catalyst. This work reveals a novel construction of high-efficiency and cost-effective metal-free catalysts for various energy conversion and storage technologies.</t>
  </si>
  <si>
    <t>Li, Qing/G-4502-2011; YANG, HUI/H-6996-2012; wei, peng/IVH-1711-2023; Liang, QIRUI/LZE-1373-2025; He, Zhimin/KYQ-2126-2024; Li, Qing/AAD-4962-2019</t>
  </si>
  <si>
    <t>Li, Qing/0000-0003-4807-030X; YANG, HUI/0000-0002-2628-4676; Wei, Peng/0000-0002-4432-8978;</t>
  </si>
  <si>
    <t>10.1016/j.cej.2021.130134</t>
  </si>
  <si>
    <t>WOS:000672572000003</t>
  </si>
  <si>
    <t>Han, L; Zhang, XL; Li, JF; Huang, HL; Xu, XT; Liu, XJ; Yang, ZL; Xu, M; Pan, LK</t>
  </si>
  <si>
    <t>Han, Lu; Zhang, Xinlu; Li, Junfeng; Huang, Hailong; Xu, Xingtao; Liu, Xinjuan; Yang, Zhongli; Xu, Min; Pan, Likun</t>
  </si>
  <si>
    <t>Enhanced energy storage of aqueous zinc-carbon hybrid supercapacitors via employing alkaline medium and B, N dual doped carbon cathode</t>
  </si>
  <si>
    <t>Zinc-based energy storage systems (zinc-air, zinc-nickel and zinc-ion batteries and zinc-ion hybrid supercapacitors (ZHSs) are considered as promising power sources for wide applications from personal electronic devices to electric vehicles. However, these systems, especially the Zn-based hybrid supercapacitors, display unsatisfying power density and energy density, which should be enhanced for their large-scale applications. In this work, aqueous alkaline zinc-carbon hybrid supercapacitors (AZCHS) were designed, consisting of B, N dual doped carbon cathode, Zn anode and KOH electrolyte. The B, N dual doped carbon was prepared via thermal treatment of metal-organic frameworks and boric acid, which exhibits abundant hierarchical pore structure (micropore, mesopore and macropore) and suitable defect construction, promoting ion diffusion/charge transfer and providing more rapid surface pseudocapacitance reaction. More obviously, when the optimized B, N dual doped carbon was used as cathode in A-ZCHS and ZHS, more capacitive charge storage and rapider electrochemical kinetics can be observed in A-ZCHS than in ZHS. Therefore, the optimized A-ZCHS displays a high energy density of 115.7 Wh kg-1 at the power density of 711.6 W kg-1 with excellent stability, which is much better than most of ZHSs reported previously. The A-ZCHS should be a promising candidate for energy storage applications. (c) 2021 Elsevier Inc. All rights reserved.</t>
  </si>
  <si>
    <t>Pan, Likun/F-7232-2012; Xu, Min/Y-4090-2018; Liu, Xinjuan/F-2218-2015; zhang, xinlu/LDF-6660-2024; Xu, Xingtao/S-5624-2018</t>
  </si>
  <si>
    <t>Pan, Likun/0000-0001-9294-1972; Liu, Xinjuan/0000-0002-3041-6635; Xu, Xingtao/0000-0002-2286-4307</t>
  </si>
  <si>
    <t>10.1016/j.jcis.2021.04.114</t>
  </si>
  <si>
    <t>WOS:000659388400002</t>
  </si>
  <si>
    <t>Sikdar, N; Schwiderowski, P; Medina, D; Dieckhöfer, S; Quast, T; Brix, AC; Cychy, S; Muhler, M; Masa, J; Schuhmann, W</t>
  </si>
  <si>
    <t>Sikdar, Nivedita; Schwiderowski, Philipp; Medina, Danea; Dieckhoefer, Stefan; Quast, Thomas; Brix, Ann Cathrin; Cychy, Steffen; Muhler, Martin; Masa, Justus; Schuhmann, Wolfgang</t>
  </si>
  <si>
    <t>Trace Metal Loading of B-N-Co-doped Graphitic Carbon for Active and Stable Bifunctional Oxygen Reduction and Oxygen Evolution Electrocatalysts</t>
  </si>
  <si>
    <t>Quinone compounds are among the most promising candidate organic materials for energy storage due to advantages such as their higher theoretical energy density. In the present paper, a one-step condensation method is described for connecting anthraquinone units via thioether bonds to generate a poly(anthraquinone sulfide) (PAQS) material as a promising lithium energy-storage system. Poly(anthraquinone sulfide)/carbon nanotube (PAQS/CNT) frameworks are then prepared via an in-situ chemical solution method. The good electrochemical performance of the PAQS/CNT composite with 2 wt % carbon nanotubes is then demonstrated, with a significantly higher discharge specific capacity (187.2 mA h g(-1)) than that of a pure PAQS electrode (101.0 mA h g(-1)). Moreover, the specific capacity remains at 168.4 mA h g(-1) after 200 cycles, with a retention rate of 90.0 %. It is confirmed that CNTs play a number of roles in the composite polymer material, such as stabilizing the material structure during battery charging and discharging, improving the electronic conductivity, and alleviating the dissolution of the components of the organic electrolyte.</t>
  </si>
  <si>
    <t>; Sikdar, Nivedita/AHB-9210-2022; Schuhmann, Wolfgang/S-2626-2016; Quast, Thomas/GYD-6444-2022; Muhler, Martin/D-2766-2017; Masa, Justus/I-6027-2012</t>
  </si>
  <si>
    <t>Sikdar, Nivedita/0000-0002-7029-1961; Schuhmann, Wolfgang/0000-0003-2916-5223; Masa, Justus/0000-0002-8555-5157; Brix, Ann Cathrin/0000-0002-5660-989X;</t>
  </si>
  <si>
    <t>10.1002/celc.202100374</t>
  </si>
  <si>
    <t>WOS:000664219100018</t>
  </si>
  <si>
    <t>Liu, W; Zhai, PB; Qin, SJ; Xiao, J; Wei, Y; Yang, WW; Cui, SQ; Chen, Q; Jin, CQ; Yang, SB; Gong, YJ</t>
  </si>
  <si>
    <t>Liu, Wei; Zhai, Pengbo; Qin, Shengjian; Xiao, Jing; Wei, Yi; Yang, Weiwei; Cui, Shiqiang; Chen, Qian; Jin, Chunqiao; Yang, Shubin; Gong, Yongji</t>
  </si>
  <si>
    <t>Boron-doping induced lithophilic transition of graphene for dendrite-free lithium growth</t>
  </si>
  <si>
    <t>Li metal, possessing advantages of high theoretical specific capacity and low electrochemical potential, is regarded as the most promising anode material for next-generation batteries. However, despite decades of intensive research, its practical application is still hindered by safety hazard and low Coulombic efficiency, which is primarily caused by dendritic Li deposition. To address this issue, restraining dendrite growth at the nucleation stage is deemed as the most effective method. By utilizing the difference of electronegativity between boron atoms and carbon atoms, carbon atoms around boron atoms in boron-doped graphene (BG) turn into lithiophilic sites, which can enhance the adsorption capacity to Li+ at the nucleation stage. Consequently, an ultralow overpotential of 10 mV at a current density of 0.5 mA/cm2 and a high average Coulombic efficiency of 98.54% over more than 140 cycles with an areal capacity of 2 mAh/ cm2 at a current density of 1 mA/cm2 were achieved. BG-Li|LiFePO4 full cells delivered a long lifespan of 480 cycles at 0.5 C and excellent rate capability. This work provides a novel method for rational design of dendrite-free Li metal batteries by regulating nucleation process. ? 2020 Science Press and Dalian Institute of Chemical Physics, Chinese Academy of Sciences. Published by ELSEVIER B.V. and Science Press. All rights reserved.</t>
  </si>
  <si>
    <t>Yang, Shubin/B-4840-2015; Yang, Weiwei/J-5955-2019; Gong, Yongji/L-7628-2016</t>
  </si>
  <si>
    <t>10.1016/j.jechem.2020.08.0192095-4956/</t>
  </si>
  <si>
    <t>WOS:000634451900004</t>
  </si>
  <si>
    <t>Kaup, K; Bishop, K; Assoud, A; Liu, J; Nazar, LF</t>
  </si>
  <si>
    <t>Kaup, Kavish; Bishop, Kevin; Assoud, Abdeljalil; Liu, Jue; Nazar, Linda F.</t>
  </si>
  <si>
    <t>Fast Ion-Conducting Thioboracite with a Perovskite Topology and Argyrodite-like Lithium Substructure</t>
  </si>
  <si>
    <t>We report a new fast ion-conducting lithium thioborate halide, Li6B7S13I, that crystallizes in either a cubic or tetragonal thioboracite structure, which is unprecedented in boron-sulfur chemistry. The cubic phase exhibits a perovskite topology and an argyrodite-like lithium substructure that leads to superionic conduction with a theoretical Li-ion conductivity of 5.2 mS cm(-1) calculated from ab initio molecular dynamics (AIMD). Combined single-crystal X-ray diffraction, neutron powder diffraction, and AIMD simulations elucidate the Li+-ion conduction pathways through 3D intra- and intercage connections and Li-ion site disorder, which are all essential for high lithium mobility. Furthermore, we demonstrate that Li+ ordering in the tetragonal polymorph impedes lithium-ion conduction, thus highlighting the importance of the lithium substructure and lattice symmetry in dictating transport properties.</t>
  </si>
  <si>
    <t>; Liu, Jufen/AAR-2418-2021; Nazar, Linda/H-2736-2014; LIU, JUE/I-8631-2016; Bishop, Kevin/C-7816-2012</t>
  </si>
  <si>
    <t>Kaup, Kavish/0000-0001-6201-2582; Nazar, Linda/0000-0002-3314-8197; Assoud, Abdeljalil/0000-0001-6401-8478; LIU, JUE/0000-0002-4453-910X;</t>
  </si>
  <si>
    <t>10.1021/jacs.1c00941</t>
  </si>
  <si>
    <t>APR 2021</t>
  </si>
  <si>
    <t>WOS:000651748000026</t>
  </si>
  <si>
    <t>Rosario, ED; Rectenwald, MF; Gaffen, JR; Rheingold, AL; Protasiewicz, JD</t>
  </si>
  <si>
    <t>Delgado Rosario, Emalyn; Rectenwald, Michael F.; Gaffen, Joshua R.; Rheingold, Arnold L.; Protasiewicz, John D.</t>
  </si>
  <si>
    <t>Organophosphorus decorated lithium borate and phosphate salts with extended π-conjugated backbone</t>
  </si>
  <si>
    <t>Several new bifunctional salts, Li[B(DPN)(2)], Li[B(DPN)(ox)] and Li[P(DPN)(3)], have been prepared from the phosphorus(v)-containing chelating ligand 2,3-dihydroxynaphthalene-1,4-(tetraethyl)bis(phosphonate) (H-2-DPN). The new lithium salts were characterized by a variety of spectroscopic techniques. Both H-2-DPN and Li[B(DPN)(2)] have been structurally characterized by X-ray crystallographic methods. These salts are related to materials being examined for use in electrolyte solutions for lithium-ion battery (LIB) applications.</t>
  </si>
  <si>
    <t>Rheingold, Arnold/U-4735-2019; Protasiewicz, John/C-3484-2008</t>
  </si>
  <si>
    <t>Gaffen, Joshua/0000-0002-6178-8853; Delgado Rosario, Emalyn/0000-0002-3280-5618; Rheingold, Arnold/0000-0003-4472-8127</t>
  </si>
  <si>
    <t>MAY 21</t>
  </si>
  <si>
    <t>10.1039/d1dt00601k</t>
  </si>
  <si>
    <t>WOS:000644857200001</t>
  </si>
  <si>
    <t>Wang, ZY; Wang, HM; Liu, S; Li, GR; Gao, XP</t>
  </si>
  <si>
    <t>Wang, Zhen-Yu; Wang, Hui-Min; Liu, Sheng; Li, Guo-Ran; Gao, Xue-Ping</t>
  </si>
  <si>
    <t>To Promote the Catalytic Conversion of Polysulfides Using Ni-B Alloy Nanoparticles on Carbon Nanotube Microspheres under High Sulfur Loading and a Lean Electrolyte</t>
  </si>
  <si>
    <t>Despite their high theoretical energy density, the application of lithium-sulfur batteries is seriously hindered by the polysulfide shuttle and sluggish kinetics, especially with high sulfur loading and under low electrolyte usage. Herein, to facilitate the conversion of lithium polysulfides, nickel-boron (Ni-B) alloy nanoparticles, dispersed uniformly on carbon nanotube microspheres (CNTMs), are used as sulfur hosts for lithium-sulfur batteries. It is demonstrated that Ni-B alloy nanoparticles can not only anchor polysulfides through Ni-S and B-S interactions but also exhibit high electrocatalytic capability toward the conversion of intermediate polysulfide species. In addition, the intertwined CNT microspheres provide an additional conductive scaffold in response to the fast electrochemical redox. The enhanced redox kinetics is beneficial to improve the specific capacity and cycling stability of the sulfur cathode, based on the fast conversion of lithium polysulfides and effective deposition of the final sulfide products. Conclusively, the S/Ni-B/CNTM composite delivers a high specific capacity (1112.7 mAh g(s)(-1)) along with good cycle performance under both high sulfur loading (8.3 mg cm(-2)) and a lean electrolyte (3 mu L mg(s)(-1)). Consequently, this study opens up a path to design new sulfur hosts toward lithium-sulfur batteries.</t>
  </si>
  <si>
    <t>Wang, Zhenyu/IXD-4651-2023; Li, Guoran/D-5091-2012; wang, huimin/HDM-8421-2022; Liu, Shengbo/JAZ-9733-2023</t>
  </si>
  <si>
    <t>Li, Guoran/0000-0002-6380-5725; Liu, Sheng/0000-0001-5933-1101;</t>
  </si>
  <si>
    <t>10.1021/acsami.1c03791</t>
  </si>
  <si>
    <t>WOS:000648552500064</t>
  </si>
  <si>
    <t>Huang, HF; Gui, YN; Sun, F; Liu, ZJ; Ning, HL; Wu, C; Chen, LB</t>
  </si>
  <si>
    <t>Huang, Hai-Feng; Gui, Yi-Na; Sun, Fu; Liu, Zhi-Jian; Ning, Hui-Long; Wu, Chen; Chen, Li-Bao</t>
  </si>
  <si>
    <t>In situ formed three-dimensional (3D) lithium-boron (Li-B) alloy as a potential anode for next-generation lithium batteries</t>
  </si>
  <si>
    <t>The practical application of the lithium anode in lithium metal batteries (LMBs) has been hindered by the uncontrollable growth of lithium dendrite and the high volumetric change during cycling. Herein, the in situ formed three-dimensional (3D) lithium-boron (Li-B) alloy is suggested as an excellent alternative to the Li metal, in which the 3D LiB skeleton can mitigate the growth of Li dendrites and volumetric change. In this study, the Li-B alloy anodes with different B contents were manufactured by high-temperature melting. It was found that the boron content had a significant effect on the electrochemical performance of the Li-B alloy. The Li-B alloy with the least B content (10 wt%, 10LiB) demonstrated the lowest overpotential of 0.0852 V after 300 h and the lowest interface resistance. However, the full cell with 15LiB as the anode displayed the best cycling performance of 115 mAh.g(-1) after 100 cycles with a columbic efficiency greater than 97%. The obtained results suggest that the in situ formed three-dimensional Li-B alloy anode can be an excellent alternative to the Li anode via tuning B contents for next-generation high energy density LMBs.</t>
  </si>
  <si>
    <t>; Chen, Libao/C-4334-2018; 黄, 海锋/KBQ-7568-2024</t>
  </si>
  <si>
    <t>Huang, Haifeng/0000-0002-8119-1042; Chen, Libao/0000-0002-3766-1545;</t>
  </si>
  <si>
    <t>10.1007/s12598-021-01708-1</t>
  </si>
  <si>
    <t>WOS:000639616600001</t>
  </si>
  <si>
    <t>Li, SH; Qiu, PT; Kang, JX; Ma, YM; Zhang, YC; Yan, YG; Jensen, TR; Guo, YH; Zhang, J; Chen, XN</t>
  </si>
  <si>
    <t>Li, Shouhu; Qiu, Pengtao; Kang, Jiaxin; Ma, Yiming; Zhang, Yichun; Yan, Yigang; Jensen, Torben R.; Guo, Yanhui; Zhang, Jie; Chen, Xuenian</t>
  </si>
  <si>
    <t>Iodine-Substituted Lithium/Sodium closo-Decaborates: Syntheses, Characterization, and Solid-State Ionic Conductivity</t>
  </si>
  <si>
    <t>Solid-state electrolytes based on closo-decaborates have caught increasing interest owing to the impressive room-temperature ionic conductivity, remarkable thermal/chemical stability, and excellent deformability. In order to develop new solid-state ion conductors, we investigated the influence of iodine substitution on the thermal, structural, and ionic conduction properties of closo-decaborates. A series of iodinated closo-decaborates, M-2[B10H10-nIn] (M = Li, Na; n = 1, 2, 10), were synthesized and characterized by thermal analysis, powder X-ray diffraction, and electro-chemical impedance spectroscopy; the stability and ionic conductivity of these compounds were studied. It was found that with the increase of iodine substitution on the closo-decaborate anion cage, the thermal decomposition temperature increases. All M-2[B10H10-nIn] exhibit an amorphous structure. The ionic conductivity of Li-2[B10H10-nIn] is higher than that of the Li-2[B10H10] parent compound. An ionic conductivity of 2.96 x 10(-2) S cm(-1) with an activation energy of 0.23 eV was observed for Li-2[B10I10] at 300 degrees C, implying that iodine substitution can improve the ionic conductivity. However, the ionic conductivity of Na-2[B10H10-nIn] is lower than that of Na-2[B10H10] and increases with the increase of iodine substitution, which could be associated with the increase of the electrostatic potential, mass, and volume of the iodinated anions. Moreover, Li2[B10I10] offers a Li-ion transference number of 0.999, an electrochemical stability window of 3.3 V and good compatibility with the Li anode, demonstrating its potential for application in high-temperature batteries.</t>
  </si>
  <si>
    <t>Ma, Yiming/AAG-3479-2019; Qiu, Pengtao/ABB-5118-2021; Chen, Xuenian/ADS-0591-2022</t>
  </si>
  <si>
    <t>Chen, Xuenian/0000-0001-9029-1777; Qiu, Pengtao/0000-0001-8982-0803; Jensen, Torben Rene/0000-0002-4278-3221;</t>
  </si>
  <si>
    <t>APR 21</t>
  </si>
  <si>
    <t>10.1021/acsami.1c01659</t>
  </si>
  <si>
    <t>WOS:000643578300038</t>
  </si>
  <si>
    <t>Li, X; Cong, LN; Ma, SC; Shi, SN; Li, YN; Li, SJ; Chen, SL; Zheng, CH; Sun, LQ; Liu, YL; Xie, HM</t>
  </si>
  <si>
    <t>Li, Xin; Cong, Lina; Ma, Shunchao; Shi, Sainan; Li, Yanan; Li, Sijia; Chen, Silin; Zheng, Changhui; Sun, Liqun; Liu, Yulong; Xie, Haiming</t>
  </si>
  <si>
    <t>Low Resistance and High Stable Solid-Liquid Electrolyte Interphases Enable High-Voltage Solid-State Lithium Metal Batteries</t>
  </si>
  <si>
    <t>Solid-state batteries (SSBs) with addition of liquid electrolytes are considered to possibly replace the current lithium-ion batteries (LIBs) because they combine the advantages of benign interfacial contact and strong barriers for unwanted redox shuttles. However, solid electrolyte and liquid electrolyte are generally (electro)-chemically incompatible and the resistance of the newly formed solid-liquid electrolyte interphase (SLEI) appears as an additional contribution to the overall battery resistance. Herein, a boron, fluorine-donating liquid electrolyte (B, F-LE) is introduced into the interface between the high-voltage cathode and ultrathin composite solid electrolyte (CSE), which is fabricated by adhering a high content of nanosized Li6.4La3Zr1.4Ta0.6O12 (LLZTO) with poly(vinylidene fluoride-co-hexafluoropropylene) (PVDF-HFP), to generate a low resistance and high stable SLEI in situ, giving a stable high-voltage output with a reinforced cathode|CSE interface. B, F-LE, consisting of a highly fluorinated electrolyte with a lithium bis(oxalato)borate additive, exhibits good chemical compatibility with CSE and enables rapid and uniform transportation of Li+, with its electrochemically and chemically stable interface for high-voltage cathode. Eventually, the B, F-LE assisted LiNi0.6Co0.2Mn0.2O2|Li battery displays the enhanced rate capability and high voltage cycling stability. The findings provide an interfacial engineering strategy to turn SLEI from a real culprit into the savior that may pave a brand-new way to manipulate SLEI chemistry in hybrid solid-liquid devices.</t>
  </si>
  <si>
    <t>Li（李）, Si-Jia（思佳）/X-4559-2018; Li, Yanan/ABE-1354-2021</t>
  </si>
  <si>
    <t>10.1002/adfm.202010611</t>
  </si>
  <si>
    <t>MAR 2021</t>
  </si>
  <si>
    <t>WOS:000628748600001</t>
  </si>
  <si>
    <t>Chen, YR; Feng, X; Wang, Q; Gu, WX; Wu, WY; Peng, XQ; Jin, HL; Wang, JC; Wang, S</t>
  </si>
  <si>
    <t>Chen, Yurou; Feng, Xin; Wang, Qi; Gu, WenXian; Wu, Wanyi; Peng, Xuqiang; Jin, Huile; Wang, Jichang; Wang, Shun</t>
  </si>
  <si>
    <t>Titanium and nitrogen co-doped porous carbon for high-performance supercapacitors†</t>
  </si>
  <si>
    <t>A novel titanium, nitrogen co-doped carbon material was designed via a one-step solvothermal reaction at a moderate temperature. Characterization by scanning electron microscopy and transmission electron microscopy illustrates that carbon materials without titanium doping possess a morphology of porous flakes, whereas the inclusion of titanium results in the deposition/intercalation of island-shaped TiO2 nanoparticles on these carbon flakes. Both the volumetric energy density and the cycling stability are significantly improved by titanium doping. Electrochemical measurements show that the introduction of titanium leads to a high volumetric capacitance of 285.5 F cm(-3) at 0.5 A g(-1) current density. Electrodes prepared with the new materials also exhibit excellent cycling stability, where there is no capacitance loss after 40 000 cycles in the 6 M KOH electrolyte at a high charge/discharge current of 30 A g(-1). The volumetric energy density of the as-obtained symmetrical supercapacitor reaches 11.99 W h L-1, which is competitive to that of lithium thin-film batteries (1-10 W h L-1).</t>
  </si>
  <si>
    <t>jin, huile/L-7734-2016; Wang, Jichang/B-4755-2011; Xin, Feng/GQO-9521-2022; Feng, Xin/GQO-9521-2022; wang, shun/E-4528-2012; Wang, shun/E-4528-2012; Wang, Qi/MBH-2966-2025; Chen, Yurou/NPI-6726-2025</t>
  </si>
  <si>
    <t>jin, huile/0000-0002-2899-0515; Wang, Qi/0009-0005-1786-7449; Feng, Xin/0000-0001-5678-6303; wang, shun/0000-0001-5305-5134;</t>
  </si>
  <si>
    <t>MAY 7</t>
  </si>
  <si>
    <t>10.1039/d0qm01133a</t>
  </si>
  <si>
    <t>WOS:000632882100001</t>
  </si>
  <si>
    <t>Bella, F; De Luca, S; Fagiolari, L; Versaci, D; Amici, J; Francia, C; Bodoardo, S</t>
  </si>
  <si>
    <t>Bella, Federico; De Luca, Stefano; Fagiolari, Lucia; Versaci, Daniele; Amici, Julia; Francia, Carlotta; Bodoardo, Silvia</t>
  </si>
  <si>
    <t>An Overview on Anodes for Magnesium Batteries: Challenges towards a Promising Storage Solution for Renewables</t>
  </si>
  <si>
    <t>Magnesium-based batteries represent one of the successfully emerging electrochemical energy storage chemistries, mainly due to the high theoretical volumetric capacity of metallic magnesium (i.e., 3833 mAh cm(-3) vs. 2046 mAh cm(-3) for lithium), its low reduction potential (-2.37 V vs. SHE), abundance in the Earth's crust (10(4) times higher than that of lithium) and dendrite-free behaviour when used as an anode during cycling. However, Mg deposition and dissolution processes in polar organic electrolytes lead to the formation of a passivation film bearing an insulating effect towards Mg2+ ions. Several strategies to overcome this drawback have been recently proposed, keeping as a main goal that of reducing the formation of such passivation layers and improving the magnesium-related kinetics. This manuscript offers a literature analysis on this topic, starting with a rapid overview on magnesium batteries as a feasible strategy for storing electricity coming from renewables, and then addressing the most relevant outcomes in the field of anodic materials (i.e., metallic magnesium, bismuth-, titanium- and tin-based electrodes, biphasic alloys, nanostructured metal oxides, boron clusters, graphene-based electrodes, etc.).</t>
  </si>
  <si>
    <t>Bella, Federico/D-2280-2013; De Luca, Stefano/MGV-3058-2025; Versaci, Daniele/KIG-7810-2024</t>
  </si>
  <si>
    <t>Bella, Federico/0000-0002-2282-9667; AMICI, JULIA GINETTE NICOLE/0000-0003-4369-317X; Fagiolari, Lucia/0000-0003-0441-6647; Versaci, Daniele/0000-0002-9946-5865</t>
  </si>
  <si>
    <t>10.3390/nano11030810</t>
  </si>
  <si>
    <t>WOS:000633961800001</t>
  </si>
  <si>
    <t>Joshi, A; Tomar, AK; Singh, G; Sharma, RK</t>
  </si>
  <si>
    <t>Joshi, Akanksha; Tomar, Anuj Kumar; Singh, Gurmeet; Sharma, Raj Kishore</t>
  </si>
  <si>
    <t>Engineering oxygen defects in the boron nanosheet for stabilizing complex bonding structure: An approach for high-performance supercapacitor</t>
  </si>
  <si>
    <t>Boron is a highly pursued advance charge storage material ascribed to its lighter weight and metallic nature. However, vastly reactive bonding structure of boron is impeding its application as supercapacitive material, especially in aqueous electrolyte. Here, an energetically favourable oxidation approach is engineered to enforce the lattice distortion of beta-rhombohedral phase that results in oxygen defect. This approach causes the oxidative exfoliation (few layers similar to 8.5 nm thickness) to maximize the electroactive surface area and also stabilizes the structure in aqueous electrolytes. These attributes combining with large conductivity (96.12 S m(-1)) results in an excellent cycling stability (&gt;80%) and rate capability (&gt;59%) in aqueous electrolytes. Among different pH electrolytes, oxygen defective boron nanosheet with KOH (tau similar to 0.83 s; 107.63 mF cm(-2) @2 A g(-1)) and H2SO4 (tau similar to 1.78 s; 141.55 mF cm(-2) @2 A g(-1)) shows extremely splendid pseudocapacitive charge storage. From the mechanistic study, governance of pseudocapacitive contribution is verified. Moreover, the fabricated symmetric cell (3 V, BMIMBF4) with slight decline of discharge voltage (2.85 to 2.4 V) on current density increment (5 fold) exhibits a maximum specific energy of 25.1 Wh kg(-1) @636.13 W kg(-1). This work provides a cornerstone to the upcoming studies for further advancement of highly conductive boron based capacitive electrodes.</t>
  </si>
  <si>
    <t>Tomar, Anuj/0000-0002-8012-5641</t>
  </si>
  <si>
    <t>10.1016/j.cej.2020.127122</t>
  </si>
  <si>
    <t>WOS:000607598600002</t>
  </si>
  <si>
    <t>Zaidi, SZJ; Raza, M; Hassan, S; Harito, C; Walsh, FC</t>
  </si>
  <si>
    <t>Zaidi, S. Z. J.; Raza, M.; Hassan, S.; Harito, C.; Walsh, F. C.</t>
  </si>
  <si>
    <t>A DFT Study of Heteroatom Doped-Pyrazine as an Anode in Sodium ion Batteries</t>
  </si>
  <si>
    <t>JOURNAL OF NEW MATERIALS FOR ELECTROCHEMICAL SYSTEMS</t>
  </si>
  <si>
    <t>Lithium ion batteries cannot satisfy increasing demand for energy storage. A range of complementary batteries are needed which are environmentally acceptable, of moderate cost and easy to manufacture/recycle. In this case, we have chosen pyrazine to be used in the sodium ion batteries to meet the energy storage requirements of tomorrow. Pyrazine is studied as a possible anode material for bio-batteries, lithiumion, and sodium ion batteries due to its broad set of useful properties such as ease of synthesis, low cost, ability to be charge-discharge cycled, and stability in the electrolyte. The heteroatom doped-pyrazine with atoms of boron, fluorine, phosphorous, and sulphur as an anode in sodium ion batteries has improved the stability and intercalation of sodium ions at the anode. The longest bond observed between sodium ion and sulphur-doped pyrazine at 2.034 angstrom. The electronic charge is improved and further enhanced by the presence of highly electronegative atoms such as fluorine and bromine in an already electron-attracting pyrazine compound. The highest adsorption energy is observed for the boron-doped pyrazine at -2.735 eV. The electron-deficient sites present in fluorine and bromine help in improving the electronic storage of the sodium ion batteries. A mismatch is observed between the adsorption energy and bond length in pyrazine doped with fluorine and phosphorus.</t>
  </si>
  <si>
    <t>HASSAN, SAMMER-UL/AAW-7712-2021; Walsh, Frank/M-3334-2019; Harito, Christian/AAA-7178-2020</t>
  </si>
  <si>
    <t>Harito, Christian/0000-0002-9792-5629; Hassan, Sammer UI/0000-0002-0319-5814;</t>
  </si>
  <si>
    <t>1480-2422</t>
  </si>
  <si>
    <t>2292-1168</t>
  </si>
  <si>
    <t>10.14447/jnmes.v24i1.a01</t>
  </si>
  <si>
    <t>WOS:000636688800001</t>
  </si>
  <si>
    <t>Zhu, M; Zhang, M; Gu, HD; Zhu, XQ; Dai, WL; Yao, CC; Chen, F</t>
  </si>
  <si>
    <t>Zhu, Min; Zhang, Meng; Gu, Haidong; Zhu, Xinqi; Dai, Weilong; Yao, Congcong; Chen, Feng</t>
  </si>
  <si>
    <t>Superior Electrochemical Properties of Ni-Rich LiNi0.85Co0.05Mn0.10O2 Cathode with the Stable Polypyrrole Coating and Boron Doping for Li-Ion Batteries</t>
  </si>
  <si>
    <t>Ni-rich cathode materials have attracted much attention due to the high energy density and low cost. However, the poor cycling performance and low rate capacity have produced a serious impact on the practical commercial application. In this work, the B3+ incorporation and polypyrrole coating were both applied to enhance the electrochemical properties of LiNi0.85Co0.05Mn0.10O2 by using the co-precipitation process followed by a chemical vapor phase polymerization way. Herein, the B3+ incorporation into crystal structure could enlarge the lattice spacing, contributing to accelerating the Li+ insertion/extraction speed and enhancing the structural stability during cycling. The polypyrrole surface coating played a great effect on preventing cathode surface from the electrolyte erosion owing to a shield of polypyrrole. As a result, a maximum discharge capacity of 129.8 mAh g(-1) at 5 C high rate and prominently enhanced cycling performance with capacity retention of 90.1% after 300 cycles were acquired for the Polypyrrole coated LiNi0.835Co0.05Mn0.10B0.015O2. By comparison, the pristine LNCMO cathode demonstrated a fast decaying capacity and delivered a capacity retention of only 81.9%.</t>
  </si>
  <si>
    <t>CHEN, FENG/0000-0002-1900-1332; Chen, Feng/0000-0003-1192-5431</t>
  </si>
  <si>
    <t>10.1149/1945-7111/abebf9</t>
  </si>
  <si>
    <t>WOS:000629757700001</t>
  </si>
  <si>
    <t>Payandeh, SH; Rentsch, D; Lodziana, Z; Asakura, R; Bigler, L; Cerny, R; Battaglia, C; Remhof, A</t>
  </si>
  <si>
    <t>Payandeh, Seyed Hosein; Rentsch, Daniel; Lodziana, Zbigniew; Asakura, Ryo; Bigler, Laurent; Cerny, Radovan; Battaglia, Corsin; Remhof, Arndt</t>
  </si>
  <si>
    <t>Nido-Hydroborate-Based Electrolytes for All-Solid-State Lithium Batteries</t>
  </si>
  <si>
    <t>Hydroborate-based solid electrolytes have recently been successfully employed in high voltage, room temperature all-solid-state sodium batteries. The transfer to analogous lithium systems has failed up to now due to the lower conductivity of the corresponding lithium compounds and their high cost. Here LiB11H14 nido-hydroborate as a cost-effective building block and its high-purity synthesis is introduced. The crystal structures of anhydrous LiB11H14 as well as of LiB11H14-based mixed-anion solid electrolytes are solved and high ionic conductivities of 1.1 x 10(-4) S cm(-1) for Li-2(B11H14)(CB11H12) and 1.1 x 10(-3) S cm(-1) for Li-3(B11H14)(CB9H10)(2) are obtained, respectively. LiB11H14 exhibits an oxidative stability limit of 2.6 V versus Li+/Li and the proposed decomposition products are discussed based on density functional theory calculations. Strategies are discussed to improve the stability of these compounds by modifying the chemical structure of the nido-hydroborate cage. Galvanostatic cycling in symmetric cells with two lithium metal electrodes shows a small overpotential increase from 22.5 to 30 mV after 620 h (up to 0.5 mAh cm(-2)), demonstrating that the electrolyte is compatible with metallic anodes. Finally, the Li-2(B11H14)(CB11H12)( ) electrolyte is employed in a proof-of-concept half cell with a TiS2 cathode with a capacity retention of 82% after 150 cycles at C/5.</t>
  </si>
  <si>
    <t>Remhof, Arndt/ABA-5731-2020; GharibDoust, SeyedHosein/E-9432-2018; Lodziana, Zbigniew/AAH-4902-2019; Rentsch, Daniel/D-9717-2018; Lodziana, Zbigniew/V-5029-2017; Payandeh, SeyedHosein/E-9432-2018; Bigler, Laurent/AAP-3799-2020</t>
  </si>
  <si>
    <t>Battaglia, Corsin/0000-0002-5003-1134; Asakura, Ryo/0000-0002-9264-9493; Remhof, Arndt/0000-0002-8394-9646; Rentsch, Daniel/0000-0002-9335-9527; Lodziana, Zbigniew/0000-0002-4713-6891; Payandeh, SeyedHosein/0000-0003-2828-7106; Bigler, Laurent/0000-0003-3548-3594</t>
  </si>
  <si>
    <t>10.1002/adfm.202010046</t>
  </si>
  <si>
    <t>FEB 2021</t>
  </si>
  <si>
    <t>WOS:000621896700001</t>
  </si>
  <si>
    <t>Yao, YS; Cao, JX; Yin, WJ; Zhang, Q; Yang, LW; Wei, XL</t>
  </si>
  <si>
    <t>Yao, Yongsheng; Cao, Juexian; Yin, Wenjin; Zhang, Qi; Yang, Liwen; Wei, Xiaolin</t>
  </si>
  <si>
    <t>Modified Graphene Sheets as Promising Cathode Catalysts for Li-O2 Batteries: A First-Principles Study</t>
  </si>
  <si>
    <t>The Li-O-2 battery is a promising energy storage device; however, it is seriously hindered by the sluggish chemical reaction of cathode catalysts. Here, we study a cathode catalyst based on B- and N-doped and BN codoping on Stone-Wales defect graphene (SWG) by first-principles calculations. Interestingly, BN codoped structure not only increases the stability of the system but also exhibits extremely low discharge and charge overpotentials. The corresponding value of overpotential for the oxygen reduction reaction is 0.23 V, and the for oxygen evolution reaction, it is 0.29 V, indicating that the BN codoped structure is an excellent cathode catalyst for Li-O-2 batteries. Further analysis proves that the overpotential is strongly determined by the adsorption behavior of the intermediates in the rate-determining steps (RDS). These findings elucidate the quantitative correlations between intermediate adsorption and catalytic behavior, which provides a promising approach in designing of Li-O-2 battery cathode catalysts with highly activity. In addition, taking BN-SWG as a test case, we find that BN-SWG does not promote the formation of side product Li2CO3. On the other hand, it will not lead to the decomposition of the dimethyl sulfoxide electrolytes, indicating that BN-SWG can improve the reversible cycle life without producing Li2CO3-like species in Li-O-2 batteries.</t>
  </si>
  <si>
    <t>Wei, Xiaolin/H-5364-2013; Yin, Wen-Jin/AAE-6734-2019; Cao, Juexian/C-7345-2015; Zhang, Qi/K-6863-2012</t>
  </si>
  <si>
    <t>MAR 4</t>
  </si>
  <si>
    <t>10.1021/acs.jpcc.0c09616</t>
  </si>
  <si>
    <t>WOS:000626769100006</t>
  </si>
  <si>
    <t>Hyun, WJ; Thomas, CM; Luu, NS; Hersam, MC</t>
  </si>
  <si>
    <t>Hyun, Woo Jin; Thomas, Cory M.; Luu, Norman S.; Hersam, Mark C.</t>
  </si>
  <si>
    <t>Layered Heterostructure Ionogel Electrolytes for High-Performance Solid-State Lithium-Ion Batteries</t>
  </si>
  <si>
    <t>Ionogel electrolytes based on ionic liquids and gelling matrices offer several advantages for solid-state lithium-ion batteries, including nonflammability, wide processing compatibility, and favorable electrochemical and thermal properties. However, the absence of ionic liquids that are concurrently stable at low and high potentials constrains the electrochemical windows of ionogel electrolytes and thus their high-energy-density applications. Here, ionogel electrolytes with a layered heterostructure are introduced, combining high-potential (anodic stability: &gt;5 V vs Li/Li+) and low-potential (cathodic stability: &lt;0 V vs Li/Li+) imidazolium ionic liquids in a hexagonal boron nitride nanoplatelet matrix. These layered heterostructure ionogel electrolytes lead to extended electrochemical windows, while preserving high ionic conductivity (&gt;1 mS cm(-1) at room temperature). Using the layered heterostructure ionogel electrolytes, full-cell solid-state lithium-ion batteries with a nickel manganese cobalt oxide cathode and a graphite anode are demonstrated, exhibiting voltages that are unachievable with either the high-potential or low-potential ionic liquid alone. Compared to ionogel electrolytes based on mixed ionic liquids, the layered heterostructure ionogel electrolytes enable higher stability operation of full-cell lithium-ion batteries, resulting in significantly enhanced cycling performance.</t>
  </si>
  <si>
    <t>Hersam, Mark/B-6739-2009</t>
  </si>
  <si>
    <t>Hyun, Woo Jin/0000-0002-2159-8553; Hersam, Mark/0000-0003-4120-1426</t>
  </si>
  <si>
    <t>10.1002/adma.202007864</t>
  </si>
  <si>
    <t>WOS:000618662100001</t>
  </si>
  <si>
    <t>Chen, SL; Feng, F; Che, HY; Yin, YM; Ma, ZF</t>
  </si>
  <si>
    <t>Chen, Suli; Feng, Fan; Che, Haiying; Yin, Yimei; Ma, Zi-Feng</t>
  </si>
  <si>
    <t>High performance solid-state sodium batteries enabled by boron contained 3D composite polymer electrolyte</t>
  </si>
  <si>
    <t>Practical application of solid-state batteries has been severely hindered by the relatively low ionic conductivity of electrolyte and high charge-transfer resistance between electrode and solid electrolyte. The development of novel materials and creation of new nanostructures are effective strategies to address the challenges. Here, an innovative 3D composite polymer electrolyte modified with anion-trapping boron (B-CPE) is reported for the first time as a solid electrolyte for sodium-ion batteries (SIBs). The B-CPE is prepared through in situ polymerization of polymer electrolyte inside a mechanically supporting matrix. It shows excellent ionic conductivity of 2.57 x 10(-4) S cm(-1) at 40 degrees C, high Na+ transference number of 0.66, and good interfacial compatibility with Na metal anode. Moreover, solid-state SIBs were assembled by one-step in situ solidification method to form gentle electrode/electrolyte contact, and it's found that the charge-transfer efficiency has been significantly improved at the electrode/electrolyte interface as well as in cathode due to the formation of ion-conducting continuous polymer phase. Hence the B-CPE based solid-state SIBs exhibit outstanding electrochemical performances as the synergistic effect of high performance electrolyte and optimized cell structure. It delivers initial discharge capacity of 113.8 mAh g(-1) and maintains 80.1% of capacity during 320 cycles under 0.2 C at 40 degrees C, and even 80.4% of the capacity retention after 700 cycles under 3 C. Notably, the battery achieves a significant improvement in rate capability owing to the introduction of boron moieties. This work opens new possibilities to fabricate high performance other rechargeable solid-state batteries.</t>
  </si>
  <si>
    <t>Feng, Fan/AAH-2619-2021</t>
  </si>
  <si>
    <t>10.1016/j.cej.2020.126736</t>
  </si>
  <si>
    <t>WOS:000600994400002</t>
  </si>
  <si>
    <t>Liu, M; Zhang, ST; Li, GQ; Wang, C; Li, B; Li, M; Wang, Y; Ming, H; Wen, YH; Qiu, JY; Chen, JH; Zhao, PC</t>
  </si>
  <si>
    <t>Liu, Meng; Zhang, Songtong; Li, Guangqi; Wang, Chong; Li, Bin; Li, Meng; Wang, Yue; Ming, Hai; Wen, Yuehua; Qiu, Jingyi; Chen, Junhong; Zhao, Pengcheng</t>
  </si>
  <si>
    <t>A cross-linked gel polymer electrolyte employing cellulose acetate matrix and layered boron nitride filler prepared via in situ thermal polymerization</t>
  </si>
  <si>
    <t>The cross-linked gel polymer electrolyte (GPE) with cellulose acetate (CA) as matrix, poly (ethylene glycol) diacrylate (PEGDA) as cross-linking agent, and layered boron nitride (BN) as reinforcement is prepared for lithium-ion batteries (LIBs). Different from reported CA based polymer electrolytes, we adopt a simple in situ thermal polymerization method in the battery to prepare the GPE and polymer LIBs simultaneously. BN filler is uniformly dispersed in the cross-linked GPE and it interacts with not only the polymer matrix but also the anion in liquid electrolyte. Therefore, BN filler facilitates the transport of Li+ ions and delays the oxidative decomposition of the GPE. BN filler inhibits the evaporation of organic solvents at the low temperature, whereas it accelerates their decomposition at the high temperature. Due to the synergistic effect of CA matrix and BN filler, the obtained GPE exhibits a high ionic conductivity of 8.9 x 10(-3) S cm(-1) at 30 degrees C, an excellent electrochemical stability up to 5.5 V, and a good thermal stability. This work sheds light on the interaction between GPEs and the inorganic fillers, which is crucial for designing new polymer electrolyte systems.</t>
  </si>
  <si>
    <t>Wen, Yuezhong/A-7651-2011; Chen, Junhong/C-7808-2015; Li, Bin/IQT-8772-2023</t>
  </si>
  <si>
    <t>Zhao, Pengcheng/0000-0003-1584-6730;</t>
  </si>
  <si>
    <t>10.1016/j.jpowsour.2020.229235</t>
  </si>
  <si>
    <t>WOS:000605192200004</t>
  </si>
  <si>
    <t>Nazarian-Samani, M; Haghighat-Shishavan, S; Nazarian-Samani, M; Kashani-Bozorg, SF; Ramakrishna, S; Kim, KB</t>
  </si>
  <si>
    <t>Nazarian-Samani, Masoud; Haghighat-Shishavan, Safa; Nazarian-Samani, Mahboobeh; Kashani-Bozorg, Seyed Farshid; Ramakrishna, Seeram; Kim, Kwang-Bum</t>
  </si>
  <si>
    <t>Perforated two-dimensional nanoarchitectures for next -generation batteries: Recent advances and extensible perspectives</t>
  </si>
  <si>
    <t>PROGRESS IN MATERIALS SCIENCE</t>
  </si>
  <si>
    <t>In the past decade, nanoperforated graphene (also known as a graphene nanomesh or holey graphene) has attracted considerable research interest worldwide, predominantly because of its superior properties such as superb electronic properties with a tunable band gap, greatly enhanced mass and charge transport, high specific surface area with abundant useful reaction/ adsorption sites and functionalities, and excellent magnetic, photocatalytic, and mechanical properties. Considering the most recent research activities, this comprehensive review first concentrates on the characterization and synthesis particulars of chemistry-based strategies for several state-of-the-art 2D holey nanoarchitectures, including holey graphene, nitrogenated holey carbon networks (C2N), holey graphitic carbon nitride (g-C3N4), and carbon nanomeshes, as well as 2D holey metal oxides, nitrides, sulfides, phosphides, hydroxides, selenides, carbides, carbonates, oxyfluorides, and NASICON-type structures. The pros and cons of each method for designing in-plane nanoperforations are also highlighted. Subsequently, we discuss the electrochemical properties for next-generation batteries including Li-O2, Zn-air, Li-CO2, Li-S, Li-Se, Li-SexSy, and K-ion batteries, while comprehensively evaluating all the parameters that help in improving their performance owing to the existence of the introduced in-plane holes. Finally, we emphasize the substantial limitations and challenges to facilitate further research and development. This comprehensive review might provide a directional, prompt guide for the designation and fabrication of additional innovative holey nanostructures for emerging applications. Superscript/Subscript Available</t>
  </si>
  <si>
    <t>Nazarian-Samani, Masoud/L-1879-2015; Ramakrishna, Seeram/E-5186-2011; Haghighat-Shishavan, Safa/AGC-6268-2022</t>
  </si>
  <si>
    <t>0079-6425</t>
  </si>
  <si>
    <t>1873-2208</t>
  </si>
  <si>
    <t>WOS:000598641500001</t>
  </si>
  <si>
    <t>Rodriguez, JR; Kim, PJ; Kim, K; Qi, ZM; Wang, HY; Pol, VG</t>
  </si>
  <si>
    <t>Rodriguez, Jassiel R.; Kim, Patrick J.; Kim, Kyungho; Qi, Zhimin; Wang, Haiyan; Pol, Vilas G.</t>
  </si>
  <si>
    <t>Engineered heat dissipation and current distribution boron nitride-graphene layer coated on polypropylene separator for high performance lithium metal battery</t>
  </si>
  <si>
    <t>Li metal as a battery anode has been intensively studied because of its high gravimetric capacity (3860 mAh g(-1)), a low standard electrode potential (-3.04 vs. SHE), a reasonable electronic conductivity and low density. However, lithium metal suffers from a continuous Li dendrite growth upon charge-discharge cycling, delivering a poor coulombic efficiency and consequently its early failure. Here, engineered bilayer separators demonstrate that a boron nitride-graphene (BN(x)Gr(y)) layer coated on one side of polypropylene (PP) membrane remarkably reduces the polarization and impedance, and significantly improve the performance and stability of Li/Cu half-cells. Moreover, Li/LiFePO4 full cell with the modified BN(50)Gr(50)/PP separator presents a remarkably stable 1000 charge-discharge cycles with a specific capacity of 114 mAh g(-1) at 1C-rate. The superiority of the modified separator is orginated from an effective synergistic effect between physico-chemical properties of Gr (reducing local current density) and BN (dissipating local heat) and its enhanced structural and mechanical stability. (C) 2020 Elsevier Inc. All rights reserved.</t>
  </si>
  <si>
    <t>Qi, Zhimin/L-7162-2019; Wang, Haiyan/GWQ-8454-2022</t>
  </si>
  <si>
    <t>Rodriguez, Jassiel/0000-0002-9881-2917</t>
  </si>
  <si>
    <t>10.1016/j.jcis.2020.09.009</t>
  </si>
  <si>
    <t>WOS:000595500200008</t>
  </si>
  <si>
    <t>Slubowska, W; Montagne, L; Lafon, O; Méar, F; Kwatek, K</t>
  </si>
  <si>
    <t>Slubowska, Wioleta; Montagne, Lionel; Lafon, Olivier; Mear, Francois; Kwatek, Konrad</t>
  </si>
  <si>
    <t>B2O3-Doped LATP Glass-Ceramics Studied by X-ray Diffractometry and MAS NMR Spectroscopy Methods</t>
  </si>
  <si>
    <t>Two families of glasses in the Li2O-Al2O3-B2O3-TiO2-P2O5 system were prepared via two different synthesis routes: melt-quenching and ball-milling. Subsequently, they were submitted to crystallization and yielded the Li(1.3)A(l0).Ti-3(1.7)(PO4)(3) (LATP)-based glass-ceramics. Glasses and corresponding glass-ceramics were studied by complementary X-ray diffraction (XRD) and Al-27, P-31, Li-7, B-11 magic-angle spinning nuclear magnetic resonance (MAS NMR) methods in order to compare their structure and phase composition and elucidate the impact of boron additive on their glass-forming properties and crystallization process. XRD studies show that the addition of B2O3 improves the glass-forming properties of glasses prepared by either method and inhibits the precipitation of unwanted phases during heat treatment. MAS NMR studies allowed us to distinguish two LATP phases of slightly different chemical composition suggesting that LATP grains might not be homogeneous. In conclusion, the crystallization of boron-incorporated LATP glasses can is an effective way of obtaining LATP-based solid state electrolytes for the next generation of lithium-ion batteries provided the proper heat-treatment conditions are chosen.</t>
  </si>
  <si>
    <t>Kwatek, Konrad/AAM-2872-2020; Lafon, Olivier/H-1046-2012; montagne, lionel/C-8622-2011</t>
  </si>
  <si>
    <t>Slubowska, Wioleta/0000-0002-1065-8450; montagne, lionel/0000-0001-7607-8558; Kwatek, Konrad/0000-0001-9148-4634</t>
  </si>
  <si>
    <t>10.3390/nano11020390</t>
  </si>
  <si>
    <t>WOS:000622942700001</t>
  </si>
  <si>
    <t>Forero-Saboya, J; Bodin, C; Ponrouch, A</t>
  </si>
  <si>
    <t>Forero-Saboya, Juan; Bodin, Charlotte; Ponrouch, Alexandre</t>
  </si>
  <si>
    <t>A boron-based electrolyte additive for calcium electrodeposition</t>
  </si>
  <si>
    <t>In recent years, several organic electrolytes have been reported allowing calcium metal electrodeposition. In all cases, some degree of passivation on the surface of the calcium electrode was reported. Following a recent report on based passivation layer playing a crucial role for Ca plating in electrolyte solutions containing Ca(BF4)(2), here we report the use of a boron-containing additive. The presence of this additive allows Ca plating and stripping using a Ca(TFSI)(2) containing electrolyte, which otherwise lead to the formation of a fully Ca2+ blocking passivation layer.</t>
  </si>
  <si>
    <t>; Forero-Saboya, Juan/GWQ-9803-2022; Ponrouch, Alexandre/IWD-4879-2023</t>
  </si>
  <si>
    <t>Ponrouch, Alexandre/0000-0002-8232-6324;</t>
  </si>
  <si>
    <t>10.1016/j.elecom.2021.106936</t>
  </si>
  <si>
    <t>JAN 2021</t>
  </si>
  <si>
    <t>WOS:000633163700010</t>
  </si>
  <si>
    <t>Li, ZJ; Xu, F; Li, CL; Wang, P; Yi, WT; Wang, SX; Yang, L; Yan, CY; Li, SY</t>
  </si>
  <si>
    <t>Li, Zhaojuan; Xu, Fei; Li, Chunlei; Wang, Peng; Yi, Wentao; Wang, Shengxian; Yang, Li; Yan, Chunyan; Li, Shiyou</t>
  </si>
  <si>
    <t>Influences and Mechanisms of Water on a Solid Electrolyte Interphase Film for Lithium-Ion Batteries</t>
  </si>
  <si>
    <t>Trace water, one of the most common impurities, has a fatal influence on the performance of lithium-ion batteries (LIBs). In this work, the influences of water content on the solvation structure of lithium ions and the component of solid electrolyte interphase (SEI) film in the lithium bis(oxalato)borate (LiBOB)-ethylene carbonate (EC)/diethyl carbonate electrolyte (DEC) system are studied. Results of attenuated total reflection-Fourier transform infrared analysis and density functional theory (DFT) calculation show that a great number of solvation structures of Li+(EC)(2)(H2O)(2) and Li+(EC)(3)(H2O) are formed in the electrolyte system with additional H2O. Besides, the free H2O generated by the desolvation effect will react with the desolvated Li+ ions and the heterogeneous organic components in the outer layer of a SEI film. These parasitic reactions will lead to an overgrown and excessive inorganic componentcontaining SEI film, which harms the Li+ ion conductive characteristics of the SEI film and the electrochemical performance of LIBs. In particular, insoluble LiB(C2O4)(OH)(2) and B(C2O4)OH products are generated when the content of the additional H2O reaches 10,000 ppm because of the hydrolytic reaction. Moreover, it is because of the generation of these poor ion-conductive boron-containing substances that the impedance of the cell increases sharply. These studies can provide the theoretical basis for battery failure analysis.</t>
  </si>
  <si>
    <t>Wang, Peng/HPC-8249-2023; LIU, YUTING/JUV-1285-2023</t>
  </si>
  <si>
    <t>FEB 22</t>
  </si>
  <si>
    <t>10.1021/acsaem.0c02486</t>
  </si>
  <si>
    <t>WOS:000621660800019</t>
  </si>
  <si>
    <t>Park, SE; Yang, SY; Kim, KJ</t>
  </si>
  <si>
    <t>Park, Seong Eun; Yang, So Yeon; Kim, Ki Jae</t>
  </si>
  <si>
    <t>Boron-functionalized carbon felt electrode for enhancing the electrochemical performance of vanadium redox flow batteries</t>
  </si>
  <si>
    <t>Herein, boron-doped carbon felt (B-CF) was proposed as a promising electrode for ensuring the outstanding electrochemical performance of vanadium redox flow batteries (VRFBs). Boron-functional groups can be successfully introduced onto carbon felt (CF) via NH4BF4 treatment. The hydrophobic nature of CF is changed to hydrophilicity via the incorporation of boron-functional groups, resulting in excellent affinity with the electrolytes of VRFBs. A VRFB cell containing B-CF exhibits higher energy efficiency (80.56%) than that of CF (63.40%) at 100 mA cm(-2) current density. This improvement is attributed to the enhanced electrocatalytic properties of B-CF toward VO2+/VO2+ and V2+/V3+ redox reactions.</t>
  </si>
  <si>
    <t>APR 30</t>
  </si>
  <si>
    <t>10.1016/j.apsusc.2021.148941</t>
  </si>
  <si>
    <t>WOS:000620786000004</t>
  </si>
  <si>
    <t>Dai, K; Zheng, Y; Wei, WF</t>
  </si>
  <si>
    <t>Dai, Kuan; Zheng, Yuan; Wei, Weifeng</t>
  </si>
  <si>
    <t>Organoboron-Containing Polymer Electrolytes for High-Performance Lithium Batteries</t>
  </si>
  <si>
    <t>Polymer electrolytes (PEs) have been deemed as a sought-after candidate for next-generation lithium batteries. Substantial effort has been dedicated to exploiting PEs with improved comprehensive performance. Organoboron compounds have aroused great interest in PEs due to their distinct characteristics such as high design diversity, excellent thermal stability, promoting lithium-ion transportation, and raising Li+ transference number. Organoboron compounds also have unique functions that facilitate the development of a stable solid electrolyte interface on the electrode surface. Their diversified structures and multiple functions are fundamentally associated with boron's hybridization form that determines the electronic structure of boron as a central atom. Here, recent advancement in organoboron-containing PEs is reviewed in the aspect of polymer matrixes with boron moieties and organoboron additives for PEs. This review aims to highlight the diverse roles and high application potentials of organoboron compounds utilized in PEs. It is anticipated to provide a clear perspective of organoboron-containing PEs and to spur more research interests for the exploration of safe and efficient lithium batteries.</t>
  </si>
  <si>
    <t>Wei, Weifeng/B-4613-2011</t>
  </si>
  <si>
    <t>Wei, Weifeng/0000-0002-3088-6549</t>
  </si>
  <si>
    <t>10.1002/adfm.202008632</t>
  </si>
  <si>
    <t>WOS:000608925400001</t>
  </si>
  <si>
    <t>Patnaik, SG; Jayakumar, TP; Sawamura, Y; Matsumi, N</t>
  </si>
  <si>
    <t>Patnaik, Sai Gourang; Jayakumar, Tejkiran Pindi; Sawamura, Yukihiro; Matsumi, Noriyoshi</t>
  </si>
  <si>
    <t>Defined Poly(borosiloxane) as an Artificial Solid Electrolyte Interphase Layer for Thin-Film Silicon Anodes</t>
  </si>
  <si>
    <t>Solid electrolyte interphase (SEI) formation in Li-ion batteries is essential for good long-term performance of the cell. However, for electrodes exhibiting high volume expansion (like Si and Sn), continuous SEI formation can not only deplete electrolyte content but also increase cell impedance and hence mediocre performance. This is particularly detrimental in the case of thin-film electrodes where there is a minute amount of active materials loading. In the current work, defined poly(borosiloxane (PBS) as an artificial polymeric SEI having self-healing, anion- trapping properties, and electron-deficient boron moiety is NNIC cathode investigated. Studies on thin-film Si electrodes show excellent enhancement with polymeric coating in terms of cycling stability. These improvements are attributed to a combination of factors including the anion-trapping effect of tricoordinate boron, self- healing ability of PBS, and adherence to the electrode surface.</t>
  </si>
  <si>
    <t>; Patnaik, Sai Gourang/AAD-4804-2022; Jayakumar, Tejkiran/G-2031-2015</t>
  </si>
  <si>
    <t>Patnaik, Sai Gourang/0000-0002-1606-9024; Pindi Jayakumar, Tejkiran/0000-0003-2834-1141;</t>
  </si>
  <si>
    <t>10.1021/acsaem.0c02749</t>
  </si>
  <si>
    <t>WOS:000636714000024</t>
  </si>
  <si>
    <t>Türk, BE; Sarul, MH; Çengelci, E; Karadag, ÇI; San, FGB; Kiliç, M; Okumus, E; Yazici, S</t>
  </si>
  <si>
    <t>Turk, Betul Erdor; Sarul, Mustafa Hadi; Cengelci, Ekrem; Karadag, Cigdem Iyigun; San, Fatma Gul Boyaci; Kilic, Murat; Okumus, Emin; Yazici, Suha</t>
  </si>
  <si>
    <t>Integrated Process Control-Power Management System Design and Flight Performance Tests for Fuel Cell Powered Mini-Unmanned Aerial Vehicle</t>
  </si>
  <si>
    <t>Unmanned aerial vehicles (UAVs) powered by electric motors are in an advantageous position because of their properties, such as low noise and thermal footprint, high efficiency, and zero emissions. Lithium-based batteries have restrictive factors for flight duration due to its low energy density, difficult, and expensive charging methods. It is aimed to extend flight duration of a battery powered mini-type UAV with a combined system, which includes a 200 W polymer electrolyte membrane ( PEM) fuel cell, a hydrogen generation system based on in situ hydrolysis of sodium borohydride, a hybrid power management system consisting of fuel cell and battery, and an embedded control system. It is observed that a fuel cell-based energy system is able to extend endurance by twofolds compared with an only battery powered system. This is the first study in the literature that investigates the flight duration of UAVs in battery versus fuel cell according to actual flight data.</t>
  </si>
  <si>
    <t>; Boyacı, Fatma/AAR-2094-2020; Yazici, Mehmet Suha/Y-2831-2018; Cengelci, Ekrem/M-1121-2016; Yazici, Mehmet Suha/HDO-8264-2022; Türk, Betül/AAF-2318-2021</t>
  </si>
  <si>
    <t>Erdor Turk, Betul/0000-0002-5586-7301; Boyaci San, Fatma Gul/0000-0002-5578-1145; Yazici, Mehmet Suha/0000-0002-1449-1811; Cengelci, Ekrem/0000-0002-4938-8961; Iyigun Karadag, Cigdem/0000-0002-9553-6419</t>
  </si>
  <si>
    <t>10.1002/ente.202000879</t>
  </si>
  <si>
    <t>WOS:000609201400001</t>
  </si>
  <si>
    <t>Zhang, YF; Wang, JY; Tan, C; He, Y; Chen, YZ; Huo, SK; Zeng, DL; Li, C; Cheng, HS</t>
  </si>
  <si>
    <t>Zhang, Yunfeng; Wang, Jiaying; Tan, Chang; He, Yang; Chen, Yazhou; Huo, Shikang; Zeng, Danli; Li, Chen; Cheng, Hansong</t>
  </si>
  <si>
    <t>Fire-retardant sp3 boron-based single ion conducting polymer electrolyte for safe, high efficiency and dendrite-free Li-metal batteries</t>
  </si>
  <si>
    <t>Single lithium ion conducting polymer electrolytes (SIPEs) are an emerging class of alternative polymer electrolytes for protecting lithium metal anode. This work explores a fully aromatic sp(3) boron based SIPE, lithium poly (4,4'-dihydroxydiphenyl sulfone borate), Li-PSB, via a one-step synthetic procedure. A series of highly porous SIPE membranes, defined as po-PB SBs, comprising of Li-PSB and a fully aromatic polybenzimidazole (PBI) binder are firstly prepared. As a polymer electrolyte, po-PBSB exhibits high lithium ion transference number of close to unity, high ionic conductivity, excellent thermal dimensional stability and promising flame-retardant. Xray Photoelectron Spectroscopy (XPS) and Density Functional Theory (DFT) calculations depict multi-coordinated lithium ion transport channels in the po-PBSB membranes. By serving as polymer electrolyte in lithium metal batteries (LMBs), Li/LiFePO4 (LFP) cell, the po-PBSB shows an effective suppression of lithium dendrite growth. As a consequence, po-PBSB based Li/LFP cell demonstrates superior cycling performance remaining 76.1% of its initial capacity with nearly 100% coulombic efficiency at 1.0C after 200 cycles. The excellent performance may be ascribed to the remarkable lithium ion transference number, high organic solvent absorption in pores and thermal and electrochemical stabilities of the po-PBSB. We believe that the novel SIPE materials have great potential for application in high-safety LMBs.</t>
  </si>
  <si>
    <t>zeng, dan/HJJ-1301-2023; Cheng, Hansong/G-3928-2012; ZHANG, Yunfeng/F-6147-2010</t>
  </si>
  <si>
    <t>ZHANG, Yunfeng/0000-0001-6928-1742; Chen, Yazhou/0000-0002-8372-2724</t>
  </si>
  <si>
    <t>10.1016/j.memsci.2020.118921</t>
  </si>
  <si>
    <t>WOS:000609139300001</t>
  </si>
  <si>
    <t>Shi, JY; Yao, YM; Xue, LY; Li, K; Ning, JX; Jiang, F; Huang, FL</t>
  </si>
  <si>
    <t>Shi, Jiayi; Yao, Yingmei; Xue, Liyuan; Li, Ke; Ning, Jinxia; Jiang, Feng; Huang, Fenglin</t>
  </si>
  <si>
    <t>Application of magnetron sputtering to deposit a multicomponent separator with polysulfide chemisorption and electrode stabilization for high-performance lithium-sulfur batteries</t>
  </si>
  <si>
    <t>SURFACE &amp; COATINGS TECHNOLOGY</t>
  </si>
  <si>
    <t>Lithium-sulfur battery has attracted immense attention because of its extraordinary high energy density and theoretical capacity. However, its practical application has been seriously hindered by the rapid capacity degradation associated with the shuttle effect and unstable electrodes. Such negative issues during charge-discharge process could be alleviated by modification of the separator, which is demonstrated in this paper. Here, we report a sandwich-type vanadium nitride/polyvinylidene fluoride-polymethylmethacrylate/hexagonal boron nitride separator (VN/PVDF-PMMA/hBN) by electrospinning of PVDF-PMMA nanofiber membrane, followed by magnetron sputtering of VN and hBN layer at the opposite size of the membrane. Compared to conventional coating method, magnetron sputtering led to an ultrathin coating layer of 200 nm. The sputtered VN/ PVDF-PMMA/hBN separator showed higher porosity (68.7%) than commercial polypropylene (PP) separator (44.5%), and significantly high electrolyte uptake (335.8% s. 175.9%), which can lead to rapid transportation of lithium ions. In the meantime, the membrane showed clear benefit in inhibiting polysulfide diffusion and lithium metal electrode stabilization due to the presence of polar C=O groups that interact with the polysulfides. As a result, the Li-S battery with VN/PVDF-PMMA/hBN separator showed a high initial discharge capacity of 1077.4 mAh g(-1) at 0.2C, which only slightly decreased to 905.1 mAh g(-1) after 200 cycles. Significantly higher than the battery with commercial PP separator.</t>
  </si>
  <si>
    <t>Li, Ke/IUP-4654-2023; Jiang, Feng/AAA-1050-2019; huang, fenglin/AAW-6130-2021</t>
  </si>
  <si>
    <t>0257-8972</t>
  </si>
  <si>
    <t>1879-3347</t>
  </si>
  <si>
    <t>10.1016/j.surfcoat.2020.126580</t>
  </si>
  <si>
    <t>WOS:000604583200053</t>
  </si>
  <si>
    <t>You, LZ; Chu, BB; Li, GX; Huang, T; Yu, AS</t>
  </si>
  <si>
    <t>You, Longzhen; Chu, Binbin; Li, Guangxin; Huang, Tao; Yu, Aishui</t>
  </si>
  <si>
    <t>H3BO3 washed LiNi0.8Co0.1Mn0.1O2 with enhanced electrochemical performance and storage characteristics</t>
  </si>
  <si>
    <t>LiNi0.8Co0.1Mn0.1O2 (NCM811) is a very promising Ni-rich layered cathode material for Li-ion batteries due to its low cost and high discharge capacity. However, the residual lithium deteriorates its electrochemical and storage performances, which hinders its application. Here, we propose a novel facial surface modification strategy, using H3BO3 to clean the surface of NCM811, and then convert the residual lithium into a uniform lithium-boron compound layer through subsequent calcination, thereby improving lithium ion diffusion and electron transport. The sample washed with H3BO3 displays a smooth surface that covered by lithium-boron compounds and shows a much lower content of residual lithium compared with pristine NCM811 and ethanol washed sample. The electrochemical results indicate that the H3BO3 washed material exhibits a higher discharge capacity (196.9 mAh g(-1) at 0.1C) and a better capacity retention at 0.5C (96.49% after 100 cycles). With a layer of lithium-boron compounds, the NCM811 becomes more resistant to corrosion by the electrolyte, which results in a stable surface crystal structure. In addition, the H3BO3 washed NCM811 does not have obvious growth of residual lithium in the ambient, which shows better storage performance and is of great significance for practical application.</t>
  </si>
  <si>
    <t>Huang, Tao/IQU-9175-2023</t>
  </si>
  <si>
    <t>10.1016/j.jpowsour.2020.228940</t>
  </si>
  <si>
    <t>WOS:000597242900002</t>
  </si>
  <si>
    <t>Ma, T; Wang, R; Jin, S; Zheng, SB; Li, L; Shi, JQ; Cai, YC; Liang, J; Tao, ZL</t>
  </si>
  <si>
    <t>Ma, Tao; Wang, Rui; Jin, Song; Zheng, Shibing; Li, Lin; Shi, Jinqiang; Cai, Yichao; Liang, Jing; Tao, Zhanliang</t>
  </si>
  <si>
    <t>Functionalized Boron Nitride-Based Modification Layer as Ion Regulator Toward Stable Lithium Anode at High Current Densities</t>
  </si>
  <si>
    <t>It is difficult to achieve higher energy density with the existing system of lithium (Li)-ion batteries. As a powerful candidate, Li metal batteries are in the renaissance. Unfortunately, the uncontrolled growth process of Li dendrites has limited their actual application. Hence, inhibiting the formation and spread of Li dendrites has become an enormous challenge. Herein, a novel composite separator is developed with functionalized boron nitride nanosheet modification layer as a Li-ion regulator to regulate Li-ion fluxes. The composite separator contains abundant polar groups and nanoscale channels and could achieve uniform electrochemical deposition via the lithiophilic effect and shunting action. Under the synergy influence of the lithiophilic effect and shunting action, Li dendrites are effectively suppressed. As proof, the Li parallel to Li symmetrical cells with composite separators can circulate steadily for a long time under high current densities (10 mA cm(-2), 800 h). Moreover, the LiFePO4 parallel to Li full cells display excellent long cycling performance (82% retention after 800 cycles).</t>
  </si>
  <si>
    <t>; Li, Lin/ABB-2902-2021; wang, rui/JAC-6240-2023</t>
  </si>
  <si>
    <t>Ma, Tao/0000-0001-5448-4387; Li, Lin/0000-0002-4342-6816;</t>
  </si>
  <si>
    <t>10.1021/acsami.0c16354</t>
  </si>
  <si>
    <t>WOS:000611066000034</t>
  </si>
  <si>
    <t>Kawasaki, M; Morigaki, K; Kano, G; Nakamoto, H; Takekawa, R; Kawamura, J; Minato, T; Abe, T; Ogumi, Z</t>
  </si>
  <si>
    <t>Kawasaki, Mitsuo; Morigaki, Ken-Ichi; Kano, Gentaro; Nakamoto, Hirofumi; Takekawa, Reiji; Kawamura, Junichi; Minato, Taketoshi; Abe, Takeshi; Ogumi, Zempachi</t>
  </si>
  <si>
    <t>Lactone-Based Liquid Electrolytes for Fluoride Shuttle Batteries</t>
  </si>
  <si>
    <t>Rechargeable secondary batteries operating through fluoride-ion shuttling between the positive and negative electrodes, referred to as fluoride shuttle batteries (FSBs), offer a potentially promising solution to overcoming the energy-density limitations of current lithium-ion battery systems. However, there are many technical issues that need to be resolved to achieve high-quality fluoride-carrying electrolytes and ensure reversible transformations between a metal and its fluoride counterpart at both electrodes. Here, we introduce novel lactone-based liquid electrolytes consisting either of CsF or KF, which are prepared by a solvent substitution method. Although the maximum fluoride-ion concentration achieved by the method is approximately 0.05 M, these systems behave as strong electrolytes where CsF(KF) is almost fully dissociated into Cs+(K+) and F- ions to give a maximum ionic conductivity of 0.8 mS.cm(-1). Hence, the solvent supports electrochemically active fluoride ions that can drive reversible metal/metal-fluoride transformations at room temperature for a wide range of metal electrodes. However, irreversible reductive reactions of the solvent, also promoted by the fluoride ions, limit currently the negative potential window to approximately -1.5 V vs the standard hydrogen electrode. (c) 2021 The Author(s). Published on behalf of The Electrochemical Society by IOP Publishing Limited. This is an open access article distributed under the terms of the Creative Commons Attribution Non-Commercial No Derivatives 4.0 License (CC BYNC-ND, http://creativecommons.org/licenses/by-nc-nd/4.0/), which permits non-commercial reuse, distribution, and reproduction in any medium, provided the original work is not changed in any way and is properly cited. For permission for commercial reuse, please email: permissions@ioppublishing.org.</t>
  </si>
  <si>
    <t>Uchimoto, Yoshiharu/AAC-9311-2020; Minato, Taketoshi/H-3822-2014; Kawamura, Junichi/CAF-8207-2022</t>
  </si>
  <si>
    <t>10.1149/1945-7111/abdaff</t>
  </si>
  <si>
    <t>WOS:000612843700001</t>
  </si>
  <si>
    <t>Zhao, BL; Ma, LX; Wu, K; Cao, MX; Xu, MG; Zhang, XX; Liu, W; Chen, JT</t>
  </si>
  <si>
    <t>Zhao, Binglu; Ma, Luxiang; Wu, Kai; Cao, Mengxiong; Xu, Minggui; Zhang, Xinxiang; Liu, Wen; Chen, Jitao</t>
  </si>
  <si>
    <t>Asymmetric double-layer composite electrolyte with enhanced ionic conductivity and interface stability for all-solid-state lithium metal batteries</t>
  </si>
  <si>
    <t>All-solid-state Li metal battery has been regarded as a promising battery technology due to its high energy density based on the high capacity of lithium metal anode and high safety based on the all solid state electrolyte without inflammable solvent. However, challenges still exist mainly in the poor contact and unstable interface between electrolyte and electrodes. Herein, we demonstrate an asymmetric design of the composite polymer electrolyte with two different layers to overcome the interface issues at both the cathode and the anode side simultaneously. At the cathode side, the polypropylene carbonate layer has enough viscosity and flexibility to reduce the inter-facial resistance, while at the Li anode side, the polyethylene oxide layer modified with hexagonal boron nitride has high mechanical strength to suppress the Li dendrite growth. Owing to the synergetic effect between different components, the as-prepared double layer composite polymer electrolyte demonstrates a large electrochemical window of 5.17 V, a high ionic conductivity of 6.1 x 10(4) S/cm, and a transference number of 0.56, featuring excellent ion transport kinetics and good chemical stability. All-solid-state Li metal battery assembled with LiFePO4 cathode and Li anode delivers a high capacity of 150.9 mAh/g at 25 degrees C and 0.1 C-rate, showing great potential for practical applications. (C) 2020 Chinese Chemical Society and Institute of Materia Medica, Chinese Academy of Medical Sciences. Published by Elsevier B.V. All rights reserved.</t>
  </si>
  <si>
    <t>Chen, Jitao/G-2995-2011; Liu, Wen/L-6886-2019; Liu, Wen/J-1192-2016; Zhang, Xin-Xiang/G-1628-2011; 凯, 吴/IXN-1847-2023</t>
  </si>
  <si>
    <t>Liu, Wen/0000-0001-8884-7799; Zhang, Xin-Xiang/0000-0002-9715-4561;</t>
  </si>
  <si>
    <t>10.1016/j.cclet.2020.10.045</t>
  </si>
  <si>
    <t>WOS:000618541800022</t>
  </si>
  <si>
    <t>Du, FH; Sun, PP; Zhou, Q; Zeng, D; Hu, D; Fan, ZX; Hao, Q; Mei, CX; Xu, T; Zheng, JW</t>
  </si>
  <si>
    <t>Du, Fanghui; Sun, Pengpeng; Zhou, Qun; Zeng, Dong; Hu, Die; Fan, Zhongxu; Hao, Qi; Mei, Chengxiang; Xu, Tao; Zheng, Junwei</t>
  </si>
  <si>
    <t>Interlinking Primary Grains with Lithium Boron Oxide to Enhance the Stability of LiNi0.8Co0.15Al0.05O2</t>
  </si>
  <si>
    <t>Destructive effects of surface lithium residues introduced in synthesis and degradation of the microstructure and electrode/electrolyte interface during cycling of Ni-rich cathode materials are the major problems hindering their wide application. Herein, we demonstrate an exquisite surface modification strategy that can utilize lithium residues on the surface of LiNi0.8Co0.15Al0.05O2 to form a uniform coating layer of lithium boron oxide on the surface of the material. The resulting lithium boron oxide layer can not only efficiently serve as a protective layer to alleviate the side reactions at the electrode/electrolyte interface but also tightly interlink the primary grains of the LiNi0.8Co0.15Al0.05O2 material to prevent the material from degradation of the microstructure. As a result, the optimized lithium boron oxide-coated LiNi0.8Co0.15Al0.05O2. material exhibits a high initial discharge capacity of 202.1 mAh g(-4) at 0.1 C with a great capacity retention of 93.59% after 100 cycles at 2 C. Thus, the uniform lithium boron oxide coating endows the NCA material with excellent structural stability and long-term cycling capability.</t>
  </si>
  <si>
    <t>; Chen, Yu/B-7473-2013; Xu, Tao/LTZ-4875-2024</t>
  </si>
  <si>
    <t>Zheng, Junwei/0000-0003-1943-3239; Du, Fanghui/0000-0002-6820-542X</t>
  </si>
  <si>
    <t>10.1021/acsami.0c16159</t>
  </si>
  <si>
    <t>WOS:000603397200027</t>
  </si>
  <si>
    <t>Yang, H; Qin, TT; Deng, T; Zhang, W; Zheng, WT</t>
  </si>
  <si>
    <t>Yang, He; Qin, Tingting; Deng, Ting; Zhang, Wei; Zheng, Weitao</t>
  </si>
  <si>
    <t>Rationalizing the Anion Storage in Cathodes for Optimum Dual-Ion Batteries: State of the Art and the Prospect</t>
  </si>
  <si>
    <t>For a dual-ion battery (DIB) configuration, both anions and cations contribute to the capacity. A high anion intercalation operating potential corresponds to a wide working window, which leads to both high energy density and power density for DIBs. Because orderly layered structures and proper interlayer space can accommodate anion intercalation, graphite was widely used as the cathode for DIBs. However, the relatively low discharge capacity and poor cycling stability of graphite cathode limit the practical application of DIBs. Therefore, it is crucial for anion storage to construct a robust and stable cathode. On the basis of the delicate structural design of electrodes, we summarize the main factors affecting the anion storage and the strategies for improving performance of DIBs, which will provide far-reaching significance for improving the capacity and stability of DIBs.</t>
  </si>
  <si>
    <t>zheng, weitao/HCH-5112-2022; Zhang, Wei/A-7910-2010</t>
  </si>
  <si>
    <t>zheng, weitao/0000-0002-9028-278X;</t>
  </si>
  <si>
    <t>10.1021/acs.energyfuels.0c03719</t>
  </si>
  <si>
    <t>WOS:000600407600039</t>
  </si>
  <si>
    <t>Pyrolyzed pencil graphite coated cellulose paper as an interlayer: An effective approach for high-performance lithium-sulfur battery</t>
  </si>
  <si>
    <t>Lithium-sulfur (Li-S) battery is next generation battery technology but it's commercialization is obstructed primarily due to the shuttling effect of lithium polysulfides (LiPSs). Herein, we report an effective approach using pencil coated pyrolyzed cellulose filter paper as an interlayer to suppress the LiPSs dissolution into the electrolyte and thus allowing effective utilization of active sulfur cathode. Here, the binder clay particles (mainly SiO2) of pencil graphite facilitate the adsorption of LiPSs, whereas graphite increases the electrical conductivity and acts as a physical barrier to LiPSs. To investigate further, we utilize three different grades of pencil (4B, HB, 5H) which vary in terms of clay (SiO2) composition. It is observed that the HB pencil coated interlayer has the right balance of silica and graphite, which results in an impressive initial capacity of 1352 and 995 mAh g(-1) at the current density of 0.1 and 0.5 A g(-1), respectively. The cell exhibit high cycling stability of 900 mAh g(-1) at 1 A g(-1) (3.0 C) for 350 cycles with a slow capacity decay of 0.07% per cycle. The phenomenon of LiPSs adsorption is further understood using post-cycling analysis, H-cell adsorption testing, and shuttle factor calculation for the development of commercial Li-S batteries.</t>
  </si>
  <si>
    <t>SHARMA, CHANDRA/MIN-0449-2025; Rani, Poonam/GXV-5033-2022; Pathak, Anil/JVY-6940-2024</t>
  </si>
  <si>
    <t>Rani, Poonam/0000-0003-2195-3460; Pathak, Anil D/0000-0003-3136-4969;</t>
  </si>
  <si>
    <t>10.1016/j.apsusc.2020.147483</t>
  </si>
  <si>
    <t>WOS:000580616900047</t>
  </si>
  <si>
    <t>Lamontagne, HR; Lessard, BH</t>
  </si>
  <si>
    <t>Lamontagne, Halynne R.; Lessard, Benoit H.</t>
  </si>
  <si>
    <t>Nitroxide-Mediated Polymerization: A Versatile Tool for the Engineering of Next Generation Materials</t>
  </si>
  <si>
    <t>Nitroxide-mediated polymerization (NMP) is a reversible-deactivation radical polymerization technique (RDRP) that facilitates the synthesis of well-defined and complex macromolecular architectures, with low polymer dispersity and high chain end homogeneity. NMP is an industrially robust technique that is inherently simple, often only requiring a single unimolecular initiator with a monomer to perform the polymerization, followed by a simple precipitation/filtration to workup the final product. Unlike other RDRP techniques, NMP provides clean well-defined polymers, without the need for transition metal complexes, which is favorable for some sensitive biological and electronic applications. This Review focuses on the use of these engineered polymers, synthesized by NMP, in emerging applications, such as next-generation lithium batteries, organic electronics, drug delivery systems, biosourced materials, photolithography, and photopolymerization. Emphasis is placed on publications since 2015.</t>
  </si>
  <si>
    <t>; Lessard, Benoit H./C-9098-2012; Lessard, Benoît/C-9098-2012</t>
  </si>
  <si>
    <t>Lamontagne, Halynne/0000-0002-0181-1599; Lessard, Benoit H./0000-0002-9863-7039;</t>
  </si>
  <si>
    <t>DEC 11</t>
  </si>
  <si>
    <t>10.1021/acsapm.0c00888</t>
  </si>
  <si>
    <t>WOS:000599602200001</t>
  </si>
  <si>
    <t>Lin, JX; Fang, L</t>
  </si>
  <si>
    <t>Lin, Jianxiong; Fang, Liang</t>
  </si>
  <si>
    <t>An Effective Way of Improving the Performance of Ni-Rich LiNi0.82Co0.12Mn0.06O2 Cathode in Lithium-Ion Battery via Borate Coating</t>
  </si>
  <si>
    <t>Nickel-rich cathode materials are competitive materials for their low cost and high specific capacity without charging at high potentials. However, structure instability, especially the side reaction, still needs to be further solved. Herein, an effective way of improving the performance of nickel-rich cathode materials via borate coated on the water-washed sample is introduced. The boron elements can both easily form a membrane and diffuse into the whole particle to form lithium boron oxides. This Li+ conductor network makes the lithium transfer more efficiently and acts as an artificial solid-state electrolyte interface (SEI), which increases the discharge capacity. A lithium boron oxides barrier film is formed between electrode and electrolyte, which effectively suppresses the side reaction and improves the capacity retention. Moreover, the reduction of residual lithium compound and pH value, which leads to more stable electrode slurry, making it more attractive for practical applications.</t>
  </si>
  <si>
    <t>Lin, Jianxiong/AAX-6379-2020; Fang, Liang/G-4317-2012</t>
  </si>
  <si>
    <t>10.1002/ente.202000721</t>
  </si>
  <si>
    <t>DEC 2020</t>
  </si>
  <si>
    <t>WOS:000597656100001</t>
  </si>
  <si>
    <t>Rotte, NK; Naresh, V; Muduli, S; Reddy, V; Srikanth, VVS; Martha, SK</t>
  </si>
  <si>
    <t>Rotte, Naresh Kumar; Naresh, Vangapally; Muduli, Sadananda; Reddy, Venu; Srikanth, V. V. S.; Martha, Surendra K.</t>
  </si>
  <si>
    <t>Microwave aided scalable synthesis of sulfur, nitrogen co-doped few-layered graphene material for high-performance supercapacitors</t>
  </si>
  <si>
    <t>Doping with heteroatoms has become an approach for improving the electrochemical performance of few-layered graphene. In this work, Sulfur-nitrogen co-doped few-layered graphene synthesized from the graphite flakes acid treated with H2SO4 and HNO3 followed by microwave irradiation. Sulfur-nitrogen co-doped few-layered graphene consists of less than 15 graphene layers with a high degree of graphitization. The supercapacitor exhibited a specific energy density of 15 Wh kg(-1) at a power density of 300 W kg(-1) at room temperature in aqueous electrolyte. The S, N-FLG electrodes show the specific capacitance of 298 F g(-1) at a current density of 1 A g(-1) land stable over 10,000 continuous charge-discharge cycles with 95% capacitance retention at 1 A g(-1). The obtained capacitance is due to maximum utilization of few-layered graphene sheets, highest intrinsic surface capacitance due to the synergetic effect of the formation of N-S-H hydrogen bonds and S, N co-doping in graphene aromatic rings. (C) 2020 Elsevier Ltd. All rights reserved.</t>
  </si>
  <si>
    <t>Vangapally, Naresh/MIT-0146-2025; Reddy, rvenu8/D-3572-2014; Reddy, Venu/D-3572-2014; Rotte, Naresh Kumar/AAE-5168-2019; Srikanth, Vadali/B-3810-2010</t>
  </si>
  <si>
    <t>Reddy, rvenu8/0000-0001-5733-5133; Muduli, Sadananda/0000-0002-7987-8857; Naresh, Vangapally/0000-0002-0624-1652</t>
  </si>
  <si>
    <t>DEC 10</t>
  </si>
  <si>
    <t>10.1016/j.electacta.2020.137209</t>
  </si>
  <si>
    <t>WOS:000588282800023</t>
  </si>
  <si>
    <t>Chen, Y; Kang, Q; Jiang, PK; Huang, XY</t>
  </si>
  <si>
    <t>Chen, Yu; Kang, Qi; Jiang, Pingkai; Huang, Xingyi</t>
  </si>
  <si>
    <t>Rapid, high-efficient and scalable exfoliation of high-quality boron nitride nanosheets and their application in lithium-sulfur batteries</t>
  </si>
  <si>
    <t>Boron nitride nanosheets (BNNSs) have gained significant attraction in energy and environment fields because of their two-dimensional (2D) nature, large band gap and high thermal/mechanical performance. However, the current low production efficiency of high-quality BNNSs is still a bottleneck limiting their applications. Herein, based on sonication-assisted liquid-phase exfoliation, we demonstrated a rapid, high-efficient and scalable production strategy of BNNSs and documented the effects of a spectrum of exfoliation factors (e.g., ultrasonic condition, solvent and bulk material feeding) on the yield of BNNSs. A record of yield of 72.5% was achieved while the exfoliated BNNSs have few-layer and defect-free feature. Thanks to the Lewis acid sites of the boron atoms, the BNNSs can interact with the polysulfide anions in liquid electrolyte and also can facilitate the uniform lithium deposition, which finally endow a lithium-sulfur (Li-S) battery with long life. This work provides a facile and rapid strategy for large scale preparation of high-quality BNNSs, also contributes a long-life strategy for dendrite-free Li-S battery, opens new avenues of BNNSs in energy application.</t>
  </si>
  <si>
    <t>Huang, Xingyi/A-3167-2012; kang, qi/T-3706-2019</t>
  </si>
  <si>
    <t>10.1007/s12274-020-3245-3</t>
  </si>
  <si>
    <t>WOS:000599059500001</t>
  </si>
  <si>
    <t>Asakura, R; Reber, D; Duchêne, L; Payandeh, S; Remhof, A; Hagemann, H; Battaglia, C</t>
  </si>
  <si>
    <t>Asakura, Ryo; Reber, David; Duchene, Leo; Payandeh, Seyedhosein; Remhof, Arndt; Hagemann, Hans; Battaglia, Corsin</t>
  </si>
  <si>
    <t>4 V room-temperature all-solid-state sodium battery enabled by a passivating cathode/hydroborate solid electrolyte interface</t>
  </si>
  <si>
    <t>Designing solid electrolytes for all-solid-state-batteries that can withstand the extreme electrochemical conditions in contact with an alkali metal anode and a high-voltage cathode is challenging, especially when the battery is cycled beyond 4 V. Here we demonstrate that a hydroborate solid electrolyte Na-4(CB11H12)(2)(B12H12), built from two types of cage-like anions with different oxidative stability, can effectively passivate the interface to a 4 V-class cathode and prevent impedance growth during cycling. We show that [B12H12](2-) anions decompose below 4.2 V vs. Na+/Na to form a passivating interphase layer, while [CB11H12](-) anions remain intact, providing sufficient ionic conductivity across the layer. Our interface engineering strategy enables the first demonstration of a 4 V-class hydroborate-based all-solid-state battery combining a sodium metal anode and a cobalt-free Na-3(VOPO4)(2)F cathode without any artificial protective coating. When cycled to 4.15 V vs. Na+/Na, the cells feature a discharge capacity of 104 mA h g(-1) at C/10 and 99 mA h g(-1) at C/5, and an excellent capacity and energy retention of 78% and 76%, respectively, after 800 cycles at C/5 at &lt;0.2 MPa at room temperature. Increasing the pressure to 3.2 MPa enables a discharge capacity of 117 mA h g(-1) at C/10 with a mass loading of 8.0 mg cm(-2), corresponding to an areal capacity close to 1.0 mA h cm(-2). The cell holds the highest average discharge cell voltage of 3.8 V and specific energy per cathode active material among all-solid-state sodium batteries reported so far, emphasizing the potential of hydroborates as electrolytes for a competitive all-solid-state battery technology.</t>
  </si>
  <si>
    <t>; Remhof, Arndt/ABA-5731-2020; Reber, David/KBQ-5087-2024; GharibDoust, SeyedHosein/E-9432-2018; Payandeh, SeyedHosein/E-9432-2018</t>
  </si>
  <si>
    <t>Remhof, Arndt/0000-0002-8394-9646; Reber, David/0000-0002-4426-8717; Duchene, Leo/0000-0003-0309-4682; Battaglia, Corsin/0000-0002-5003-1134; Asakura, Ryo/0000-0002-9264-9493; Payandeh, SeyedHosein/0000-0003-2828-7106</t>
  </si>
  <si>
    <t>10.1039/d0ee01569e</t>
  </si>
  <si>
    <t>WOS:000599751100032</t>
  </si>
  <si>
    <t>Huang, WL; Wang, PY; Liao, XB; Chen, YJ; Borovilas, J; Jin, TW; Li, AJ; Cheng, Q; Zhang, YF; Zhai, HW; Chitu, A; Shan, ZQ; Yang, Y</t>
  </si>
  <si>
    <t>Huang, Wenlong; Wang, Peiyu; Liao, Xiangbiao; Chen, Yijun; Borovilas, James; Jin, Tianwei; Li, Aijun; Cheng, Qian; Zhang, Yifan; Zhai, Haowei; Chitu, Adrain; Shan, Zhongqiang; Yang, Yuan</t>
  </si>
  <si>
    <t>Mechanically-robust structural lithium-sulfur battery with high energy density</t>
  </si>
  <si>
    <t>The development of structural batteries has been obstructed by the intrinsically low mechanical strength of battery materials inside. Here, we propose a multifunctional structural battery platform by deploying electrodeposition-like reactions to prepare for conformally-coated electrodes, together with carbon fabrics as the skeleton to endow them with mechanical robustness. As a proof of concept, the Li/S battery system based on the electrodepositionlike mechanism was introduced into the structural batteries for the first time. The Young's modulus of optimized sulfur and lithium electrodes reach 9.2 +/- 1.2 GPa and 4.5 +/- 0.6 GPa, respectively, 5-20 times higher than conventional electrodes. Additionally, a thermally stable composite separator combining boron nitride nanofiller with PVdF polymer (BN/PVdF) is rationally designed, which possesses high compressive strength over 180 MPa. The structural cell integrated with these structural components delivered an excellent lifespan under compression up to 20 MPa for 20 cycles at 0.2 C. Moreover, the structural Li/S cell in pouch configuration displays better resistance to mechanical deformation when compared to the regular Li/S cell. This work provides valuable insight into structural batteries with high energy density.</t>
  </si>
  <si>
    <t>; Liao, Xiangbiao/AAH-6079-2021; Yang, Yuan/ABN-9163-2022; Cheng, Qian/M-6702-2017; Jin, Tianwei/JSK-2975-2023</t>
  </si>
  <si>
    <t>Yang, Yuan/0000-0003-0264-2640; Zhang, Yifan/0000-0003-1222-8179; Jin, Tianwei/0000-0002-4355-5474; Cheng, Qian/0000-0001-5510-2977;</t>
  </si>
  <si>
    <t>10.1016/j.ensm.2020.08.018</t>
  </si>
  <si>
    <t>WOS:000599505100008</t>
  </si>
  <si>
    <t>Kucuk, AC; Abe, T</t>
  </si>
  <si>
    <t>Kucuk, Asuman Celik; Abe, Takeshi</t>
  </si>
  <si>
    <t>Borolan-2-yl involving anion acceptors for organic liquid electrolyte-based fluoride shuttle batteries</t>
  </si>
  <si>
    <t>JOURNAL OF FLUORINE CHEMISTRY</t>
  </si>
  <si>
    <t>Boron-based anion acceptors (AAs) have been used to dissociate MF salt (CsF) in organic liquid electrolyte-based fluoride shuttle batteries (FSBs). Here, two boron-based compounds, 4-(4,4,5,5-tetramethyl-1,3,2-dioxaborolan-2-yl)pyridine (DiOB-Py) and N,N-diethyl-4-(4,4,5,5-tetramethyl-1,3,2-dioxaborolan-2-yeaniline) (DiOB-An), were examined as electrolyte additives for G4 containing CsF. DiOB-Py and DiOB-An are structurally similar except that the former is functionalized with pyridine whereas the latter with aniline. Since pyridine in DiOB-Py withdraws an electron pair on the phenyl ring via the resonance effect, the Lewis acidity of borate increases. On the other hand, since lone pair electrons of aniline are donated to the phenyl ring through the resonance effect, the acidity of borate in DiOB-An decreases. AAs are known to have a moderately strong fluoride affinity to provide sufficient dissolution of CsF in the electrolyte solvent. Thus, the effects of the acidity strength of the borates on the electrochemical compatibility of BiF3 were investigated. DiOB-Py imparted relatively high fluoride ion conductivity and CsF solubility, thereby allowing enhanced FSB performance.</t>
  </si>
  <si>
    <t>; Celik-Kucuk, Asuman/ABC-2104-2021</t>
  </si>
  <si>
    <t>Celik-Kucuk, Asuman/0000-0002-3509-1497;</t>
  </si>
  <si>
    <t>0022-1139</t>
  </si>
  <si>
    <t>1873-3328</t>
  </si>
  <si>
    <t>10.1016/j.jfluchem.2020.109672</t>
  </si>
  <si>
    <t>WOS:000590770200007</t>
  </si>
  <si>
    <t>Kucuk, AC; Yamanaka, T; Abe, T</t>
  </si>
  <si>
    <t>Kucuk, Asuman Celik; Yamanaka, Toshiro; Abe, Takeshi</t>
  </si>
  <si>
    <t>Fluoride shuttle batteries: On the performance of the BiF3 electrode in organic liquid electrolytes containing a mixture of lithium bis(oxalato) borate and triphenylboroxin</t>
  </si>
  <si>
    <t>In a typical organic liquid electrolyte-based fluoride shuttle battery (FSB), a high concentration of a boron-based anion acceptor (AA) capable of binding specific anions is required to provide a sufficient amount of dissolved fluoride salt. In this study, and a mixture of lithium bis(oxalato)borate (LiBOB) and an AA, triphenylboroxin (TPhBX), was used as an organic liquid electrolyte. The tetraglyme (G4)-based electrolyte system (LiBOB0.25/TPhBX0.25/sat_CsF/G4) containing equal concentrations of LiBOB, TPhBX, and saturated cesium fluoride (CsF) was prepared. The potential effects of reducing the amount of the AA and using a mixture of LiBOB and TPhBX on the electrochemical compatibility of the BiF3 electrode were investigated through cyclic voltammetry, charge-discharge tests, and alternating current impedance measurements. The potential advantages of using the LiBOB/TPhBX mixture as an electrolyte additive include the fact that it increases ionic conductivity, widens the cathodic and anodic stability window, and enhances the electrochemical performance of the BiF3 positive electrode. Moreover, according to Raman microscopy, the direct insertion mechanism was found to be predominant for the FSB reaction mechanism of BiF3 microparticles in LiBOB0.25/TPhBX (0.25)/sat_CsF/G4. These improvements can be attributed to the increase in fluorine anion mobility, which occurs when the cesium cation mobility is reduced; this, in turn, is a result of the stabilization of the cesium cation due to the interaction between LiBOB and TPhBX. Therefore, mixing equal concentrations of LiBOB and TPhBX can be a promising alternative method to ensure electrolyte stability and prevent the potential loss of active materials during the redox reactions.</t>
  </si>
  <si>
    <t>Abe, Takeshi/F-2544-2010; Celik-Kucuk, Asuman/ABC-2104-2021</t>
  </si>
  <si>
    <t>Celik-Kucuk, Asuman/0000-0002-3509-1497</t>
  </si>
  <si>
    <t>10.1016/j.ssi.2020.115499</t>
  </si>
  <si>
    <t>WOS:000591907000023</t>
  </si>
  <si>
    <t>Markey, B; Zhang, MH; Robb, I; Xu, PP; Gao, HP; Zhang, DW; Holoubek, J; Xia, D; Zhao, YF; Guo, JC; Cai, M; Meng, YS; Chen, Z</t>
  </si>
  <si>
    <t>Markey, Brandon; Zhang, Minghao; Robb, Iva; Xu, Panpan; Gao, Hongpeng; Zhang, Dawei; Holoubek, John; Xia, David; Zhao, Yifan; Guo, Juchen; Cai, Mei; Meng, Ying Shirley; Chen, Zheng</t>
  </si>
  <si>
    <t>Effective Upcycling of Graphite Anode: Healing and Doping Enabled Direct Regeneration</t>
  </si>
  <si>
    <t>As lithium-ion batteries (LIBs) become vital energy source for daily life and industry applications, a large volume of spent LIBs will be produced after their lifespan. Recycling of LIBs has been considered as an effective closed-loop solution to mitigate both environmental and economic issues associated with spent LIBs. While reclaiming of transition metal elements from LIB cathodes has been well established, recycling of graphite anodes has been overlooked. Here, we show an effect upcycling method involving both healing and doping to directly regenerate spent graphite anodes. Specifically, using boric acid pretreatment and short annealing, our regeneration process not only heals the composition/structure defects of degraded graphite but also creates functional boron-doping on the surface of graphite particles, providing high electrochemical activity and excellent cycling stability. The efficient direct regeneration of spent graphite by using low cost, non-volatile and non-caustic boric acid with low annealing temperature provides a more promising direction for green and sustainable recycling of spent LIB anodes.</t>
  </si>
  <si>
    <t>; Zhao, Yifan/CAG-8193-2022; Chen, Zheng/AGL-7971-2022; Meng, Shirley/I-1276-2013</t>
  </si>
  <si>
    <t>Zhao, Yifan/0000-0002-0617-7988; zhang, Dawei/0000-0002-9732-6642; Meng, Ying Shirley/0000-0001-8936-8845; Gao, Hongpeng/0000-0002-6640-4070;</t>
  </si>
  <si>
    <t>10.1149/1945-7111/abcc2f</t>
  </si>
  <si>
    <t>WOS:000596102400001</t>
  </si>
  <si>
    <t>Chen, YQ; Chen, TY; Hsu, WD; Pan, TY; Her, LJ; Chang, WM; Wohlfahrt-Mehrens, M; Yoshitake, H; Chang, CC</t>
  </si>
  <si>
    <t>Chen, Yu-Qi; Chen, Tsan-Yao; Hsu, Wen-Dung; Pan, Tai-Yu; Her, Li-Jane; Chang, Wei-Min; Wohlfahrt-Mehrens, Margret; Yoshitake, Hideya; Chang, Chia-Chin</t>
  </si>
  <si>
    <t>An electrolyte additive with boron-nitrogen-oxygen alkyl group enabled stable cycling for high voltage LiNi0.5Mn1.5O4 cathode in lithium-ion battery</t>
  </si>
  <si>
    <t>An electrolyte additive with boron-nitrogen-oxygen groups for high voltage (5 V) LiNi0.5Mn1.5O4 (LNMO) electrode is investigated by electrochemical performance, material analysis and density function theory first principles calculation (DFT). The 1 wt% Methylboronic acid MIDA ester (ADM) additive in ethylene carbonate and dimethyl carbonate (EC/DMC) electrolyte for LNMO cathode shows a paramount discharge capacity retention of 96% (15% in without additive) after 25 cycles at 75 mA g(-1) and 40 degrees C, also inhibits the impedance growth during cycling. By increasing the charge/discharge current density from 15 mA g(-1) to 450 mA g(-1), the rate capability of LNMO cell with ADM additive is ca. 40%, while the counterpart is only 1.5%. By characterizations, the results interpret that the ADM additive decomposes and participates in the reaction pathway of cathode electrolyte interface (CEI) formation, which are more protective and resistant to electrolyte oxidative decompositions, and more potent in maintaining the structural integrity of nickel (Ni), manganese (Mn), and PF6-.</t>
  </si>
  <si>
    <t>Chen, 陳燦耀/D-8374-2014; Chen, Tsan-Yao/D-8374-2014; Chang, Chia Chin/AAI-5812-2020; Wohlfahrt-Mehrens, Margret/AAB-1543-2020</t>
  </si>
  <si>
    <t>Chen, Tsan-Yao/0000-0002-6431-715X; CHEN, YU-QI/0000-0003-1555-579X</t>
  </si>
  <si>
    <t>10.1016/j.jpowsour.2020.228473</t>
  </si>
  <si>
    <t>WOS:000582488600002</t>
  </si>
  <si>
    <t>Dong, H; Tutusaus, O; Liang, YL; Zhang, Y; Lebens-Higgins, Z; Yang, WL; Mohtadi, R; Yao, Y</t>
  </si>
  <si>
    <t>Dong, Hui; Tutusaus, Oscar; Liang, Yanliang; Zhang, Ye; Lebens-Higgins, Zachary; Yang, Wanli; Mohtadi, Rana; Yao, Yan</t>
  </si>
  <si>
    <t>High-power Mg batteries enabled by heterogeneous enolization redox chemistry and weakly coordinating electrolytes</t>
  </si>
  <si>
    <t>Owing to sluggish Mg-ion dissociation and diffusion, Mg-based batteries have low power densities. Here the authors carry out rational designs for both the cathode and the electrolyte to enable ultrafast kinetics of a Mg metal battery. Magnesium batteries have long been pursued as potentially low-cost, high-energy and safe alternatives to Li-ion batteries. However, Mg2+ interacts strongly with electrolyte solutions and cathode materials, leading to sluggish ion dissociation and diffusion, and consequently low power output. Here we report a heterogeneous enolization chemistry involving carbonyl reduction (C=O &lt;-&gt; C-O-), which bypasses the dissociation and diffusion difficulties, enabling fast and reversible redox processes. This kinetically favoured cathode is coupled with a tailored, weakly coordinating boron cluster-based electrolyte that allows for dendrite-free Mg plating/stripping at a current density of 20 mA cm(-2). The combination affords a Mg battery that delivers a specific power of up to 30.4 kW kg(-1), nearly two orders of magnitude higher than that of state-of-the-art Mg batteries. The cathode and electrolyte chemistries elucidated here propel the development of magnesium batteries and would accelerate the adoption of this low-cost and safe battery technology.</t>
  </si>
  <si>
    <t>Yang, Wanli/D-7183-2011; Yao, Yan/D-7774-2011; Zhang, Ye/W-2213-2017; Yao, Yan/J-6391-2019; MOHTADI, RANA/AAF-7063-2021; Liang, Yanliang/H-2636-2013; dong, hui/JDN-2423-2023</t>
  </si>
  <si>
    <t>Yang, Wanli/0000-0003-0666-8063; Yao, Yan/0000-0002-8785-5030; Zhang, Ye/0000-0001-7897-7485; MOHTADI, RANA/0000-0002-1203-3809; Liang, Yanliang/0000-0001-6771-5172;</t>
  </si>
  <si>
    <t>10.1038/s41560-020-00734-0</t>
  </si>
  <si>
    <t>NOV 2020</t>
  </si>
  <si>
    <t>WOS:000595285900003</t>
  </si>
  <si>
    <t>Ha, JH; Lee, B; Lee, M; Yim, T; Oh, SH</t>
  </si>
  <si>
    <t>Ha, Jung Hoon; Lee, Boeun; Lee, Minseok; Yim, Taeeun; Oh, Si Hyoung</t>
  </si>
  <si>
    <t>Al-compatible boron-based electrolytes for rechargeable magnesium batteries</t>
  </si>
  <si>
    <t>Galvanic couple-assisted dissolution of Mg metal in an ethereal solution containing tris(2H-hexafluoroisopropyl)borate was utilized to prepare an efficient Al-compatible electrolyte for rechargeable Mg batteries. The electrolyte exhibited conditioning-free Mg deposition, high oxidative stability (3.5 V VS. Mg/Mg2+), and a superb electrochemical performance with various cathodes on an Al current collector.</t>
  </si>
  <si>
    <t>Oh, Sang-Ho/ABB-1412-2021; Ha, Jung/N-9530-2019</t>
  </si>
  <si>
    <t>NOV 25</t>
  </si>
  <si>
    <t>10.1039/d0cc05611a</t>
  </si>
  <si>
    <t>WOS:000590124000039</t>
  </si>
  <si>
    <t>Chava, BS; Wang, YB; Sivasankar, VS; Das, S</t>
  </si>
  <si>
    <t>Chava, Bhargav Sai; Wang, Yanbin; Sivasankar, Vishal Sankar; Das, Siddhartha</t>
  </si>
  <si>
    <t>Water-free Localization of Anion at Anode for Small-Concentration Water-in-Salt Electrolytes Confined in Boron-Nitride Nanotube</t>
  </si>
  <si>
    <t>CELL REPORTS PHYSICAL SCIENCE</t>
  </si>
  <si>
    <t>Water-in-salt electrolyte (WISE) systems have been recently identified to significantly enhance the performance of aqueous Li-ion batteries owing to the formation of solid electrolyte interphase (SEI) due to localization of the cation-anion pair near the negative electrode in the absence of free water. Such localization occurs for an extremely large concentration of the electrolyte salt that enhances the interionic attraction between the salt cation and anion, thereby ensuring that the cation carries the anion with itself to the anode. Here, we use atomistic simulations to establish that fora LiTFSI electrolyte solution (LiTFSI is a salt that is widely known to form WISE systems) confined in a 1-nm-diameter boron nitride nanotube (BNNT), such water-free TFSI- anion localization at the anode sur face is possible at a LiTFSI concentration that is several times smaller than that needed for such localization in a non-nanoconfined LiTFSI WISE system.</t>
  </si>
  <si>
    <t>; Chava, Bhargav Sai/LIA-9135-2024; Sivasankar, Vishal/CAJ-3858-2022; Sivasankar, Vishal Sankar/CAJ-3858-2022; Das, Siddhartha/G-9291-2017</t>
  </si>
  <si>
    <t>Chava, Bhargav Sai/0009-0003-0116-4496; Sivasankar, Vishal Sankar/0000-0003-4673-6104;</t>
  </si>
  <si>
    <t>2666-3864</t>
  </si>
  <si>
    <t>10.1016/j.xcrp.2020.100246</t>
  </si>
  <si>
    <t>WOS:000658756600014</t>
  </si>
  <si>
    <t>Ahmad, N; Khan, M; Zheng, XJ; Sun, ZH; Yan, J; Wei, CH; Shen, LW; Batool, N; Yang, RZ</t>
  </si>
  <si>
    <t>Ahmad, Nazir; Khan, Majid; Zheng, Xiangjun; Sun, Zhihui; Yan, Jin; Wei, Chaohui; Shen, Liwei; Batool, Nadia; Yang, Ruizhi</t>
  </si>
  <si>
    <t>Boron and phosphorous co-doped porous carbon as high-performance anode for sodium-ion battery</t>
  </si>
  <si>
    <t>22nd International Conference on Solid State Ionics (SSI)</t>
  </si>
  <si>
    <t>JUN 16-21, 2019</t>
  </si>
  <si>
    <t>PyeongChang, SOUTH KOREA</t>
  </si>
  <si>
    <t>Int Soc Solid State Ion,Korean Ceram Soc</t>
  </si>
  <si>
    <t>Sodium-ion batteries (SIBs) have attracted extensive attention as the important replacement for lithium-ion batteries, due to the nature abundance of sodium sources. The key to high-performance SIBs lies in appropriate anode material with sufficient space and sites for the diffusion and adsorption of sodium ion (Na+). Heteroatom doping in carbon has proven to be an effective strategy to improve the electrochemical performance of carbon-based anodes for SIB. The feasible preparation of doped carbon is essential for the development of SIBs. Here, boron (B) and phosphorous (P) co-doped honeycomb-like carbon (BPC) has been synthesized by one-step pyrolysis of onium salts containing B and P. Benefiting from dual doping of B and P in carbon, the increased layer space, defects and electrical conductivity of BPC enhance the adsorption capability of Na+, mass transport and charge diffusion. The formed porous structure in BPC can promote the electrolyte penetration as well as buffer the volume changes during cycling. When employed as the anode material for SIBs, high storage capacity and excellent cycle life have been enabled. This contribution paves a feasible and controlled approach to prepared heteratom-doped carbons for Na+ storage.</t>
  </si>
  <si>
    <t>Yang, Ruizhi/E-5419-2013; Shen, Liwei/JBJ-3854-2023; batool, nadia/ABG-7305-2020; Wei, Chaohui/AAJ-3572-2021; Jin, Yan/AAC-7705-2021; AHMAD, NAZIR/AAA-9639-2022</t>
  </si>
  <si>
    <t>10.1016/j.ssi.2020.115455</t>
  </si>
  <si>
    <t>WOS:000582033300012</t>
  </si>
  <si>
    <t>Shuai, HL; Xu, J; Huang, KJ</t>
  </si>
  <si>
    <t>Shuai, Honglei; Xu, Jing; Huang, Kejing</t>
  </si>
  <si>
    <t>Progress in retrospect of electrolytes for secondary magnesium batteries</t>
  </si>
  <si>
    <t>Developing security and next-generation battery systems have attracted much attention for fulfilled the green development requirements. Among of multivalent-ion batteries candidates, magnesium (Mg) batteries may be the most feasible choice due to its high electrode potential, large theoretical volume capacity, superior safety and abundant source. Nevertheless, the researches of rechargeable Mg batteries still remain at a nascent stage because of a significant challenge of the development of a suitable electrolyte with low flammability and cost, high conductivity, and compatibility with Mg anode. Another major obstacle is lack of an appropriate cathode hosts with large electrochemical window required for Mg2+ insertion. Therefore, recent studies are critical in developing advanced Mg electrolytes with high voltage windows (&gt;4.0 V) and being compatible with Mg-metal anodes to overcome the above-mentioned issues. In this work, we introduce a review on the challenges, development and adopted promising strategies for Mg rechargeable batteries electrolytes. This comprehensive review covers all three classifications Mg-ion batteries electrolytes such as liquid state electrolytes (inorganic electrolytes, boron based electrolytes, magnesium organo-haloaluminate based electrolytes, phenolate or alkoxide salts based electrolytes and non-nucleophilic electrolytes), solid state electrolytes (inorganic solid electrolytes and polymeric electrolytes) and molten salts system (ionic liquid and high temperature molten salts), which can enable researchers to grasp the prevailing challenges, and motivate them to design novel electrolyte candidates for commercial application. (C) 2020 Elsevier B.V. All rights reserved.</t>
  </si>
  <si>
    <t>huang, ke-jing/ABG-4776-2021</t>
  </si>
  <si>
    <t>10.1016/j.ccr.2020.213478</t>
  </si>
  <si>
    <t>WOS:000558026500013</t>
  </si>
  <si>
    <t>Wang, ZQ; Wang, D; Zou, ZY; Song, T; Ni, DX; Li, ZZ; Shao, XC; Yin, WJ; Wang, YC; Luo, WW; Wu, MS; Avdeev, M; Xu, B; Shi, SQ; Ouyang, CY; Chen, LQ</t>
  </si>
  <si>
    <t>Wang, Zhiqiang; Wang, Da; Zou, Zheyi; Song, Tao; Ni, Dixing; Li, Zhenzhu; Shao, Xuecheng; Yin, Wanjian; Wang, Yanchao; Luo, Wenwei; Wu, Musheng; Avdeev, Maxim; Xu, Bo; Shi, Siqi; Ouyang, Chuying; Chen, Liquan</t>
  </si>
  <si>
    <t>Efficient potential-tuning strategy through p-type doping for designing cathodes with ultrahigh energy density</t>
  </si>
  <si>
    <t>Designing new cathodes with high capacity and moderate potential is the key to breaking the energy density ceiling imposed by current intercalation chemistry on rechargeable batteries. The carbonaceous materials provide high capacities but their low potentials limit their application to anodes. Here, we show that Fermi level tuning by p-type doping can be an effective way of dramatically raising electrode potential. We demonstrate that Li(Na)BCF2/Li(Na)B2C2F2 exhibit such change in Fermi level, enabling them to accommodate Li+(Na+) with capacities of 290-400 (250-320) mAh g(-1) at potentials of 3.4-3.7 (2.7-2.9) V, delivering ultrahigh energy densities of 1000-1500 Wh kg(-1). This work presents a new strategy in tuning electrode potential through electronic band structure engineering.</t>
  </si>
  <si>
    <t>Yin, Wan-Jian/AAG-1612-2020; Yin, Wan-Jian/F-6738-2013; Wang, Da/K-2766-2016; Luo, Wenwei/ABF-9846-2021; Avdeev, Max/A-5625-2008; Zou, Zheyi/NQF-9542-2025; ouyang, chuying/K-9577-2017; Shi, Siqi/E-1245-2011; Chen, Liquan/AAG-1527-2019; Wang, Yanchao/A-6634-2015; Wang, Zhi-Qiang/JCE-3549-2023; Avdeev, Maxim/A-5625-2008; Li, Zhenzhu/AAF-3692-2020; Shao, Xuecheng/LTE-3691-2024</t>
  </si>
  <si>
    <t>Yin, Wan-Jian/0000-0003-0932-2789; ni, de xing/0000-0002-2402-618X; ouyang, chuying/0000-0001-8891-1682; Avdeev, Maxim/0000-0003-2366-5809;</t>
  </si>
  <si>
    <t>10.1093/nsr/nwaa174</t>
  </si>
  <si>
    <t>WOS:000593378100018</t>
  </si>
  <si>
    <t>Wu, R; Xu, HK; Zhao, YW; Zha, CY; Deng, J; Zhang, CY; Lu, G; Qin, TS; Qin, TS; Wang, W; Yin, Y; Zhu, C; Wang, L; Ouyang, G; Huang, W</t>
  </si>
  <si>
    <t>Wu, Rong; Xu, Huakai; Zhao, Yuwei; Zha, Chenyang; Deng, Jun; Zhang, Chengyu; Lu, Gang; Qin, Tianshi; Qin, Tianshi; Wang, Wei; Yin, Yao; Zhu, Chao; Wang, Lin; Ouyang, Gang; Huang, Wei</t>
  </si>
  <si>
    <t>Borophene-like boron subunits-inserted molybdenum framework of MoB2 enables stable and quick-acting Li2S6-based lithium-sulfur batteries</t>
  </si>
  <si>
    <t>High-performance lithium-sulfur batteries are limited by the severe shuttle effect of polysulfide migration. To entrap and immobilize polysulfides, the development of catalytic material is an effective strategy for improving the lithium-sulfur batteries. Herein, we demonstrate that borophene-like boron subunits-inserted molybdenum frameworks of molybdenum diboride (MoB2) serves as a polysulfide-anchoring center to power redox reaction processing under the high-efficient electron transfer conditions. Specifically, MoB2 not only offers active sites to anchor polysulfide via covalent B-B and metallic Mo-Mo bonds-based low lithiation structure, but also provides a high conductivity to accelerate polysulfide conversion kinetics. With these advances, the liquid Li2S6-based MoB2 electrode (area: 2 cm(2)) offers a high initial capacity of 1116 mAh/g, and holds 558 mAh/g at 2 C after 500 cycles. Furthermore, the currently proposed MoB2 catalyst may significantly propel the advancement of electrocatalysis technology from lithium-sulfur batteries to metal-air batteries and carbon dioxide/nitrogen electrochemical reduction.</t>
  </si>
  <si>
    <t>; Huang, Wei/A-4461-2009; Wang, Lin/GZG-8661-2022; Lu, Gang/A-1893-2011; Zha, Chenyang/I-4497-2014; Ouyang, Gang/AFM-5553-2022; Zhu, Chao/LJK-4355-2024; DENG, Jun/KDO-8475-2024</t>
  </si>
  <si>
    <t>Zhu, Chao/0000-0001-6383-3665; Huang, Wei/0000-0001-7004-6408; Lu, Gang/0000-0003-1722-0176; Zha, Chenyang/0000-0002-7491-9146;</t>
  </si>
  <si>
    <t>10.1016/j.ensm.2020.07.040</t>
  </si>
  <si>
    <t>WOS:000577138400010</t>
  </si>
  <si>
    <t>Paul, R; Wang, M; Roy, A</t>
  </si>
  <si>
    <t>Paul, Rajib; Wang, Min; Roy, Ajit</t>
  </si>
  <si>
    <t>Transparent Graphene/BN-Graphene Stacked Nanofilms for Electrocatalytic Oxygen Evolution</t>
  </si>
  <si>
    <t>The fabrication of a carbon (C)-based, metal-free, efficient, and stable electrocatalyst at high oxygen evolution reaction (OER) overpotential is essential to advance the field of water splitting and air-battery related energy systems. For this purpose, we here synthesize a stacked nanofilm (G-BNG) of pure graphene (G) on boron and nitrogen (BN)-codoped graphene (BNG) with a total thickness of about 2-3 nm and 87% transparency at 550 nm that shows an efficient OER performance, better than that of a stacked G-G layer, G-BG film, or G-NG film in an alkaline electrolyte. The G-BNG film performs OER with the highest reaction kinetics (lowest Tafel slope similar to 143.22 mV/dec) and a small overpotential (0.58 V) along with 81.6% retention of the current density at 1.8 V (vs reversible hydrogen electrode) even after 50000 s of operation. Experimental analysis reveals that the doped B and N atoms in the bottom layer influence the p-bonding environment in the top G layer, facilitating the effective electron/charge transfer for OER electrocatalysis. Furthermore, the demonstrated OER performance is comparable or even superior to that of other reported C-based electrocatalysts with at least 400-700 times lower catalyst loading, making the G-BNG film promising for advanced renewable energy conversion systems, such as various kinds of transparent air batteries and water electrolyzers.</t>
  </si>
  <si>
    <t>WANG, MIN/0000-0002-5051-9199</t>
  </si>
  <si>
    <t>OCT 23</t>
  </si>
  <si>
    <t>10.1021/acsanm.0c02307</t>
  </si>
  <si>
    <t>WOS:000583331600045</t>
  </si>
  <si>
    <t>Brighi, M; Murgia, F; Cerny, R</t>
  </si>
  <si>
    <t>Brighi, Matteo; Murgia, Fabrizio; Cerny, Radovan</t>
  </si>
  <si>
    <t>Closo-Hydroborate Sodium Salts as an Emerging Class of Room-Temperature Solid Electrolytes</t>
  </si>
  <si>
    <t>Na-based hydroborates, such as NaCB9H10, Na2B10H10, NaCB11H12, and Na2B12H12, are known for their high ionic conductivity above a phase transition, usually far from room temperature. Here, a systematic investigation to suppress this phase transition and thus to stabilize novel crystal structures is conducted by means of anion mixing. The obtained compounds crystallize either with hexagonal and cubic close packed (hcp and ccp) or body-centered cubic (bcc) arrangement of anions without polymorphic evolution in the temperature range 100 &lt; T &lt; 700 K. The high symmetry and the configurational ionic disorder, which characterize all crystals, give room-temperature Na+ conductivity close or above 1 mS cm(-1). Finally, high oxidative electrochemical stability between 3 and 4 V versus Na+/Na results from the aromatic nature of the boron cage, making Na-based hydroborates potentially suitable as efficient solid electrolytes for next-generation, high-voltage, Na-ion batteries.</t>
  </si>
  <si>
    <t>Murgia, Fabrizio/AAE-9183-2021</t>
  </si>
  <si>
    <t>Murgia, Fabrizio/0000-0002-8270-5009</t>
  </si>
  <si>
    <t>OCT 21</t>
  </si>
  <si>
    <t>10.1016/j.xcrp.2020.100217</t>
  </si>
  <si>
    <t>WOS:000658756100009</t>
  </si>
  <si>
    <t>Jiang, HH; Shi, D; Sun, XC; Wang, SZ; Li, YL; Chang, B; Zhang, BG; Shao, YL; Wu, YZ; Hao, XP</t>
  </si>
  <si>
    <t>Jiang, Hehe; Shi, Dong; Sun, Xiucai; Wang, Shouzhi; Li, Yanlu; Chang, Bin; Zhang, Baoguo; Shao, Yongliang; Wu, Yongzhong; Hao, Xiaopeng</t>
  </si>
  <si>
    <t>Boron Carbonitride Lithium-Ion Capacitors with an Electrostatically Expanded Operating Voltage Window</t>
  </si>
  <si>
    <t>Lithium-ion capacitors (LICs) have emerged as attractive energy storage devices to bridge the gap between lithium-ion batteries and supercapacitors. While the distinct charge storage kinetics between the anode and the cathode is still a challenge to the widespread application of LICs, the key to improving the energy density of these devices is to widen the operating voltage window and balance the mismatch of the electrode kinetics. To this end, we propose a strategy based on electrostatic attraction by adjusting the B and N atom contents of boron carbonitride (BCN) electrode materials to alter their electronegativities and successfully prepared B-rich and N-rich BCN nanotubes (BCNNTs) via a facile solid-phase synthesis approach. The B-rich BCN (B-BCN) cathode and N-rich BCN (N-BCN) anode noticeably enhance the adsorption of anions and cations, promoting a matching degree between the anode and cathode. In particular, the rationally designed B-BCN//N-BCN LIC achieves a maximum voltage range of 4.8 V, setting a new record for LICs. Furthermore, the energy density reaches up to 200 Wh kg(-1) (based on the total mass of cathodic and anodic active materials). Density functional theory calculations provided insight into the mechanism underlying our strategy of widening the voltage range. Our philosophy provides new design guidelines and alternatives for identifying and optimizing high-performance electrodes for energy storage devices.</t>
  </si>
  <si>
    <t>Chang, Bin/GRS-2963-2022; Wu, Yongzhong/HHY-7849-2022; Chang, Bin/AAZ-8313-2021; Shi, Dongquan/ABG-6949-2021</t>
  </si>
  <si>
    <t>Chang, Bin/0000-0003-4510-0550; Wang, Shouzhi/0000-0002-7868-1833; Li, Yanlu/0000-0002-1983-0368; Hao, Xiaopeng/0000-0003-2019-9750;</t>
  </si>
  <si>
    <t>10.1021/acsami.0c12163</t>
  </si>
  <si>
    <t>WOS:000584489800027</t>
  </si>
  <si>
    <t>Cheng, M; Ramasubramanian, A; Rasul, MG; Jiang, YZ; Yuan, YF; Foroozan, T; Deivanayagam, R; Saray, MT; Rojaee, R; Song, B; Yurkiv, VR; Pan, YY; Mashayek, F; Shahbazian-Yassar, R</t>
  </si>
  <si>
    <t>Cheng, Meng; Ramasubramanian, Ajaykrishna; Rasul, Md Golam; Jiang, Yizhou; Yuan, Yifei; Foroozan, Tara; Deivanayagam, Ramasubramonian; Tamadoni Saray, Mahmoud; Rojaee, Ramin; Song, Boao; Yurkiv, Vitaliy Robert; Pan, Yayue; Mashayek, Farzad; Shahbazian-Yassar, Reza</t>
  </si>
  <si>
    <t>Direct Ink Writing of Polymer Composite Electrolytes with Enhanced Thermal Conductivities</t>
  </si>
  <si>
    <t>Proper distribution of thermally conductive nanomaterials in polymer batteries offers new opportunities to mitigate performance degradations associated with local hot spots and safety concerns in batteries. Herein, a direct ink writing (DIW) method is utilized to fabricate polyethylene oxide (PEO) composite polymers electrolytes (CPE) embedded with silane-treated hexagonal boron nitride (S-hBN) platelets and free of any volatile organic solvents. It is observed that the S-hBN platelets are well aligned in the printed CPE during the DIW process. The in-plane thermal conductivity of the printed CPE with the aligned S-hBN platelets is 1.031 W-1K-1, which is about 1.7 times that of the pristine CPE with the randomly dispersed S-hBN platelets (0.612 W-1K-1). Thermal imaging shows that the peak temperature (degrees C) of the printed electrolytes is 24.2% lower than that of the CPE without S-hBN, and 10.6% lower than that of the CPE with the randomly dispersed S-hBN, indicating a superior thermal transport property. Lithium-ion half-cells made with the printed CPE and LiFePO(4)cathode displayed high specific discharge capacity of 146.0 mAh g(-1)and stable Coulombic efficiency of 91% for 100 cycles at room temperature. This work facilitates the development of printable thermally-conductive polymers for safer battery operations.</t>
  </si>
  <si>
    <t>Deivanayagam, Ramasubramonian/B-8861-2016; Rasul, Md Golam/HMD-7721-2023; Song, Boao/Q-1566-2019; Yuan, Yifei/HGB-6950-2022; Shahbazian-Yassar, Reza/AAK-9395-2020; Rojaee, Ramin/P-9512-2019; Cheng, Meng/GYA-5051-2022; Yurkiv, Vitaliy/K-6810-2012; Ramasubramanian, Ajaykrishna/AAA-2146-2020</t>
  </si>
  <si>
    <t>Deivanayagam, Ramasubramonian/0000-0003-1367-009X; Pan, Yayue/0000-0003-0797-1697; Cheng, Meng/0000-0002-2308-9824;</t>
  </si>
  <si>
    <t>10.1002/adfm.202006683</t>
  </si>
  <si>
    <t>OCT 2020</t>
  </si>
  <si>
    <t>WOS:000577621400001</t>
  </si>
  <si>
    <t>Chen, HY; Xu, P; Chen, L; Li, XL; Ding, YS</t>
  </si>
  <si>
    <t>Chen, Hanyang; Xu, Pei; Chen, Lang; Li, Xueliang; Ding, Yunsheng</t>
  </si>
  <si>
    <t>Enhanced ion transport in PVDF-HFP gel polymer electrolyte containing PDA@BN for lithium ion batteries</t>
  </si>
  <si>
    <t>MATERIALS LETTERS</t>
  </si>
  <si>
    <t>Boron nitride nanosheet (BN) modified by polymerized dopamine (PDA@BN) was incorporated into PVDF-HFP gel polymer electrolyte (GPE) by solution casting method. PDA@BN can improve the ionic conductivity (2.26 x 10(-3) S cm(-1) at 30 degrees C), the electrochemical stability of GPE (electrochemical window is 5.0 V) and effectively inhibit the growth of lithium dendrites because of barrier effect of two-dimensional BN. The cell prepared with 3PVDF-HFP/5[EMIM][TFSI]/2LiTFSI+6%PDA@BN (3P5E2L+6%PDA@BN) GPE presents excellent cycle performance. The LiFePO4/3P5E2L + 6%PDA@BN/Li cells exhibited more than 99% columbic efficiency and the initial discharge capacity reached the maximum of 162.9 mAh/g, capacity retention was about 85% after 80 cycles at 0.1C. The excellent performance of this GPE implies that it can be applied to high-safety and long-cycle life lithium metal batteries. (C) 2020 Elsevier B.V. All rights reserved.</t>
  </si>
  <si>
    <t>ding, yun/HSB-4834-2023</t>
  </si>
  <si>
    <t>0167-577X</t>
  </si>
  <si>
    <t>1873-4979</t>
  </si>
  <si>
    <t>10.1016/j.matlet.2020.128391</t>
  </si>
  <si>
    <t>WOS:000564554500007</t>
  </si>
  <si>
    <t>Zhang, Z; Xiong, DG; Shao, AH; Huang, XY; Huang, Y; Yu, J; Cai, JX; Yang, ZY</t>
  </si>
  <si>
    <t>Zhang, Ze; Xiong, Dong-Gen; Shao, A-Hu; Huang, Xiao-Yun; Huang, Yan; Yu, Ji; Cai, Jian-Xin; Yang, Zhen-Yu</t>
  </si>
  <si>
    <t>Integrating metallic cobalt and N/B heteroatoms into porous carbon nanosheets as efficient sulfur immobilizer for lithium-sulfur batteries</t>
  </si>
  <si>
    <t>A major challenge for the practical application of lithium-sulfur batteries is the polysulfide shuttling and sluggish redox kinetics due to the notorious adsorption-catalysis underperformance. However, conventional carbonaceous materials generally suffer from poor adsorption of polysulfides due to their intrinsic nonpolar surface. Herein, porous carbon nanosheets modified with metallic cobalt and nonmetallic nitrogen/boron heteroatoms, denoted as Co-NBC, is reported as sulfur immobilizer. The presence of conductive metallic cobalt as well as the doped N/B heteroatoms can enhance the electronic conductivity of carbon matrix, and significantly improve the chemical entrapment of soluble poly sulfides. Kinetics measurements show that metallic Co catalysts can greatly promote the polysulfide redox kinetics of both liquid-liquid and liquid-solid conversion. As a result, the S/Co-NBC composite realizes remarkable rate performance with high specific capacity of 509 mAh g(-1) at a high C-rate of 5 C, and excellent cycle stability with a low capacity fading rate of similar to 0.09% per cycle within 500 cycles. Moreover, the S/Co-NBC cathodes realize promising cycle performance even at harsh working condition of high sulfur loading (similar to 4.6 mg cm(-2)) or low electrolyte addition (similar to 3 mL mg(-1)). This work proposes a meaningful strategy to obtain efficient carbon nanomaterials for high-performance Li-S batteries. (C) 2020 Elsevier Ltd. All rights reserved.</t>
  </si>
  <si>
    <t>Yang, Zhenyu/CAA-2334-2022</t>
  </si>
  <si>
    <t>10.1016/j.carbon.2020.06.017</t>
  </si>
  <si>
    <t>WOS:000565243300006</t>
  </si>
  <si>
    <t>Muthu, RN; Tatiparti, SSV</t>
  </si>
  <si>
    <t>Naresh Muthu, R.; Tatiparti, Sankara Sarma V.</t>
  </si>
  <si>
    <t>Electrochemical Behavior of Cobalt Oxide/Boron-Incorporated Reduced Graphene Oxide Nanocomposite Electrode for Supercapacitor Applications</t>
  </si>
  <si>
    <t>JOURNAL OF MATERIALS ENGINEERING AND PERFORMANCE</t>
  </si>
  <si>
    <t>Electrodes from hydrothermally synthesized boron-incorporated reduced graphene oxide (B-rGO), Co3O4, and Co3O4/B-rGO nanocomposites are tested in 2 M KOH and NaOH electrolytes for supercapacitor applications. Structural characterization was done by x-ray diffraction and x-ray photoelectron spectroscopy. Cyclic voltammogram of B-rGO indicates partial electrical double-layer capacitance and pseudocapacitive behaviors. Co3O4, shows two reversible redox peaks, indicating diffusion-controlled (battery-like) process. Interestingly, Co3O4/B-rGO possesses both the pseudocapacitive and diffusion-controlled features. The specific capacitance (C-sp) from galvanostatic charge/discharge experiments is higher in all the electrodes in KOH than in NaOH. Co3O4/B-rGO shows the highestC(sp)of 600 F g(-1)(270 C g(-1)) at 0.1 A g(-1)and 454 F g(-1)(204 C g(-1)) at 10 A g(-1)in KOH. Co3O4/B-rGO-KOH system retains 87.8% capacitance after 2000 cycles, demonstrating very good cyclic stability. Co3O4/B-rGO-KOH system yields, a remarkable, maximum power density of 2250 W kg(-1)with an energy density of 12.77 W h kg(-1)at 10 A g(-1). The better performance in KOH is attributed to the low hydration sphere radius, high ionic conductivity of K+, low diffusive and charge transfer and electrode resistance, estimated from electrochemical impedance spectroscopy. The electrode-electrolyte combination is crucial for the overall performance as a supercapacitor electrode.</t>
  </si>
  <si>
    <t>Muthu, Naresh/W-7861-2019; Muthu, Dr. R. Naresh/W-7861-2019</t>
  </si>
  <si>
    <t>Muthu, Dr. R. Naresh/0000-0002-4998-7497</t>
  </si>
  <si>
    <t>1059-9495</t>
  </si>
  <si>
    <t>1544-1024</t>
  </si>
  <si>
    <t>10.1007/s11665-020-05176-z</t>
  </si>
  <si>
    <t>WOS:000577513500005</t>
  </si>
  <si>
    <t>Zhang, CQ; Kong, FT; Qiao, Y; Zhao, QB; Kong, AG; Shan, YK</t>
  </si>
  <si>
    <t>Zhang, Chaoqi; Kong, Fantao; Qiao, Yu; Zhao, Qingbiao; Kong, Aiguo; Shan, Yongkui</t>
  </si>
  <si>
    <t>3D Graphene-Carbon Nanotube Hybrid Supported Coupled Co-MnO Nanoparticles as Highly Efficient Bifunctional Electrocatalyst for Rechargeable Zn-Air Batteries</t>
  </si>
  <si>
    <t>CHEMISTRY-AN ASIAN JOURNAL</t>
  </si>
  <si>
    <t>The development of high-efficiency and low-cost catalysts is one of the core and important issues to improve the efficiency of electrochemical reactions on electrodes, and it is also the goal we ultimately pursue in the commercialization of large-scale clean energy technologies, such as metal-air batteries. Herein, a nitrogen-doped graphene oxide (GO)-carbon nanotube (CNT) hybrid network supported coupled Co/MnO nanoparticles (Co/MnO@N-C) catalyst was prepared with a hydrothermal-pyrolysis method. The unique three-dimensional network structure of substrate allowed for the uniform dispersion of Co-MnO nanoparticles in the carbon skeleton. These characters enable the Co/MnO@N-C to possess the excellent bifunctional electrocatalysts. In alkaline electrolyte, the Co/MnO@N-C presents the outstanding oxygen evolution reaction (OER) performance comparable to the commercial RuO(2)catalyst and the exceedingly good oxygen reduction reaction (ORR) activity with positive half-wave potential of 0.90 V vs. RHE outperforming commercial Pt/C (0.84 V vs. RHE) and the recently reported analogous electrocatalysts. When it is applied to homemade Zn-air batteries, such a non-noble metal electrocatalyst can deliver a better power density, specific capacity and cycling stability than mixed Pt/C and RuO(2)catalyst, and exhibits a wide application prospect and great practical value.</t>
  </si>
  <si>
    <t>ZHANG, CHAOQI/AGX-9654-2022; Kong, Fantao/F-4929-2014</t>
  </si>
  <si>
    <t>Kong, Aiguo/0000-0003-4829-9454</t>
  </si>
  <si>
    <t>1861-4728</t>
  </si>
  <si>
    <t>1861-471X</t>
  </si>
  <si>
    <t>NOV 2</t>
  </si>
  <si>
    <t>10.1002/asia.202000913</t>
  </si>
  <si>
    <t>WOS:000575289100001</t>
  </si>
  <si>
    <t>Sitaaraman, SR; Santhosh, R; Kollu, P; Jeong, SK; Sellappan, R; Raghavan, V; Jacob, G; Grace, AN</t>
  </si>
  <si>
    <t>Sitaaraman, S. R.; Santhosh, Ravichandran; Kollu, Pratap; Jeong, Soon Kwan; Sellappan, Raja; Raghavan, Vimala; Jacob, George; Grace, Andrews Nirmala</t>
  </si>
  <si>
    <t>Role of graphene in NiSe2/graphene composites - Synthesis and testing for electrochemical supercapacitors</t>
  </si>
  <si>
    <t>Nickel selenide and its nanocomposites (Nickel selenide-graphene; NiSe2/G, nitrogen and boron doped graphene designated as NiSe2/NG &amp; NiSe2/BG respectively) were prepared using hydrothermal route and these materials were further exploited for its activity towards energy storage. The prepared materials were investigated with various analytical and morphological analysis like X-ray diffractometer and FESEM analysis. Further the prepared materials were probed for its electrochemical characteristics with various tools like voltammetric and controlled potentiostatic test to calculate the capacitance, energy and power density of the fabricated electrode. The electrochemical behavior of nickel selenide graphene nanocomposites were tested in KOH electrolyte. It was found that NiSe2/NG showed a high specific capacitance of 99.03 Fg(-1) with 0.55 W kg(-1) and 51.43 Wh kg(-1) power and energy density respectively. A detailed study has been carried out to know the role of graphene and doped graphene towards capacitance. Hence, results proved that doping of graphene showed a synergistic effect thus proving a good electrode for storage applications.</t>
  </si>
  <si>
    <t>Jacob, George/K-5235-2016; Grace, Andrews Nirmala/F-4522-2016; Kollu, Pratap/AGW-5573-2022; Nirmala Grace, Andrews/F-4522-2016; Sellappan, Raja/C-1289-2012; Santhosh, Ravichandran/R-2679-2018; Raghavan, Vimala/T-3290-2019</t>
  </si>
  <si>
    <t>S.R, Sitaaraman/0000-0001-6127-0678; Nirmala Grace, Andrews/0000-0002-8714-1716; Jacob, George/0000-0001-8311-6700</t>
  </si>
  <si>
    <t>10.1016/j.diamond.2020.107983</t>
  </si>
  <si>
    <t>WOS:000569886800009</t>
  </si>
  <si>
    <t>Liu, K; Wu, MC; Jiang, HR; Lin, YK; Zhao, TS</t>
  </si>
  <si>
    <t>Liu, Ke; Wu, Maochun; Jiang, Haoran; Lin, Yanke; Zhao, Tianshou</t>
  </si>
  <si>
    <t>An ultrathin, strong, flexible composite solid electrolyte for high-voltage lithium metal batteries</t>
  </si>
  <si>
    <t>The urgent need for safe, energy-dense electrochemical storage devices calls for high-voltage solid-state lithium metal batteries. However, state-of-the-art solid-state electrolytes are hindered by two critical issues: the narrow electrochemical window, which prevents the pairing of a lithium metal anode with a high-voltage cathode, and the large thickness which leads to a huge internal resistance and a significant sacrifice in energy density. To simultaneously address both the issues, in this work we develop a poly(acrylonitrile) (PAN)-LiClO4-boron nitrite nanoflake (BNNF) composite electrolyte modified with a BNNF layer (PBCEB). The PAN-LiClO4-BNNF composite can sustain an oxidation voltage of up to 4.5 Vvs.Li/Li(+)while the BNNF modifying layer prevents the PAN-LiClO4-BNNF from the reduction reaction with the lithium metal anode. In the meantime, thanks to the BNNFs, the PAN-LiClO4-BNNF possesses a strong tensile strength (16.0 MPa) and Young's modulus (563.7 MPa), which enables the PBCEB to be as thin as 13.5 mu m (12.0 mu m for the PAN-LiClO4-BNNF and 1.5 mu m for the BNNF modifying layer). As a result, a Li/PBCEB/LiNi(0.8)Co(0.1)Mn(0.1)O(2)full battery delivers a high specific capacity of 173.6 mA h g(-1)at 0.2C and achieves a remarkable capacity retention of 68.1% after 350 cycles at 1C. This work provides an effective approach to develop high-performance composite solid electrolytes for high-voltage lithium metal batteries.</t>
  </si>
  <si>
    <t>Zhao, Tianshou/A-1341-2009; Wu, Maochun/K-7952-2019; Wu, Maochun/T-2736-2017; Jiang, Haoran/AAH-8244-2019</t>
  </si>
  <si>
    <t>Wu, Maochun/0000-0002-8255-7827; Zhao, Tianshou/0000-0003-4825-2381</t>
  </si>
  <si>
    <t>10.1039/d0ta05644h</t>
  </si>
  <si>
    <t>WOS:000572173300022</t>
  </si>
  <si>
    <t>Yan, BG; Kang, L; Kotobuki, M; He, LC; Liu, B; Jiang, KY</t>
  </si>
  <si>
    <t>Yan, Binggong; Kang, Lei; Kotobuki, Masashi; He, Linchun; Liu, Bin; Jiang, Kaiyong</t>
  </si>
  <si>
    <t>Boron group element doping of Li1.5Al0.5Ge1.5(PO4)3based on microwave sintering</t>
  </si>
  <si>
    <t>We report effectiveness of dopants selected from group 13, such as B, Ga, and In, on the conductivity of Li1.5Al0.5Ge1.5(PO4)(3)(LAGP) that is recognized as one of the promising solid electrolytes for next-generation solid-state lithium batteries. To minimize loss of versatile element, crystallization of LAGP using a microwave irradiation is introduced. Experimental results demonstrate that B enhances grain boundary conductivity, while Ga improves the bulk ionic conductivity. Co-doping of B and Ga leads to enhanced total ionic conductivity and remarkably reduced activation energy.</t>
  </si>
  <si>
    <t>Kotobuki, Masashi/AAB-2600-2022; Kang, Lei/HOF-1718-2023</t>
  </si>
  <si>
    <t>10.1007/s10008-020-04829-2</t>
  </si>
  <si>
    <t>SEP 2020</t>
  </si>
  <si>
    <t>WOS:000572858800001</t>
  </si>
  <si>
    <t>Wang, J; He, ZB; Tan, XL; Wang, T; He, XS; Zhang, L; Huang, JL; Chen, G; Du, K</t>
  </si>
  <si>
    <t>Wang, Jian; He, Zhibing; Tan, Xiulan; Wang, Tao; He, Xiaoshan; Zhang, Ling; Huang, Jinglin; Chen, Guo; Du, Kai</t>
  </si>
  <si>
    <t>Hybrid supercapacitors from porous boron-doped diamond with water-soluble redox electrolyte</t>
  </si>
  <si>
    <t>Hybrid supercapacitors (HSCs) can simultaneously achieve battery-level energy as well as capacitor-level power and cycle life in a single device. To construct such HSCs, porous boron-doped diamond (BDD) films fabricated by a template-free method via regrowth of diamond nanoparticles were employed as the electrodes and water-soluble redox couples (Fe (CN)(6)(3-/4-)) as the electrolyte. For the three-electrode system, the porous BDD electrode delivers a capacitance of 13.08 mF cm(-2) in 1.0 M Na2SO4, and a capacity of 78.23 mAh g(-1) in 0.05 M Fe (CN)(6)(3-/4-) + 1.0 M Na2SO4 when a scan rate of 10 mV s(-1) is applied. For the symmetric two-electrode system, the porous BDD electrode exhibits a capacitance of 13.04 mF cm(-2) in 1.0 M Na2SO4 and a capacity of 34.74 mAh g(-1) in 0.05 M Fe (CN)(6)(3-/4-) + 1.0 M Na2SO4 at the same scan rate. The capacitance (capacity) remains about 92% of its initial value after 5000 cyclic voltammetry cycles in all conditions. The specific power densities (normalized by the mass of electrode active material only) are 0.17 and 1.05 kW kg(-1), with their specific energy densities of 5.51 and 38.10 W h kg(-1), respectively. Thus, the porous BDD films, together with the water-soluble redox electrolyte, have profound applications in high-performance hybrid supercapacitors construction for future power devices.</t>
  </si>
  <si>
    <t>Li, Lingli/HIR-7951-2022; Wang, Tao/HTS-3444-2023</t>
  </si>
  <si>
    <t>SEP 25</t>
  </si>
  <si>
    <t>10.1016/j.surfcoat.2020.126103</t>
  </si>
  <si>
    <t>WOS:000549325000032</t>
  </si>
  <si>
    <t>Zvyagintseva, AV</t>
  </si>
  <si>
    <t>Zvyagintseva, A., V</t>
  </si>
  <si>
    <t>Hybrid functional materials forming the metal structure with optimal imperfection for storage of hydrogen in hydride form</t>
  </si>
  <si>
    <t>The paper investigates the samples of Ni-B and Ni-In composites in the form of films synthesized by an electrochemical method having a 3high degree of defectiveness and shows the electrochemical processes for their preparation, in which the experimental data of the influence doping additions of boron and indium on the hydrogen permeability of synthesized electrochemical complexes based on nickel Nix-By-Hzand Nix-Iny-Hz are given. It is shown that by creating traps (structural, impurity) for hydrogen by introducing additional elements into the metal structure or by changing the structure (intermetallides), also by other methods, the hydrogen solubility of the metal can be changed to a greater or lesser extent depending on the technical requirements. Ni-B samples were obtained in the sulfamate nickel electrolyte using boron compounds of the class of higher polyhedral borates Na2B10H10. The use of nanoforming boron additives provides measured hydrogen content in Nix-By-Hz samples about of 600 cm(3)/100 g. Nickel-indium composites were obtained by electrolytic deposition on copper substrates (0,05 mm thick), with electrolyte composition: NiSO4 x 7H(2)O 1/4 140 g/L; Na2SO4 x 10H(2)O 1/4 20 g/L; and In-2(SO4)3 which concentration varied from 1 g/L to 12 g/L. Variations in the amount of In-2(SO4)(3) ensured the production of Ni-In composites with different component ratios. The obtained data made it possible to select the optimal mode of deposition of Ni-In plating in the In-2(SO4)(3) electrolyte. In order to determine the effect of each of the electrodepositing parameters on the properties of the samples, only one parameter varies: either the cathode current density or the concentration of indium in the electrolyte. The samples of different concentrations of In are synthesized and studied. Their phase composition was determined. X-Ray phase analysis reveals in the Ni-In composites synthesized from electrolytes with In-2(SO4)(3) concentration of more than 2 g/L, a phase corresponding to the intermetallide h-In27Ni10. For the first time in the practice of studying sorption, electrochemical composites Ni-x-In-y, including subsequent thermal desorption of hydrogen, are studied by implanting deuterium into the samples. It is demonstrated spectra of deuterium thermal desorption from Ni70In30Dx composites, which allowed determining the temperature ranges of desorption of ion implanted deuterium depending on the dose of implantation. It is confirmed that a Ni70In30 composite capable of retaining doped deuterium (hydrogen) has been obtained. It is shown that it is permissible to obtain samples of a Nix-Iny-Dz composite with a deuterium content of up to 2 at. D/at. Met., that corresponds to 5,3 wt% (for composites of this composition). (C) 2020 Published by Elsevier Ltd on behalf of Hydrogen Energy Publications LLC.</t>
  </si>
  <si>
    <t>Zvyginceva, Alla/ABG-7628-2021</t>
  </si>
  <si>
    <t>Zvyginceva, Alla/0000-0003-1252-0233</t>
  </si>
  <si>
    <t>10.1016/j.ijhydene.2020.06.221</t>
  </si>
  <si>
    <t>WOS:000569369200008</t>
  </si>
  <si>
    <t>Jian, Z; Yang, NJ; Vogel, M; Leith, S; Schulte, A; Schönherr, H; Jiao, TP; Zhang, WJ; Müller, J; Butz, B; Jiang, X</t>
  </si>
  <si>
    <t>Jian, Ze; Yang, Nianjun; Vogel, Michael; Leith, Stewart; Schulte, Anna; Schoenherr, Holger; Jiao, Tianpeng; Zhang, Wenjun; Mueller, Julian; Butz, Benjamin; Jiang, Xin</t>
  </si>
  <si>
    <t>Flexible Diamond Fibers for High-Energy-Density Zinc-Ion Supercapacitors</t>
  </si>
  <si>
    <t>Supercapacitors supply high power densities but suffer from low energy densities and small specific capacitances. The design and implementation of unique capacitor electrodes are expected to overcome these challenges. Herein, flexible diamond fibers (a fibrous core/shell structure of diamond/carbon fibers) are produced through overgrowing conductive carbon fibers core with a thin boron-doped diamond film as a shell using a chemical vapor deposition technique. The resultant fibers combine the properties of boron-doped diamond with those of carbon fibers. This allows these binder-free diamond fibers to be employed as the positive electrode in the fabrication of zinc-ion supercapacitors. Together with a negative electrode fabricated from zinc nanosheet coated diamond fibers, this diamond supercapacitor delivers a high and stable specific capacitance. More importantly, it delivers high gravimetric and volumetric energy and power densities, even under severe bending states. The performance of this flexible supercapacitor is superior to previous diamond and carbon fiber-based supercapacitors. Such flexible diamond supercapacitors are promising energy storage devices for various flexible electronics.</t>
  </si>
  <si>
    <t>; Schönherr, Holger/D-5878-2014; Butz, Benjamin/A-3937-2013; Schonherr, Holger/D-5878-2014; Zhang, WJ/C-6995-2012</t>
  </si>
  <si>
    <t>JIAO, Tianpeng/0000-0003-1470-9857; Butz, Benjamin/0000-0002-9744-3419; Yang, Nianjun/0000-0002-5558-2314; Schonherr, Holger/0000-0002-5836-5569;</t>
  </si>
  <si>
    <t>10.1002/aenm.202002202</t>
  </si>
  <si>
    <t>WOS:000565675900001</t>
  </si>
  <si>
    <t>Mandai, T</t>
  </si>
  <si>
    <t>Mandai, Toshihiko</t>
  </si>
  <si>
    <t>Critical Issues of Fluorinated Alkoxyborate-Based Electrolytes in Magnesium Battery Applications</t>
  </si>
  <si>
    <t>The development of noncorrosive but highly efficient electrolytes has been a long-standing challenge in magnesium rechargeable battery (MRB) research fields. As fluorinated alkoxyborate-based electrolytes have overcome serious problems associated with conventional electrolytes, they are regarded as promising for practical MRB applications. An electrolyte containing representative magnesium fluorinated alkoxyborate Mg[B(HFIP)(4)](2) ([B(HFIP)(4)]: tetrakis(hexafluoroisopropoxy) borate) was prepared through general synthetic routes using Mg(BH4)(2); however, it shows poor electrochemical magnesium deposition/dissolution behavior. Herein, we report an alternative synthetic route of highly reactive Mg[B(HFIP)(4)](2) and several critical issues associated with the use of Mg[B(HFIP)(4)](2)/glyme electrolytes in MRBs. The cycling performance of the electrolytes as well as the synthetic reproducibility of the salt was significantly improved upon adopting a transmetalation reaction between certain magnesium and boron compounds for the salt preparation. Despite the outstanding electrochemical activity of Mg[B(HFIP)(4)](2)/glyme, the electrolytes were unstable with the magnesium metal. The remarkably high dissociativity of Mg[B(HFIP)(4)](2) in glyme solutions and the resulting enhanced induction interaction of Mg2+ with coordinated glymes make the solutions reductively unstable. Surface passivation by [TFSA]-based electrolytes (TFSA: bis(trifluoromethanesulfonyl)amide) effectively suppressed the decomposition of Mg[B(HFIP)(4)](2)/glyme electrolytes. This passivation simultaneously caused a large overpotential for electrochemical cycling. The short-circuiting of the cells upon repeated deposition/dissolution cycling is rather problematic. Here, the findings disclose the issues of fluorinated alkoxyborate-based electrolyte solutions that should be resolved for practical MRB materialization. We also emphasize the importance of systematic strategies in manipulating the electrolytes and interfaces as well as base magnesium metal based on each appropriate approach.</t>
  </si>
  <si>
    <t>Mandai, Toshihiko/AAA-8363-2020</t>
  </si>
  <si>
    <t>Mandai, Toshihiko/0000-0002-2403-7794</t>
  </si>
  <si>
    <t>SEP 2</t>
  </si>
  <si>
    <t>10.1021/acsami.0c09948</t>
  </si>
  <si>
    <t>WOS:000569268800030</t>
  </si>
  <si>
    <t>Sendek, AD; Antoniuk, ER; Cubuk, ED; Ransom, B; Francisco, BE; Buettner-Garrett, J; Cui, Y; Reed, EJ</t>
  </si>
  <si>
    <t>Sendek, Austin D.; Antoniuk, Evan R.; Cubuk, Ekin D.; Ransom, Brandi; Francisco, Brian E.; Buettner-Garrett, Josh; Cui, Yi; Reed, Evan J.</t>
  </si>
  <si>
    <t>Combining Superionic Conduction and Favorable Decomposition Products in the Crystalline Lithium-Boron-Sulfur System: A New Mechanism for Stabilizing Solid Li-Ion Electrolytes</t>
  </si>
  <si>
    <t>We report a solid-state Li-ion electrolyte predicted to exhibit simultaneously fast ionic conductivity, wide electrochemical stability, low cost, and low mass density. We report exceptional density functional theory (DFT)-based room-temperature single-crystal ionic conductivity values for two phases within the crystalline lithium-boron-sulfur (Li-B-S) system: 62 (+9, -2) mS cm(-1) in Li5B7S13 and 80 (-56, -41) mS cm(-1) in Li9B19S33. We report significant ionic conductivity values for two additional phases: between 0.0056 and 0.16 mS/cm(-1) in Li2B2S5 and between 0.0031 and 9.7 mS cm(-1) in Li3BS3 depending on the room-temperature extrapolation scheme used. To our knowledge, our prediction gives Li9B19S33 and Li5B7S13 the second and third highest reported DFT-computed single-crystal ionic conductivities of any crystalline material. We compute the thermodynamic electrochemical stability window widths of these materials to be 0.50 V for Li5B7S13, 0.16 V for Li2B2S5, 0.45 V for Li3BS3, and 0.60 V for Li9B19S33. Individually, these materials exhibit similar or better ionic conductivity and electrochemical stability than the best-known sulfide-based solid-state Li-ion electrolyte materials, including Li10GeP2S12 (LGPS). However, we predict that electrolyte materials synthesized from a range of compositions in the Li-B-S system may exhibit even wider thermodynamic electrochemical stability windows of 0.63 V and possibly as high as 3 V or greater. The Li-B-S system also has a low elemental cost of approximately 0.05 USD/m(2) per 10 mu m thickness, which is significantly lower than that of germanium-containing LGPS, and a comparable mass density below 2 g/cm(3). These fast-conducting phases were initially brought to our attention by a machine learning-based approach to screen over 12,000 solid electrolyte candidates, and the evidence provided here represents an inspiring success for this model.</t>
  </si>
  <si>
    <t>Cui, Yi/L-5804-2013; Antoniuk, Evan/LPE-0598-2024; Sendek, Austin/K-3460-2017</t>
  </si>
  <si>
    <t>Antoniuk, Evan/0000-0002-4273-1974</t>
  </si>
  <si>
    <t>AUG 26</t>
  </si>
  <si>
    <t>10.1021/acsami.9b19091</t>
  </si>
  <si>
    <t>WOS:000566662000014</t>
  </si>
  <si>
    <t>Khossossi, N; Panda, PK; Singh, D; Shukla, V; Mishra, YK; Essaoudi, I; Ainane, A; Ahuja, R</t>
  </si>
  <si>
    <t>Khossossi, Nabil; Panda, Pritam Kumar; Singh, Deobrat; Shukla, Vivekanand; Mishra, Yogendra Kumar; Essaoudi, Ismail; Ainane, Abdelmajid; Ahuja, Rajeev</t>
  </si>
  <si>
    <t>Rational Design of 2D h-BAs Monolayer as Advanced Sulfur Host for High Energy Density Li-S Batteries</t>
  </si>
  <si>
    <t>The emergence of compact lithium-sulfur (Li-S) batteries with improved performances is becoming one of the most desirable aspects of future energy technologies. Beyond Li-ion batteries, Li-S is of great relevance to follow as it adapts to the specificity of each application. It is among the most suitable elements for high-performance energy storage systems, given its high theoretical capacity (1674 mA h g(-1)) and energy density (2600 W h kg(-1)) relative to Li-ion batteries (300 W h kg(-1)). Nevertheless, the high-cell polarization and the shuttle effect constitute an enormous challenge toward the concrete applications of Li-S batteries. In the framework of this work, density functional theory calculations have been carried out to analyze the potential of h-BAs nanosheets as a promising host material for Li-S batteries. Binding and electronic characteristics of lithium polysulfides (LiPSs) adsorbed on h-BAs surface have been explored. Reported findings highlight the potential of the hBAs monolayer as a moderate host material, given that the binding energies of different LiPSs vary from 0.47 to 3.55 eV. More detailed analysis of the complex binding mechanisms is carried out by investigating the components of van der Waals physical/chemical interactions. The defected surface of the h-BAs monolayer has optimum binding energies with LiPSs for Li-S batteries. All these findings provide valuable insights into the binding and electronic characteristics of the h-BAs monolayer as a moderate host material for Li-S batteries.</t>
  </si>
  <si>
    <t>; Mishra, Yogendra/G-6241-2010; Panda, Pritam Kumar/E-8002-2015; Singh, Deobrat/ABF-2402-2022; Ainane, Tarik/AEI-6594-2022; PANDA, PRITAM/E-8002-2015; Khossossi, Nabil/AAG-5586-2020</t>
  </si>
  <si>
    <t>Singh, Deobrat/0000-0001-7246-8743; Mishra, Yogendra/0000-0002-8786-9379; Panda, Pritam Kumar/0000-0003-4879-2302; KHOSSOSSI, Nabil/0000-0002-3914-4162; Ahuja, Rajeev/0000-0003-1231-9994</t>
  </si>
  <si>
    <t>AUG 24</t>
  </si>
  <si>
    <t>10.1021/acsaem.0c00492</t>
  </si>
  <si>
    <t>WOS:000563784400010</t>
  </si>
  <si>
    <t>Yin, XS; Wang, L; Kim, Y; Ding, N; Kong, JH; Safanama, D; Zheng, Y; Xu, JW; Repaka, DVM; Hippalgaonkar, K; Lee, SW; Adams, S; Zheng, GW</t>
  </si>
  <si>
    <t>Yin, Xuesong; Wang, Liu; Kim, Yeongae; Ding, Ning; Kong, Junhua; Safanama, Dorsasadat; Zheng, Yun; Xu, Jianwei; Repaka, Durga Venkata Maheswar; Hippalgaonkar, Kedar; Lee, Seok Woo; Adams, Stefan; Zheng, Guangyuan Wesley</t>
  </si>
  <si>
    <t>Thermal Conductive 2D Boron Nitride for High-Performance All-Solid-State Lithium-Sulfur Batteries</t>
  </si>
  <si>
    <t>Polymer-based solid-state electrolytes are shown to be highly promising for realizing low-cost, high-capacity, and safe Li batteries. One major challenge for polymer solid-state batteries is the relatively high operating temperature (60-80 degrees C), which means operating such batteries will require significant ramp up time due to heating. On the other hand, as polymer electrolytes are poor thermal conductors, thermal variation across the polymer electrolyte can lead to nonuniformity in ionic conductivity. This can be highly detrimental to lithium deposition and may result in dendrite formation. Here, a polyethylene oxide-based electrolyte with improved thermal responses is developed by incorporating 2D boron nitride (BN) nanoflakes. The results show that the BN additive also enhances ionic and mechanical properties of the electrolyte. More uniform Li stripping/deposition and reversible cathode reactions are achieved, which in turn enable all-solid-state lithium-sulfur cells with superior performances.</t>
  </si>
  <si>
    <t>Repaka, D/AAK-1612-2021; Zheng, Yun/AAY-7055-2020; Hippalgaonkar, Kedar/HIK-3095-2022; KONG, Junhua/HPG-2460-2023; Yin, Xuesong/GYA-4315-2022; Repaka, D V Maheswar/M-8484-2015; Lee, Seok/B-9792-2015; Adams, Stefan/G-9146-2011; Lee, Seok Woo/B-9792-2015; Kim, Yeongae/AAY-4712-2020</t>
  </si>
  <si>
    <t>Ding, Ning/0000-0002-1321-9314; Wang, Liu/0000-0002-9562-8700; Repaka, D V Maheswar/0000-0003-3917-0229; Lee, Seok Woo/0000-0003-2459-7174; Zheng, Yun/0000-0003-3364-0576;</t>
  </si>
  <si>
    <t>10.1002/advs.202001303</t>
  </si>
  <si>
    <t>AUG 2020</t>
  </si>
  <si>
    <t>WOS:000560851400001</t>
  </si>
  <si>
    <t>Shakourian-Fard, M; Ghenaatian, HR; Kamath, G; Taimoory, SM</t>
  </si>
  <si>
    <t>Shakourian-Fard, Mehdi; Ghenaatian, Hamid Reza; Kamath, Ganesh; Taimoory, S. Maryamdokht</t>
  </si>
  <si>
    <t>Unraveling the effect of nitrogen doping on graphene nanoflakes and the adsorption properties of ionic liquids: A DFT study</t>
  </si>
  <si>
    <t>Nitrogen doping manipulates the local electronic structure and enhances the binding of the surface with ions present in the electrolyte. This feature improves the device performance in various applications such as fuel cells, biosensors, electronic devices and high-capacity energy storage devices. In this study, we employ Density Functional Theory (DFT) method to study the adsorption behavior of ionic liquids (ILs) on the nitrogen-doped graphene nanofiake surfaces (GNF@1N, GNF@2N, GNF@3N and GNF@4N). We find that the adsorption of ILs on the N-doped GNFs is controlled through several noncovalent interactions (mainly dispersion forces) and the binding process proceeds spontaneously. The Theory of Atoms in Molecules (AIM) and noncovalent interaction (NCI) analyses show that the interactions between ILs and N-doped GNFs are noncovalent in nature. The interaction strength of ILs with the surfaces increases with increasing the number of nitrogen atoms in the nanofiake surfaces and follows the order of GNF@4N...IL &gt; GNF@3N...IL &gt; GNF@2N...IL &gt; GNF@1N...IL. The HOMO-LUMO energy gap of the N-doped GNF surfaces decreases slightly upon IL adsorption. The nitrogen atoms on the nanoflakes significantly affect the binding energy of ILs and the optical properties verified by changes in the calculated UV-Vis absorption spectra. The UV-Vis absorption spectra of the N-doped GNFs are mainly related to the pi((C=C)) -&gt; pi*((C=C)), pi((C=N)) -&gt; pi*((C=N)), and n((N)) -&gt; pi*((C=N)) transitions. These peaks generally become red-shifted upon IL adsorption. The most significant changes in the absorption spectra of the surfaces are seen with adsorption of ILs on the GNF@4N surface due to stronger interaction of ILs with the GNF@4N surface. The transition density matrix (TDM) heal maps based on fragments show that the electron excitation does not cause a significant electron transfer between N-doped GNF surfaces, cations and anions. Therefore, the electron transitions in the N-doped GNF...IL complexes are regarded as local excitation and mainly occur in the N-doped GNF surfaces. Further, this work attempts to lay a fundamental foundation on our understanding of the interfacial interactions at the electrolyte-electrode interface in the solar cells, supercapacitors and ion-batteries. (C) 2020 Elsevier B.V. All rights reserved.</t>
  </si>
  <si>
    <t>; Taimoory, S./U-7443-2018; Shakourian-Fard, Mehdi/AAA-3039-2022; Ghenaatian, HamidReza/AAX-7538-2021; k, ggk/ABC-5880-2020</t>
  </si>
  <si>
    <t>Shakourian-Fard, Mehdi/0000-0002-5454-3698;</t>
  </si>
  <si>
    <t>10.1016/j.molliq.2020.113400</t>
  </si>
  <si>
    <t>WOS:000559968600016</t>
  </si>
  <si>
    <t>Zhang, R; Wei, ZY; Lei, WW; Jiang, T; Zhang, QC; Shi, DA</t>
  </si>
  <si>
    <t>Zhang, Ran; Wei, Zhaoyang; Lei, Weiwei; Jiang, Tao; Zhang, Qunchao; Shi, Dean</t>
  </si>
  <si>
    <t>Mitigating the Shielding Effect of Ether Oxygen in Poly(ethylene glycol) on Boron Atoms in Boron-Doped Poly(ethylene glycol) Hybrid Polymer Electrolyte by Introducing Siloxane Spacers</t>
  </si>
  <si>
    <t>Doping boron (B) atoms into poly(ethylene glycol) (PEG)-based solid polymer electrolytes (B-PEG) is believed to be an attractive method to increase the lithium-ion transference number (tLi+) because of the interaction between the electropositive B atoms and the anions of lithium salts. However, this effect can be largely impeded by the interaction between B and the electronegative ether oxygen atoms in the attached PEG molecular chains, which is referred to as a shielding effect. Enlarging the distance between the center B atoms and the electronegative ether oxygens is believed to be an effective way to reduce such shielding effect. In this work, different number of siloxane spacing groups (Si-x) are introduced in between the B atom and ether oxygen in the B-PEG macromolecules (B-Si-x-PEGsx=0,1,3,5). As the siloxane oxygen has less electronegativity to ether oxygen, the shielding effects should be weakened and the ability of B atoms to trap the anions of lithium salt will increase. As the introduction of siloxane groups into the B-Si-x-PEGs polymer electrolytes will also reduce the neat contents of both B and PEG, which has the opposite effect on the whole ionic conductivities andtLi+values, both the ionic conductivities andtLi+values of B-Si-x-PEGs electrolytes first increase then decrease along withxincreases from 0 to 5 when the [Li+]:[EO] mole ratio is fixed at 1 : 10. The peak value exists atx=1. Meanwhile, both the mobilities of Li(+)ions (confirmed via(7)Li nuclear magnetic resonance (NMR) results) and bis(trifluoromethane) sulfonimide (TFSI-) anions (confirmed from Raman spectra analysis) get their maximum values whenx=1. However, if both the concentrations of TFSI(-)and B atoms in B-Si-x-PEGs electrolytes are taken into consideration, the normalized diffusion coefficient of TFSI(-)anions obtained by molecular dynamic (MD) simulation decrease monotonically whenxincreases from 0 to 5. As the diffusion coefficient of TFSI(-)anions is determined by the interaction probability and strength of TFSI(-)and B atoms; these results confirm that the interaction between the B atoms and TFSI(-)anions increase withx. Namely, the deshielding effects of siloxane spacing groups on B atoms increase along with the increase ofxin the B-Si-x-PEGs polymer electrolytes, while it levels off whenxexceeds 3.</t>
  </si>
  <si>
    <t>WEI, ZHAOYANG/MGT-9866-2025; Shi, Dean/AAX-7566-2021; Li, Weiwei/B-1628-2013; Zhou, Yeling/AAK-6264-2021</t>
  </si>
  <si>
    <t>Shi, Dean/0000-0002-0703-3804;</t>
  </si>
  <si>
    <t>10.1002/celc.202000784</t>
  </si>
  <si>
    <t>WOS:000563957400020</t>
  </si>
  <si>
    <t>Yang, L; Wang, P; Zhao, DN; Wei, Y; Han, YM; Zeng, SW; Wang, C; Li, SY</t>
  </si>
  <si>
    <t>Yang, Li; Wang, Peng; Zhao, Dongni; Wei, Yuan; Han, Yamin; Zeng, Shuangwei; Wang, Chao; Li, Shiyou</t>
  </si>
  <si>
    <t>Study on boron-containing electrolytes at extra-high temperatures for lithium-ion batteries</t>
  </si>
  <si>
    <t>Broadening the temperature range of lithium-ion batteries can be achieved by optimizing the composition of lithium salts in the electrolyte, which is currently one of the most popular methods. In this study, we report an extra-high temperature electrolyte by optimizing the proportion of mixed lithium salts (LiBOB and LiBF4) with ethylene carbonate (EC), diethyl carbonate (DEC) and ethyl methyl (EMC) as an equal volume mixture. An extra-high temperature of 75 degrees C is applied in a half cell with lithium iron phosphate (LFP) as the cathode and a lithium foil as the anode. The cycle stability and rate performance of the cell with various electrolytes based on mixed lithium salts are systematically investigated and a comparison of the polarization and impedance characteristics is conducted as well. The most outstanding electrolyte composition is electrolyte B (0.6 M LiBOB + 0.1 M LiBF4-EC/DEC/EMC). The optimized electrolyte not only maintains good cycle stability (the capacity retention rate is 98% after 80 cycles) and excellent rate performance at the extra-high temperature, but also minimizes the polarization during cycling, which is mainly due to the formation of a dense and smooth cathode electrolyte interface (CEI) film, as observed by scanning electron microscopy (SEM) and transmission electron microscopy (TEM). The CEI film that contains B-O bonds and organic components is systematically analyzed by energy-dispersive X-ray spectroscopy (EDS) and X-ray photoelectron spectroscopy (XPS), which shows that the components aid the extra-high temperature cycling stability of the cell. Our data indicate that the composition of lithium salts in the electrolyte is pivotal to the properties of the CEI film, which largely determines the performance of the cell at extra-high temperatures. The conclusions of this work can contribute significantly to the application of extra-high temperature electrolytes.</t>
  </si>
  <si>
    <t>Zhao, Dongni/0000-0003-3881-0511; Li, shiyou/0000-0001-7940-5235</t>
  </si>
  <si>
    <t>10.1039/d0se00529k</t>
  </si>
  <si>
    <t>WOS:000552930600029</t>
  </si>
  <si>
    <t>Rajendran, S; Thangavel, NK; Mahankali, K; Arava, LMR</t>
  </si>
  <si>
    <t>Rajendran, Sathish; Thangavel, Naresh Kumar; Mahankali, Kiran; Arava, Leela Mohana Reddy</t>
  </si>
  <si>
    <t>Toward Moisture-Stable and Dendrite-Free Garnet-Type Solid-State Electrolytes</t>
  </si>
  <si>
    <t>All-solid-state batteries using garnet-type solid-state electrolytes (SSEs) are promising candidates for safe, high energy density batteries due to their wide electrochemical stability window, high lithium-ion conductivity at room temperature, and the use of a lithium metal anode. However, garnet-type SSEs exhibit formidable challenges, including their instability in a moisture-containing atmosphere, high interfacial resistance, and the formation of lithium dendrites. Though several strategies have been deployed to alleviate the issues related to garnet-type SSEs against metallic lithium, most of the approaches fail to solve all the challenges. Herein, we demonstrate a surface modification strategy of the Li6.5La3Zr1.5Ta0.5O12 (LLZT) garnet electrolyte by two-dimensional hexagonal boron nitride (h-BN) nanosheets to solve the interfacial issues. Detailed spectroscopic evidence elucidates that the h-BN interlayer effectively protects the LLZT from moisture-induced chemical degradation and suppresses the formation of adverse carbonate species for over 120 h in an open atmosphere. The h-BN-coated garnet SSE interface has shown a nearly 10-fold reduction in interfacial resistance value compared to the uncoated one and it exhibits stable lithium plating/stripping behavior for over 1400 cycles at 0.2 mA cm(-2). Advanced in situ Raman analysis reveals that the h-BN interlayers remain stable during cycling and inhibit the structural transformation of LLZT at the interface.</t>
  </si>
  <si>
    <t>; MAHANKALI, KIRAN/AAO-5117-2020; kumar, naresh/HJI-8519-2023; Arava, Leela/J-3180-2015</t>
  </si>
  <si>
    <t>Mahankali, Kiran/0000-0003-3540-5350; Thangavel, Naresh Kumar/0000-0002-6604-0211;</t>
  </si>
  <si>
    <t>JUL 27</t>
  </si>
  <si>
    <t>10.1021/acsaem.0c00905</t>
  </si>
  <si>
    <t>WOS:000557375200084</t>
  </si>
  <si>
    <t>Wang, H; Liang, JL; Wu, Y; Kang, TX; Shen, D; Tong, ZQ; Yang, R; Jiang, Y; Wu, D; Li, XJ; Lee, CS</t>
  </si>
  <si>
    <t>Wang, Hui; Liang, Jianli; Wu, Yan; Kang, Tianxing; Shen, Dong; Tong, Zhongqiu; Yang, Rui; Jiang, Yang; Wu, Di; Li, Xinjian; Lee, Chun-Sing</t>
  </si>
  <si>
    <t>Porous BN Nanofibers Enable Long-Cycling Life Sodium Metal Batteries</t>
  </si>
  <si>
    <t>Sodium metal anode, featuring high capacity, low voltage and earth abundance, is desirable for building advanced sodium-metal batteries. However, Na-ion deposition typically leads to morphological instability and notorious chemical reactivity between sodium and common electrolytes still limit its practical application. In this study, a porous BN nanofibers modified sodium metal (BN/Na) electrode is introduced for enhancing Na-ion deposition dynamics and stability. As a result, symmetrical BN/Na cells enable an impressive rate capability and markedly enhanced cycling durability over 600 h at 10 mA cm(-2). Density functional theory simulations demonstrate BN could effectively improve Na-ion adsorption and diffusion kinetics simultaneously. Finite element simulation clearly reveals the intrinsic smoothing effect of BN upon multiple Na-ion plating/stripping cycles. Coupled with a Na3V2O2(PO4)(2)F/Ti3C2X cathode, sodium metal full cells offer an ultrastable capacity of 125/63 mA h g(-1)(approximate to 420/240 Wh kg(-1)) at 0.05/5 C rate over 500 cycles. These comprehensive analyses demonstrate the feasibility of BN/Na anode for the establishment of high-energy-density sodium-metal full batteries.</t>
  </si>
  <si>
    <t>li, xinjian/AAL-2297-2021; LEE, Chun-Sing/B-6254-2013; wu, di/IYS-9217-2023; Jiang, Jun/ABC-3959-2020; Liang, Jianli/P-2080-2019</t>
  </si>
  <si>
    <t>Wang, Hui/0000-0002-5703-8574; LEE, Chun-Sing/0000-0001-6557-453X; Wu, Yan/0000-0002-4223-226X; YANG, Rui/0000-0002-9175-7791; SHEN, Dong/0000-0001-8407-3845; KANG, Tianxing/0000-0002-8238-1454; TONG, Zhongqiu/0000-0002-7170-5767; LIANG, Jianli/0000-0002-8893-7767;</t>
  </si>
  <si>
    <t>10.1002/smll.202002671</t>
  </si>
  <si>
    <t>JUL 2020</t>
  </si>
  <si>
    <t>WOS:000550683000001</t>
  </si>
  <si>
    <t>Razaq, R; Zhang, NA; Xin, Y; Li, Q; Wang, J; Zhang, ZL</t>
  </si>
  <si>
    <t>Razaq, Rameez; Zhang, Nana; Xin, Ying; Li, Qian; Wang, Jin; Zhang, Zhaoliang</t>
  </si>
  <si>
    <t>Dense MoS2Micro-Flowers Planting on Biomass-Derived Carbon Fiber Network for Multifunctional Sulfur Cathodes</t>
  </si>
  <si>
    <t>CHEMISTRYSELECT</t>
  </si>
  <si>
    <t>The significant challenge in lithium-sulfur batteries (LSBs) arises from low conductivity of sulfur cathode, loss of active sulfur species due to less anchoring sites and sluggish redox kinetics of lithium polysulfides (LPSs). Herein, the dense MoS(2)micro-flowers assembled by cross-linked 2D MoS(2)nanoflakes planting on biomass-derived carbon fiber (CF) network (MoS2/CFs) are fabricated as multifunctional sulfur cathodes of LSBs. The 2D MoS(2)nanoflakes supported on CF provide abundant anchoring sites for strong adsorption, while the 3D flowerlike structure prevents lamellar aggregation of 2D MoS(2)nanoflakes. Importantly, the dense MoS(2)micro-flowers planting on the network weaved by biomass-derived CFs ensures the high electronic conductivity of the MoS2/CFs composite, sufficient electrode/electrolyte interaction, fast electron and Li(+)transportation. Moreover, the CF network weaved from cost-effective tissue paper reduces the cost of LSBs. Thus, the S-MoS2/CFs cathode exhibits a high rate capability (1149 and 608 mA h g(-1)are obtained at 0.2 C and 4 C, respectively), excellent cyclic performance with similar to 75% capacity retention and 99% Coulombic efficiency at 2 C after 500 cycles, corresponding to similar to 0.05% capacity fading per cycle only, as well as structure integrity during the discharge/charge process.</t>
  </si>
  <si>
    <t>Zhang, Zhaoliang/T-2714-2017; Razaq, Rameez/ABE-1433-2020</t>
  </si>
  <si>
    <t>Zhang, Zhaoliang/0000-0002-8048-0600;</t>
  </si>
  <si>
    <t>2365-6549</t>
  </si>
  <si>
    <t>JUL 7</t>
  </si>
  <si>
    <t>10.1002/slct.202001729</t>
  </si>
  <si>
    <t>WOS:000545756700033</t>
  </si>
  <si>
    <t>Liu, KW; Jiang, S; Dzwiniel, TL; Kim, HK; Yu, Z; Rago, NLD; Kim, JJ; Fister, TT; Yang, JZ; Liu, Q; Gilbert, J; Cheng, L; Srinivasan, V; Zhang, ZC; Liao, C</t>
  </si>
  <si>
    <t>Liu, Kewei; Jiang, Sisi; Dzwiniel, Trevor L.; Kim, Hong-Keun; Yu, Zhou; Rago, Nancy L. Dietz; Kim, Jae Jin; Fister, Timothy T.; Yang, Jianzhong; Liu, Qian; Gilbert, James; Cheng, Lei; Srinivasan, Venkat; Zhang, Zhengcheng; Liao, Chen</t>
  </si>
  <si>
    <t>Molecular Design of a Highly Stable Single-Ion Conducting Polymer Gel Electrolyte</t>
  </si>
  <si>
    <t>Single-ion conducting (SIC) polymer electrolytes with a high Li transference number (t(Li)(+)) have shown the capability to enable enhanced battery performance and safety by avoiding liquid-electrolyte leakage and suppressing Li dendrite formation. However, issues of insufficient ionic conductivity, low electrochemical stability, and poor polymer/electrode interfacial contact have greatly hindered their commercial use. Here, a Li-containing boron-centered fluorinated SIC polymer gel electrolyte (LiBFSIE) was rationally designed to achieve a high t(Li)(+) and high electrochemical stability. Owing to the low dissociation energy of the boron-centered anion and Li+, the as-prepared LiBFSIE exhibited an ionic conductivity of 2 x 10(-4) S/cm at 35 degrees C, which is exclusively contributed by Li ions owing to a high t(Li)(+) of 0.93. Both simulation and experimental approaches were applied to investigate the ion diffusion and concentration gradient in the LiBFSIE and non-cross-linked dual-ion systems. Typical rectangular Li stripping/plating voltage profiles demonstrated the uniform Li deposition assisted by LiBFSIE. The interfacial contact and electrolyte infiltration were further optimized with an in situ UV-vis-initiated polymerization method together with the electrode materials. By virtue of the high electrochemical stability of LiBFSIE, the cells achieved a promising average Coulombic efficiency of 99.95% over 200 cycles, which is higher than that of liquid-electrolyte-based cells. No obvious capacity fading was observed, indicating the long-term stability of LiBFSIE for lithium metal batteries.</t>
  </si>
  <si>
    <t>Kim, Jae Jin/E-2982-2017; Yu, Zhou/N-8542-2018; Liu, Kewei/AGZ-4408-2022; Yang, Jianzhong/T-8037-2018; Jiang, Sisi/KWT-4571-2024; liao, chen/E-3755-2012; Gilbert, James/AAC-7932-2022</t>
  </si>
  <si>
    <t>Kim, Jae Jin/0000-0001-7709-3530; Yu, Zhou/0000-0003-3316-4979; Fister, Tim/0000-0001-6537-6170;</t>
  </si>
  <si>
    <t>10.1021/acsami.0c03363</t>
  </si>
  <si>
    <t>WOS:000546698600024</t>
  </si>
  <si>
    <t>Li, SY; Fu, XL; Liang, YW; Wang, SX; Zhou, XN; Dong, H; Tuo, KY; Gao, CK; Cui, XL</t>
  </si>
  <si>
    <t>Li, Shiyou; Fu, Xiaolan; Liang, Youwei; Wang, Shengxian; Zhou, Xinan; Dong, Hong; Tuo, Kuanyou; Gao, Cankun; Cui, Xiaoling</t>
  </si>
  <si>
    <t>Enhanced Structural Stability of Boron-Doped Layered@Spinel@Carbon Heterostructured Lithium-Rich Manganese-Based Cathode Materials</t>
  </si>
  <si>
    <t>Layered Li-rich 3d-transition-metal cathode materials, xLi(2)MnO(3)center dot(1-x)LiMO2, have increasingly triggered immense interest for their use in Li-ion batteries due to their advantages in terms of energy density. Nevertheless, poor cycle and rate performances cause limitations in practical commercial applications. We modified the material with boron bulk doping and carbon surface modification to form a B-doped layered@spinel@carbon heterostructure. Herein, B-doping can increase the lattice spacing favorable for Li+ insertion/extraction and inhibit oxygen loss successfully. The spinel layer and carbon on the surface can protect the material from corrosion due to electrolyte decomposition, which can accelerate Li+ and electron conduction and lessen the phase transition. The co-modified material reveals outstanding cycle and rate capability. Especially, it not only shows superior thermal stability at the high temperature of 45 degrees C, with a capacity retention rate of 83.3%, but also shows a higher discharge capacity of 108.9 mAh g(-1) at the low temperature of -20 degrees C. Furthermore, the mechanism of the Li-rich cathode material with improved performance was also detected systematically. The proposed facile synthesis and co-modification of the boron-doped layered@spinel@carbon heterostructure can shed light on the design direction for cathode materials of lithium-ion batteries to solve the problem of electrochemical performance degradation caused by structural instability.</t>
  </si>
  <si>
    <t>Cui, Xiaoling/0000-0003-0564-2144</t>
  </si>
  <si>
    <t>JUN 29</t>
  </si>
  <si>
    <t>10.1021/acssuschemeng.0c00870</t>
  </si>
  <si>
    <t>WOS:000545975600010</t>
  </si>
  <si>
    <t>Benti, NE; Tiruye, GA; Mekonnen, YS</t>
  </si>
  <si>
    <t>Benti, Natei Ermias; Tiruye, Girum Ayalneh; Mekonnen, Yedilfana Setarge</t>
  </si>
  <si>
    <t>Boron and pyridinic nitrogen-doped graphene as potential catalysts for rechargeable non-aqueous sodium-air batteries</t>
  </si>
  <si>
    <t>RSC ADVANCES</t>
  </si>
  <si>
    <t>In this work, we performed density functional theory (DFT) analysis of nitrogen (N)- and boron (B)-doped graphene, and N,B-co-doped graphene as potential catalysts for rechargeable non-aqueous sodium-air batteries. Four steps of an NaO(2)growth and depletion mechanism model were implemented to study the effects of B- and N-doped and co-doped graphene on the reaction pathways, overpotentials, and equilibrium potentials. The DFT results revealed that two-boron- and three-nitrogen (pyridinic)-doped graphene exhibited plausible reaction pathways at the lowest overpotentials, especially during the charging process (approximately 200 mV), thus, significantly improving the oxygen reduction and oxidation reactions of pristine graphene. In addition, pyridinic nitrogen-doped graphene meaningfully increased the equilibrium potential by approximately 0.30 eV compared to the other graphene-based materials considered in this study. This detailed DFT study provides valuable data that can be used for the successful development of low-cost and efficient graphene-based catalysts for sodium-air battery systems operating with non-aqueous electrolyte.</t>
  </si>
  <si>
    <t>Benti, Natei/AAP-5681-2020; Mekonnen, Yedilfana/JAC-4769-2023; Mekonnen, Yedilfana Setarge/C-7592-2017; Tiruye, Girum Ayalneh/I-3251-2014</t>
  </si>
  <si>
    <t>Mekonnen, Yedilfana Setarge/0000-0001-9331-7370; Benti, Natei Ermias/0000-0002-1250-6944; Tiruye, Girum Ayalneh/0000-0003-2771-8226</t>
  </si>
  <si>
    <t>2046-2069</t>
  </si>
  <si>
    <t>JUN 7</t>
  </si>
  <si>
    <t>10.1039/d0ra03126g</t>
  </si>
  <si>
    <t>WOS:000542722900038</t>
  </si>
  <si>
    <t>Chen, GP; Niu, CQ; Liao, XX; Chen, YB; Shang, WY; Du, J; Chen, Y</t>
  </si>
  <si>
    <t>Chen, Guangping; Niu, Chaoqun; Liao, Xiaoxue; Chen, Yubing; Shang, Wenyan; Du, Jie; Chen, Yong</t>
  </si>
  <si>
    <t>Boron-containing single-ion conducting polymer electrolyte for dendrite-free lithium metal batteries</t>
  </si>
  <si>
    <t>Lithium metal is regarded as a Holy Grail anode material because of its high theoretical specific capacity and uniquely low reduction potential. However, its low Coulombic efficiency and hazards caused by uncontrolled lithium dendrite growth have hindered its practical application in anodes for many years. In this work, we design a novel boron-containing single-ion conducing polymer electrolyte that eliminates the large electric field that Chazalviel has identified as the cause of lithium dendrite growth. The ability to inhibit lithium dendrite growth is demonstrated via galvanostatic cycling tests of Li/Electrolyte/Li cells. In addition, the boron-containing single-ion conducing polymer electrolyte exhibits excellent ionic conductivity (2.23 mS cm(-1)) and an extremely high lithium-ion transference number (0.71). Moreover, the LiFePO4/Electrolyte/Li cell exhibits an outstanding specific capacity of more than 130 mAh g(-1) and excellent capacity retention (90% of the highest capacity was retained after 100 cycles). This excellent performance indicates a promising strategy for development of safe, long-life lithium metal batteries.</t>
  </si>
  <si>
    <t>10.1016/j.ssi.2020.115309</t>
  </si>
  <si>
    <t>WOS:000531575000001</t>
  </si>
  <si>
    <t>Wu, JY; Li, XW; Rao, ZX; Xu, XN; Cheng, ZX; Liao, YQ; Yuan, LX; Xie, XL; Li, Z; Huang, YH</t>
  </si>
  <si>
    <t>Wu, Jingyi; Li, Xiongwei; Rao, Zhixiang; Xu, Xiaoning; Cheng, Zexiao; Liao, Yaqi; Yuan, Lixia; Xie, Xiaolin; Li, Zhen; Huang, Yunhui</t>
  </si>
  <si>
    <t>Electrolyte with boron nitride nanosheets as leveling agent towards dendrite-free lithium metal anodes</t>
  </si>
  <si>
    <t>Lithium metal is a promising anode material for rechargeable batteries with high energy density. However, the uncontrollable dendrite growth severely hinders the commercialization of Li metal anode. Inspired by the leveling mechanism in traditional electroplating, we demonstrate that boron nitride nanosheets (BNNSs) as a liquid electrolyte additive can level out Li protrusions and enable dendrite-free Li metal anodes. 2D BNNSs can automatically and continuously flatten Li deposits and accommodate volume changes during Li plating/stripping. B atoms in BNNS as Lewis acid sites interact with Lewis basic anions in electrolyte, reducing Li+ concentration gradient and unifying Li deposition. The collect effects of BNNS additive give rise to dendrite-free Li anodes over 400 h and deep plating/stripping up to 35 mAh cm(-2), as well as potential application in sub-zero temperature batteries (20 degrees C). Li-S full cells using BNNS electrolyte also exhibit improved performance. This simple and effective strategy is applicable to develop dendrite-free Li or other metal anodes in high-performance energy storage devices.</t>
  </si>
  <si>
    <t>Li, Zhen/MIP-1639-2025; Xie, Xiaolin/H-4993-2014; Wu, Jingyi/AAV-8145-2021; LI, WEI/JUE-9796-2023; Wang, Zhaohui/O-3251-2019</t>
  </si>
  <si>
    <t>10.1016/j.nanoen.2020.104725</t>
  </si>
  <si>
    <t>WOS:000532793600002</t>
  </si>
  <si>
    <t>Xiao, Z; Liu, JD; Fan, GL; Yu, M; Liu, JX; Gou, XL; Yuan, MJ; Cheng, FY</t>
  </si>
  <si>
    <t>Xiao, Zi; Liu, Jiuding; Fan, Guilan; Yu, Meng; Liu, Junxiang; Gou, Xinglong; Yuan, Mingjian; Cheng, Fangyi</t>
  </si>
  <si>
    <t>Lithium bis(oxalate)borate additive in the electrolyte to improve Li-rich layered oxide cathode materials</t>
  </si>
  <si>
    <t>Lithium-rich layered oxides (LLO), as the most attractive cathode materials for high-energy lithium-ion batteries (LIBs), are plagued by poor cyclability due to structural and electrode/electrolyte interface instability. Herein, we report the synthesis of a LLO and its performance enhancement by using boron-containing electrolyte additives. In a formulated 1.0 M LiPF6 ethylene carbonate/ethyl methyl carbonate electrolyte with 0.1 M lithium bis(oxalato)borate (LiBOB), the battery assembled with Li1.2Mn0.54Co0.13Ni0.13O2 microspheres presents a stable specific capacity of 202 mA h g(-1) at 0.5C and a remarkable capacity retention of 96.4% after 100 cycles, significantly outperforming the cathode in the baseline electrolyte without LiBOB. The combination of voltammetry, impedance, microscopy, and spectroscopic analysis and density functional theory (DFT) calculations corroborates the beneficial effect of LiBOB in stabilizing the LLO/electrolyte interface. Reactions between LiBOB and activated oxygen radicals result in the formation of a dense cathode electrolyte interface (CEI) film (similar to 15 nm) containing oxalate, lithium fluoride and alkyl borate species, which contributes to suppression of the capacity/voltage decay of the LLO. These results would provide insight in understanding the effect of boron-containing electrolyte additives in upgrading high-capacity Li-rich cathode materials.</t>
  </si>
  <si>
    <t>Yuan, Mingjian/H-6468-2011; Liu, Junxiang/HDO-0506-2022; Cheng, Fangyi/E-3917-2015</t>
  </si>
  <si>
    <t>Liu, Junxiang/0000-0002-8256-1770; Yuan, Mingjian/0000-0002-2790-9172</t>
  </si>
  <si>
    <t>10.1039/d0qm00094a</t>
  </si>
  <si>
    <t>WOS:000540451500012</t>
  </si>
  <si>
    <t>Gauthier, R; Hall, DS; Lin, K; Baltazar, J; Hynes, T; Dahn, JR</t>
  </si>
  <si>
    <t>Gauthier, Roby; Hall, David S.; Lin, Katherine; Baltazar, Jazmin; Hynes, Toren; Dahn, J. R.</t>
  </si>
  <si>
    <t>Impact of Functionalization and Co-Additives on Dioxazolone Electrolyte Additives</t>
  </si>
  <si>
    <t>Finding new electrolyte additives could help create lithium-ion batteries with better performance at high voltage, allowing higher energy density. However, finding the perfect additive remains a tremendous challenge, since researchers still don't understand how to predict their performance. A new group of dioxazolone electrolyte additives have been tested in lithium-ion batteries alone or in combination with well-known co-additives. The new additives consist of a 3-phenyl-1,4,2-dioxazol-5-one (PDO) parent structure with or without (methoxy, fluoro and nitro) functional groups on the para position of the phenyl ring. It is found that PDO (no functional group) and p-(4-nitrophenyl)-1,4,2-dioxazol-5-one (pNDO) are the best performing dioxazolones overall and show promising results. (C) 2020 The Author(s). Published on behalf of The Electrochemical Society by IOP Publishing Limited.</t>
  </si>
  <si>
    <t>Hall, David/L-1681-2013; Hall, David/JDV-6238-2023; Gauthier, Roby/S-4242-2019</t>
  </si>
  <si>
    <t>Hall, David/0000-0001-9632-0399; Gauthier, Roby/0000-0003-4033-8578;</t>
  </si>
  <si>
    <t>MAY 25</t>
  </si>
  <si>
    <t>10.1149/1945-7111/ab8ed6</t>
  </si>
  <si>
    <t>WOS:000537497100001</t>
  </si>
  <si>
    <t>Li, YH; Zhang, LB; Sun, ZJ; Gao, GX; Lu, SY; Zhu, M; Zhang, YF; Jia, ZY; Xiao, CH; Bu, HT; Xi, K; Ding, SJ</t>
  </si>
  <si>
    <t>Li, Yuhan; Zhang, Libo; Sun, Zongjie; Gao, Guoxin; Lu, Shiyao; Zhu, Min; Zhang, Yanfeng; Jia, Zhiyu; Xiao, Chunhui; Bu, Huaitian; Xi, Kai; Ding, Shujiang</t>
  </si>
  <si>
    <t>Hexagonal boron nitride induces anion trapping in a polyethylene oxide based solid polymer electrolyte for lithium dendrite inhibition</t>
  </si>
  <si>
    <t>Here we prepare a hexagonal boron nitride (h-BN)-polyethylene oxide composite polymer electrolyte via a convenient casting method, which shows high mechanical strength. Meanwhile, the electrochemical properties (electrochemical window and lithium ion transference number) are enhanced but the ionic conductivity of the h-BN composite electrolyte is decreased after adding h-BN. Density functional theory (DFT) calculation results show that a stronger binding effect is observed between TFSI- and BN, compared to that between Li+ and BN. Molecular dynamics (MD) simulations are also utilized to study the mechanism behind the enhanced Li ion diffusion by h-BN addition. Li+ diffusion in PEO/LiTFSI/BN is lower than that in the PEO/LiTFSI system, but the diffusion of TFSI- exhibits a more significant decline rate in the presence of BN. This indicates that the presence of BN suppresses anion motion and enhances selectivity in Li+ transport. Thus, the PEO/LiTFSI/h-BN composite electrolyte exhibits higher Li ion conductivity but lower anion diffusivity than the PEO/LiTFSI system. Hence the h-BN composite polymer electrolyte in a Li/Li symmetric battery provides a long cycling time of 430 h at 0.2 mA cm(-2). A Li metal/LiFePO4 full battery with the PEO/LiTFSI/h-BN composite electrolyte also works more efficiently for long-term cycling (140 cycles) than a filler-free PEO based electrolyte (39 cycles).</t>
  </si>
  <si>
    <t>, 丁书江/G-5025-2011; Li, YuHan/GZM-2095-2022; Xi, Kai/A-2312-2015; Bu, Huaitian/AAP-8528-2020</t>
  </si>
  <si>
    <t>Sun, Zongjie/0009-0003-4615-7812; Jia, Zhiyu/0000-0002-9056-9908; Lu, Shiyao/0000-0002-0898-3211</t>
  </si>
  <si>
    <t>10.1039/d0ta03677c</t>
  </si>
  <si>
    <t>WOS:000536690000007</t>
  </si>
  <si>
    <t>Zhou, QY; Zhan, HF; Chen, B; Li, H; Huang, ZD; Ma, YW; Zhang, H; Li, SZ; Huang, X; Huang, W</t>
  </si>
  <si>
    <t>Zhou, Qiyuan; Zhan, Hongfeng; Chen, Bo; Li, Hai; Huang, Zhendong; Ma, Yanwen; Zhang, Hua; Li, Shaozhou; Huang, Xiao; Huang, Wei</t>
  </si>
  <si>
    <t>Imparting Boron Nanosheets with Ambient Stability through Methyl Group Functionalization for Mechanistic Investigation of Their Lithiation Process</t>
  </si>
  <si>
    <t>Although ultrahigh theoretical capacity has long been predicted for boron-based lithium-ion battery anodes, experimentally, boron has exhibited only limited performance and its lithiation process remains elusive. The two-dimensional (2D) form of boron is believed to be an ideal model system to investigate the lithiation behavior of boron; however, unfortunately, most reported 2D boron structures are prone to oxidation under ambient conditions. In this contribution, through a simultaneous etching and in situ functionalization process, we synthesized for the first time methyl-functionalized boron nanosheets, which remain stable up to 250 degrees C. Combining experiments and theoretical calculations, we found that lithiation of boron is realized through the formation of alloys such as LiB3 and Li3B14, while alloys with higher Li content such as Li5B are thermodynamically less favored. In addition, detailed electrochemical analysis reveals that side reactions on the boron surface may also contribute to the unsatisfactory performance of boron-based electrodes. Our findings suggest that reducing the enthalpy of formation of high Li content alloys and the choice of a less nucleophilic electrolyte are key to developing high-performance anodes based on novel boron materials. Our demonstration of stable 2D boron structures also paves the way for their fundamental study and practical applications.</t>
  </si>
  <si>
    <t>Huang, Wei/A-4461-2009; Huang, Zhen-Dong/Y-7138-2018; Zhang, Hua/A-1302-2009; Huang, Xiao/B-7720-2014; Ma, Yanwen/G-3095-2013; Li, Hai/E-7555-2011; CHEN, BO/L-1011-2015</t>
  </si>
  <si>
    <t>Huang, Wei/0000-0001-7004-6408; Zhang, Hua/0000-0001-9518-740X; li, shaozhou/0000-0002-9773-3678; Ma, Yanwen/0000-0002-0043-1156; CHEN, BO/0000-0001-6743-9251</t>
  </si>
  <si>
    <t>10.1021/acsami.0c05236</t>
  </si>
  <si>
    <t>WOS:000537394100100</t>
  </si>
  <si>
    <t>Lopez, IR; Lain, MJ; Kendrick, E</t>
  </si>
  <si>
    <t>Rubio Lopez, Irene; Lain, Michael J.; Kendrick, Emma</t>
  </si>
  <si>
    <t>Optimisation of Formation and Conditioning Protocols for Lithium-Ion Electric Vehicle Batteries</t>
  </si>
  <si>
    <t>The formation process and subsequent conditioning (cell ageing) protocols for a commercial EV lithium-ion cell chemistry have been studied to understand their effect on the electrochemical performance and chemical interface. The temperature and duration were varied for both the formation and conditioning steps, and the state of charge was investigated for the conditioning step. The optimum conditioning temperature was shown to be dependent on the previous formation conditions. After formation at room temperature, a longer cycle life was observed when conditioning was performed at 5 degrees C. After formation at 5 degrees C, conditioning at 45 degrees C gave the best cycle life. These results show that the conditioning process is important for cell longevity, and is dependent upon the initial formation. The formation process creates an initial interface layer from reduction of the electrolyte, which rearranges chemically during conditioning. The rearrangement has been followed though impedance studies and XPS analysis. After conditioning at 45 degrees C, surface analysis of the graphite showed increased quantities of boron and phosphorus in the interface layer, and the fluorine content increased by 20 % during the conditioning process. For low temperature formation, greater levels of lithium and oxygen were observed, which subsequently decreased during conditioning.</t>
  </si>
  <si>
    <t>Kendrick, Emma/A-2229-2010</t>
  </si>
  <si>
    <t>10.1002/batt.202000048</t>
  </si>
  <si>
    <t>MAY 2020</t>
  </si>
  <si>
    <t>WOS:000533521900001</t>
  </si>
  <si>
    <t>Ji, HQ; Liu, SS; Sun, XY; Wang, MF; Liu, J; Sun, H; Qian, T; Yan, CL</t>
  </si>
  <si>
    <t>Ji, Haoqing; Liu, Sisi; Sun, Xinyi; Wang, Mengfan; Liu, Jie; Sun, He; Qian, Tao; Yan, Chenglin</t>
  </si>
  <si>
    <t>Wiping off oxygen bonding to maximize heteroatom-induced improvement in oxygen reaction activity of metal site for high-performance zinc-air battery</t>
  </si>
  <si>
    <t>Heteroatom doping has recently been utilized to improve the catalytic performance of transition metal-based electrocatalysts. However, the doping process is inevitably accompanied by the introduction of oxygen, influencing the heteroatom-induced asymmetric spin density over the active sites and leading to inconspicuous promotion in the property. Herein, by wiping off the undesired heteroatom-oxygen bonding, we maximize the heteroatom-induced improvement in oxygen reaction activity of metal site, providing descendant energy barrier and favorable reaction efficiency for zinc-air batteries. The proof-of-concept material delivers a superior halfwave potential of 0.88 V versus reversible hydrogen electrode for oxygen reduction reaction, a small overpotential of 410 mV at the current density of 10 mA cm(-2) for oxygen evolution reaction, and a reversible oxygen electrode index of 0.76 V in electrochemical measurements. Aqueous zinc-air battery with such catalysts delivers an excellent power density of 162.3mWcm(-2) and superior durability over 635 cycles. Moreover, in consideration of high safety and flexibility of solid-state batteries, all-solid-state zinc-air battery adopting gel electrolyte is assembled and used to illumine an LED wristband, showing great promises for the next-generation energy system.</t>
  </si>
  <si>
    <t>yan, Chenglin/KFS-8716-2024; Yan, Chenglin/KFS-8716-2024; Qian, Tao/H-4979-2015; 刘, 洁/ABA-5097-2021; Wang, Mengfan/V-5075-2018; Liu, Sisi/B-2686-2019; Wang, Mengfan/MSX-3103-2025</t>
  </si>
  <si>
    <t>yan, Chenglin/0000-0003-4467-9441; Qian, Tao/0000-0001-7252-8224; Wang, Mengfan/0000-0003-3370-6395;</t>
  </si>
  <si>
    <t>MAY 8</t>
  </si>
  <si>
    <t>10.1088/1361-6528/ab6fdb</t>
  </si>
  <si>
    <t>WOS:000537540200003</t>
  </si>
  <si>
    <t>Zhang, Q; Luo, F; Ling, Y; Xiao, SL; Li, M; Qu, KG; Wang, YG; Xu, JX; Cai, WW; Yang, ZH</t>
  </si>
  <si>
    <t>Zhang, Quan; Luo, Fang; Ling, Ying; Xiao, Shenglin; Li, Min; Qu, Konggang; Wang, Yangang; Xu, Jingxiang; Cai, Weiwei; Yang, Zehui</t>
  </si>
  <si>
    <t>Identification of functionality of heteroatoms in boron, nitrogen and fluorine ternary-doped carbon as a robust electrocatalyst for nitrogen reduction reaction powered by rechargeable zinc-air batteries</t>
  </si>
  <si>
    <t>Efficient nitrogen reduction reaction (NRR) catalysis relies on the active sites of the electrocatalyst being capable of adsorption of hydrogen ions and nitrogen molecules. As has been well reported, nitrogen-doped carbons are efficient electrocatalysts for the hydrogen evolution reaction (HER) due to their ability to adsorb hydrogen ions, to combine them and to release H2. The introduction of other heteroatoms to disturb the successive HER active sites in nitrogen-doped carbon, and to offer binding sites for N2, is beneficial for efficiently catalyzing the NRR. Here, we rationally synthesize boron, nitrogen and fluorine ternary-doped carbon (BNFC) from the carbonization of cigarette butts saturated with the ionic liquid 1-butyl-3-methylimidazolium tetrafluoroborate (C8H15N2BF4). Nitrogen atoms in BNFC are capable of adsorption of hydrogen ions, and the adjacent B or F heteroatoms offer Lewis acid sites for chemisorption of N2; in the case of this synergistic catalysis, a boosted electrocatalytic activity toward the NRR with an NH3 yield rate of 41 mu gNH3 h-1 mgcat.-1 and a faradaic efficiency as high as 14% at -0.4 V vs. reversible hydrogen electrode (RHE) are recorded for BNFC in 0.05 M H2SO4 electrolyte. Moreover, a comparably high NH3 yield rate (39 mu gNH3 h-1 mgcat.-1) and faradaic efficiency (16%) at -0.4 V vs. RHE are also recorded in 0.1 M NaOH electrolyte due to the capability of water dissociation and adsorption of generated hydrogen ions by the nitrogen atoms in BNFC. In addition, due to the modulated electronic structure of the carbon atoms by means of heteroatom doping, BNFC also exhibits a Pt-like oxygen reduction reaction (ORR) activity with a half-wave potential of 836 mV vs. RHE and superior oxygen evolution reaction (OER) demanding a low overpotential of 313 mV to achieve 10 mA cm-2. As a consequence, the assembled rechargeable zinc-air batteries (ZABs) perform at a 1.8-fold higher power density than commercial Pt/C-IrO2 and sustain this for 2300 cycles with minimal degradation in performance. The battery performance of all-solid-sate ZABs also outperforms that of commercial Pt/C-IrO2 systems and can power the OER-NRR coupled device to electrochemically generate NH3.</t>
  </si>
  <si>
    <t>Ling, Ying/LWI-2574-2024; yang, zhang/ABE-4264-2021; Cai, Weiwei/J-4049-2012</t>
  </si>
  <si>
    <t>Yang, Zehui/0000-0002-5707-1905; Zhang, Quan/0009-0008-2846-0427; Luo, Fang/0000-0002-5637-2300; Qu, Konggang/0000-0003-2237-3951</t>
  </si>
  <si>
    <t>10.1039/d0ta01572e</t>
  </si>
  <si>
    <t>WOS:000533422400023</t>
  </si>
  <si>
    <t>Peng, C; Mercer, MP; Skylaris, CK; Kramer, D</t>
  </si>
  <si>
    <t>Peng, Chao; Mercer, Michael P.; Skylaris, Chris-Kriton; Kramer, Denis</t>
  </si>
  <si>
    <t>Lithium intercalation edge effects and doping implications for graphite anodes</t>
  </si>
  <si>
    <t>The interface between the electrolyte and graphite anodes plays an important role for lithium (Li) intercalation and has significant impact on the charging/discharging performance of Lithium-Ion Batteries (LIBs). However, atomistic understanding of interface effects that would allow the interface to be rationally optimized for application needs is largely missing. Here we comprehensively study the energetics of Li intercalation near the main non-basal surfaces of graphite, namely the armchair and zigzag edges. We find that edge sites at both surfaces bind Li more strongly than in the bulk of graphite. Therefore, lithiation of these sites is expected to proceed at higher voltages than in the bulk. Furthermore, this effect is significantly more pronounced at the zigzag edge compared to the armchair edge due to its unique electronic structure. The peculiar topologically stabilized electronic surface state found at zigzag edges strongly interacts with Li, thereby changing Li diffusion behavior at the surface as well. Finally, we investigate boron (B)/nitrogen (N) doping as a promising strategy to tune the Li intercalation behavior at both edge systems, which could lead to enhanced intercalation kinetics in B/N doped graphite anodes.</t>
  </si>
  <si>
    <t>; Kramer, Denis/E-1819-2011; Kramer, Denis/KEH-6184-2024</t>
  </si>
  <si>
    <t>Mercer, Michael/0000-0001-7578-3554; Kramer, Denis/0000-0003-0605-1047;</t>
  </si>
  <si>
    <t>10.1039/c9ta13862e</t>
  </si>
  <si>
    <t>WOS:000530495500041</t>
  </si>
  <si>
    <t>Eisele, L; Laszczynski, N; Görg, M; Schneider, M; Burger, S; Radkte, V; Lucht, B; Krossing, I</t>
  </si>
  <si>
    <t>Eisele, Lea; Laszczynski, Nina; Goerg, Marius; Schneider, Marius; Burger, Stephan; Radkte, Valentin; Lucht, Brett; Krossing, Ingo</t>
  </si>
  <si>
    <t>Investigation of Mixtures of BF3 Carbonates and LiX (X = OCH2CF3, OC(H)(CF3)2, CO2CF3) as Novel Electrolyte Systems for Lithium Ion Batteries</t>
  </si>
  <si>
    <t>The stoichiometric 1:1 combination of LiX (X = OCH2CF3, OC(H)(CF3)(2), CO2CF3) with BF3 center dot D (D = dimethyl carbonate, ethylene carbonate, ethyl methyl carbonate, propylene carbonate and diethyl ether) yields an electrolyte with a significantly increased conductivity in comparison to pure LiX in EC:EMC (3:7 wt%). The combination of Li[CO2CF3] and BF3 center dot EC displays with 5.8 mS.cm(-1) (1.5 mol.L-1) the highest conductivity of all investigated systems, which is also higher than that of LiBF4 in the same solvent. NMR studies of all composite electrolytes show the presence of various boron species like BX3, Li[BF3X], Li[BF2X2] and Li[BFX3], which distribute characteristically for each LiX. The investigation of the electrochemical behavior of the composite electrolytes in Li[Ni0.33Mn0.33Co0.33O2]/graphite cells showed a direct relation between cycling behavior, impedance and boron content on CEI/SEI. In the differential plots of the first cycle, an irreversible oxidation was observed in all cells, which is attributed to the formation of the SEI of the composite electrolyte. Ex situ analysis of the electrodes with XPS showed an increase of the boron content on the surface of both electrodes in the order of Li[OC(H)(CF3)(2)] &lt; Li[OCH2CF3] &lt; Li[CO2CF3]. This ordering was also found for the growth of the impedance of the cells. (c) 2020 The Electrochemical Society (ECS). Published on behalf of ECS by IOP Publishing Limited.</t>
  </si>
  <si>
    <t>; Krossing, Ingo/L-7693-2015</t>
  </si>
  <si>
    <t>Eisele, Lea/0000-0002-5496-6738;</t>
  </si>
  <si>
    <t>10.1149/1945-7111/ab8876</t>
  </si>
  <si>
    <t>WOS:000527392100001</t>
  </si>
  <si>
    <t>Zhang, J; Yin, Q; Luo, JE; Han, JB; Zheng, LR; Wei, M</t>
  </si>
  <si>
    <t>Zhang, Jian; Yin, Qing; Luo, Jianeng; Han, Jingbin; Zheng, Lirong; Wei, Min</t>
  </si>
  <si>
    <t>NiFe saponite as a new anode material for high-performance lithium-ion batteries</t>
  </si>
  <si>
    <t>NiFe saponite (NF-SAP) with Na+ pillaring was investigated for the first time, as a new anode material for high-performance lithium-ion batteries (LIBs). In this material, non-metallic element Si and metallic elements Fe and Ni all act as active components (providing capacity) and undergo valence state changes during electrochemical progress. Si changes between Si2+ and Si4+, while Fe and Ni transform between a nearly metallic state and Fex+ and Niy+ (0 &lt; x &lt; 3, 0 &lt; y &lt; 2). In the fully lithiated state, Ni-Ni bonds appear but only Fe-O bonds can be observed in NF-SAP. The NF-SAP/Li half cell delivers a gradually increasing specific capacity in the initial hundreds of cycles (maximum capacity of 815 mA h g(-1) at the 350th cycle) and maintains a capacity of 646 mA h g(-1) after 1000 cycles at 500 mA g(-1). The pre-pillaring effect of Na+ is responsible for the good Li+ storage performance, which leads to the decrease of Li+ transport hindrance and high contribution of pseudocapacitance. Furthermore, a full cell of LiMn2O4/NF-SAP was assembled, which shows an initial specific capacity of 104 mA h g(-1) at 100 mA g(-1) and maintains a capacity of 68% after 50 cycles, demonstrating the bright application prospects of NF-SAP as a promising anode material. This work shows a new kind of anode for LIBs and provides an in-depth understanding of its energy-storage mechanism. Considering the easy preparation, low cost and environment-friendly characteristics of NF-SAP, this kind of material is applicable to large-scale energy storage.</t>
  </si>
  <si>
    <t>Zheng, Lirong/LYO-6116-2024; Wei, Min/AGL-8528-2022</t>
  </si>
  <si>
    <t>Zhang, Jian/0000-0001-6746-6196;</t>
  </si>
  <si>
    <t>APR 14</t>
  </si>
  <si>
    <t>10.1039/c9ta12895f</t>
  </si>
  <si>
    <t>WOS:000526953200008</t>
  </si>
  <si>
    <t>Yan, YG; Grinderslev, JB; Lee, YS; Jorgensen, M; Cho, YW; Cerny, R; Jensen, TR</t>
  </si>
  <si>
    <t>Yan, Yigang; Grinderslev, Jakob B.; Lee, Young-Su; Jorgensen, Mathias; Cho, Young Whan; Cerny, Radovan; Jensen, Torben R.</t>
  </si>
  <si>
    <t>Ammonia-assisted fast Li-ion conductivity in a new hemiammine lithium borohydride, LiBH4•1/2NH3</t>
  </si>
  <si>
    <t>Hemiammine lithium borohydride, LiBH4 center dot 1/2NH(3), is characterized and a new Li+ conductivity mechanism is identified. It exhibits a Li+ conductivity of 7 x 10(-4) S cm(-1) at 40 degrees C in the solid state and 3.0 x 10(-2) S cm(-1) at 55 degrees C after melting. The molten state of LiBH4 center dot 1/2NH(3) has a high viscosity and can be mechanically stabilized in nano-composites with inert metal oxides and other hydrides making it a promising battery electrolyte.</t>
  </si>
  <si>
    <t>; Lee, Young-Su/C-3834-2012; Kim, Yong-Tae/HQZ-0240-2023</t>
  </si>
  <si>
    <t>Grinderslev, Jakob/0000-0001-7645-1383; Jensen, Torben Rene/0000-0002-4278-3221; Lee, Young-Su/0000-0002-3160-6633; Jorgensen, Mathias/0000-0002-6823-8256</t>
  </si>
  <si>
    <t>APR 11</t>
  </si>
  <si>
    <t>10.1039/c9cc09990e</t>
  </si>
  <si>
    <t>WOS:000524565800007</t>
  </si>
  <si>
    <t>Wu, FX; Maier, J; Yu, Y</t>
  </si>
  <si>
    <t>Wu, Feixiang; Maier, Joachim; Yu, Yan</t>
  </si>
  <si>
    <t>Guidelines and trends for next-generation rechargeable lithium and lithium-ion batteries</t>
  </si>
  <si>
    <t>Commercial lithium-ion (Li-ion) batteries suffer from low energy density and do not meet the growing demands of the energy storage market. Therefore, building next-generation rechargeable Li and Li-ion batteries with higher energy densities, better safety characteristics, lower cost and longer cycle life is of outmost importance. To achieve smaller and lighter next-generation rechargeable Li and Li-ion batteries that can outperform commercial Li-ion batteries, several new energy storage chemistries are being extensively studied. In this review, we summarize the current trends and provide guidelines towards achieving this goal, by addressing batteries using high-voltage cathodes, metal fluoride electrodes, chalcogen electrodes, Li metal anodes, high-capacity anodes as well as useful electrolyte solutions. We discuss the choice of active materials, practically achievable energy densities and challenges faced by the respective battery systems. Furthermore, strategies to overcome remaining challenges for achieving energy characteristics are addressed in the hope of providing a useful and balanced assessment of current status and perspectives of rechargeable Li and Li-ion batteries.</t>
  </si>
  <si>
    <t>Yu, Yan/ABY-4357-2022; Maier, Joachim/AFE-8821-2022; Wu, Feixiang/G-9757-2017</t>
  </si>
  <si>
    <t>Yu, Yan/0000-0002-3685-7773; Wu, Feixiang/0000-0002-9688-2428;</t>
  </si>
  <si>
    <t>MAR 7</t>
  </si>
  <si>
    <t>10.1039/c7cs00863e</t>
  </si>
  <si>
    <t>WOS:000519913000006</t>
  </si>
  <si>
    <t>Bagri, P; Thapaliya, BP; Yang, ZZ; Jiang, W; Sulejmanovic, D; Luo, HM; Dai, S</t>
  </si>
  <si>
    <t>Bagri, Prashant; Thapaliya, Bishnu P.; Yang, Zhenzhen; Jiang, Wei; Sulejmanovic, Dino; Luo, Huimin; Dai, Sheng</t>
  </si>
  <si>
    <t>Electrochemically induced crystallization of amorphous materials in molten MgCl2: boron nitride and hard carbon</t>
  </si>
  <si>
    <t>A novel and versatile strategy for the amorphous-to-crystalline transformation of boron nitride (BN) with the capability to control the degree of crystallization was developed through an electrochemical pathway using MgCl2 at low temperature (750 degrees C). This procedure can be extended to the transformation of amorphous carbon to graphite, which significantly reduces the energy and cost, accelerates the synthesis process and could potentially replace industrial graphite synthesis globally. Thus, the synthesized graphite exhibits much enhanced electrochemical performance at high charge-discharge rates (5C) compared to commercial synthetic graphite.</t>
  </si>
  <si>
    <t>; Dai, Sheng/K-8411-2015; Yang, Zhenzhen/X-3839-2019; Prasad Thapaliya, Bishnu/KYR-1124-2024; Jiang, Wei/O-8445-2018</t>
  </si>
  <si>
    <t>Prasad Thapaliya, Bishnu/0000-0002-1697-0509; Dai, Sheng/0000-0002-8046-3931; Yang, Zhenzhen/0000-0002-0233-4747;</t>
  </si>
  <si>
    <t>10.1039/c9cc08717f</t>
  </si>
  <si>
    <t>WOS:000528510000021</t>
  </si>
  <si>
    <t>Wang, X; Peng, LQ; Hua, HM; Liu, YZ; Zhang, P; Zhao, JB</t>
  </si>
  <si>
    <t>Wang, Xin; Peng, Longqing; Hua, Haiming; Liu, Yizheng; Zhang, Peng; Zhao, Jinbao</t>
  </si>
  <si>
    <t>Magnesium Borate Fiber Coating Separators with High Lithium-Ion Transference Number for Lithium-Ion Batteries</t>
  </si>
  <si>
    <t>In this work, magnesium borate fiber (MBO) is used as a functional ceramic to coat onto a polypropylene (PP) separator (MBO@PP). This MBO coating layer increases the lithium-ion transference number (t(Li+)) from 0.24 to 0.57 in the LiPF6-based electrolyte due to the MBO acting as Lewis acid sites interacts with Lewis base PF6- . The increase in the t(Li+) reduces the concentration polarization and promotes the migration of lithium ions. Besides, the prepared MBO@PP separator has better wettability with liquid electrolyte, the electrolyte uptake as well as thermal stability. The LiFePO4 half-coin with MBO@PP separator not only had better cycle stability, but also had a higher capacity retention rate at high current.</t>
  </si>
  <si>
    <t>zhao, jin/LBH-0351-2024</t>
  </si>
  <si>
    <t>10.1002/celc.201901916</t>
  </si>
  <si>
    <t>WOS:000519650500018</t>
  </si>
  <si>
    <t>Venkateswarlu, G; Madhu, D; Rani, JV</t>
  </si>
  <si>
    <t>Venkateswarlu, Gundu; Madhu, Devarapaga; Rani, Jetti Vatsala</t>
  </si>
  <si>
    <t>Graphene Supported Boron Nitride Nanosheets as Advanced Electroanalytical Performance for Rechargeable Magnesium Storage System</t>
  </si>
  <si>
    <t>Graphene supported boron nitride (G/BN) nanosheets were prepared via vacuum filtration process and followed by thermal treatment at 150 degrees C for 2 h in an argon atmosphere. The structural analysis of G/BN materials were conducted through field emission scanning electron microscopy, energy-dispersive X-ray spectroscopy, X-ray diffraction, X-ray photoelectron spectroscopy, FT-IR spectroscopy. The structural analysis was clearly illustrated that the prepared BN nanosheets were supported on the graphene layer. It is confirmed that the G/BN-20% content shown round leaf-like morphology and particle size approximately 100 nm. Further, the electroanalytical performance of G/BN materials was measured by galvanostatic charge/discharge, cyclic voltammetry, and electrochemical impedance spectroscopy studies. It was observed that the G/BN-20% material was exhibited with a good discharge capacity (105 mAh g(-1)) at the current density of 25 mA g(-1), which is higher capacity retention and rate capability at around 100 cycles. Due to the exceptional magnesium storage behaviour of G/BN-20% material which is used as a cathode, has shown a strong synergistic effect.</t>
  </si>
  <si>
    <t>Vatsala Rani, Jetti/0000-0003-4761-6198</t>
  </si>
  <si>
    <t>10.1002/slct.201904872</t>
  </si>
  <si>
    <t>WOS:000514728300020</t>
  </si>
  <si>
    <t>de Moraes, ACM; Hyun, WJ; Luu, NS; Lim, JM; Park, KY; Hersam, MC</t>
  </si>
  <si>
    <t>de Moraes, Ana C. M.; Hyun, Woo Jin; Luu, Norman S.; Lim, Jin-Myoung; Park, Kyu-Young; Hersam, Mark C.</t>
  </si>
  <si>
    <t>Phase-Inversion Polymer Composite Separators Based on Hexagonal Boron Nitride Nanosheets for High-Temperature Lithium-Ion Batteries</t>
  </si>
  <si>
    <t>By preventing electrical contact between anode and cathode electrodes while promoting ionic transport, separators are critical components in the safe operation of rechargeable battery technologies. However, traditional polymer-based separators have limited thermal stability, which has contributed to catastrophic thermal runaway failure modes that have conspicuously plagued lithium-ion batteries. Here, we describe the development of phase-inversion composite separators based on carbon-coated hexagonal boron nitride (hBN) nanosheets and poly(vinylidene fluoride) (PVDF) polymers that possess high porosity, electrolyte wettability, and thermal stability. The carbon-coated hBN nanosheets are obtained through a scalable liquid-phase shear exfoliation method using ethyl cellulose as a polymer stabilizer and source of the carbon coating following thermal pyrolysis. When incorporated within the PVDF matrix, the carbon-coated hBN nanosheets promote favorable interfacial interactions during the phase-inversion process, resulting in porous, flexible, free-standing composite separators. The unique chemical composition of these carbon-coated hBN separators implies high wettability for a wide range of liquid electrolytes. This combination of high porosity and electrolyte wettability enables enhanced ionic conductivity and lithium-ion battery electrochemical performance that exceeds incumbent polyolefin separators over a wide range of operating conditions. The hBN nanosheets also impart high thermal stability, providing safe lithium-ion battery operation up to 120 degrees C.</t>
  </si>
  <si>
    <t>FEB 19</t>
  </si>
  <si>
    <t>10.1021/acsami.9b18134</t>
  </si>
  <si>
    <t>WOS:000515214300025</t>
  </si>
  <si>
    <t>Kim, D; Liu, X; Yu, BZ; Mateti, S; O'Dell, LA; Rong, QZ; Chen, Y</t>
  </si>
  <si>
    <t>Kim, Donggun; Liu, Xin; Yu, Baozhi; Mateti, Srikanth; O'Dell, Luke A.; Rong, Qiangzhou; Chen, Ying (Ian)</t>
  </si>
  <si>
    <t>Amine-Functionalized Boron Nitride Nanosheets: A New Functional Additive for Robust, Flexible Ion Gel Electrolyte with High Lithium-Ion Transference Number</t>
  </si>
  <si>
    <t>Ion gel electrolytes show great potential in solid-state batteries attributed to their outstanding characteristics. However, because of the strong ionic nature of ionic liquids, ion gel electrolytes generally exhibit low lithium-ion transference number, limiting its practical application. Amine-functionalized boron nitride (BN) nanosheets (AFBNNSs) are used as an additive into ion gel electrolytes for improving their ion transport properties. The AFBNNSs-ion gel shows much improved mechanical strength and thermal stability. The lithium-ion transference number is increased from 0.12 to 0.23 due to AFBNNS addition. More importantly, for the first time, nuclear magnetic resonance analysis reveals that the amine groups on the BN nanosheets have strong interaction with the bis(trifluoromethanesulfonyl)imide anions, which significantly reduces the anion mobility and consequently increases lithium-ion mobility. Battery cells using the optimized AFBNNSs-ion gel electrolyte exhibit stable lithium deposition and excellent electrochemical performance. A LiFePO4|Li cell retains 92.2% of its initial specific capacity after the 60th cycle while the cell without AFBNNSs-gel electrolyte only retains 53.5%. The results not only demonstrate a new strategy to improve lithium-ion transference number in ionic liquid electrolytes, but also open up a potential avenue to achieve solid-state lithium metal batteries with improved performance.</t>
  </si>
  <si>
    <t>Mateti, srikanth/ABA-8744-2020; Yu, Baozhi/IST-9330-2023; O'Dell, Luke/I-2569-2013; Chen, Ying/S-8795-2019</t>
  </si>
  <si>
    <t>Mateti, srikanth/0000-0002-3888-6420; Liu, Xin/0000-0003-1537-7794; Chen, Ying Ian/0000-0002-7322-2224; Kim, Donggun/0000-0002-0164-2799; O'Dell, Luke/0000-0002-7760-5417; Yu, Bao Zhi/0000-0002-4401-7141</t>
  </si>
  <si>
    <t>10.1002/adfm.201910813</t>
  </si>
  <si>
    <t>FEB 2020</t>
  </si>
  <si>
    <t>WOS:000514349500001</t>
  </si>
  <si>
    <t>Duan, SS; Yu, JX; Sun, YW; Li, AL; Chen, SL; Qu, K; Ding, ZP; Liu, ZX; Li, YH; Huang, C; Liu, M; Liu, JL; Shi, JP; Huang, BY; Tian, XC; Hou, SE; Xie, SH; Liu, YY; Gao, P; Li, JY; Jin, HY</t>
  </si>
  <si>
    <t>Duan, Shanshan; Yu, Junxi; Sun, Yuanwei; Li, Aolin; Chen, Shulin; Qu, Ke; Ding, Zhengping; Liu, Zixian; Li, Yuhang; Huang, Can; Liu, Min; Liu, Jiale; Shi, Jianpeng; Huang, Boyuan; Tian, Xiaocong; Hou, Shuen; Xie, Shuhong; Liu, Yunya; Gao, Peng; Li, Jiangyu; Jin, Hongyun</t>
  </si>
  <si>
    <t>Selective doping to relax glassified grain boundaries substantially enhances the ionic conductivity of LiTi2(PO4)3 glass-ceramic electrolytes</t>
  </si>
  <si>
    <t>Glass-ceramic electrolytes are promising for all-solid-state batteries, yet their enhanced ionic conductivity is not well understood. We investigate structural difference between ceramic and glass-ceramic Li1.3Al0.3Ti1.7(PO4)(3) tuned by boron, which is found to enhance conductivities of glass-ceramics by one order of magnitude, yet reduces that of ceramics. Raman and Magic Angle Spinning Nuclear Magnetic Resonance spectra indicate boron are primarily contained in glass phase, while electron energy-loss spectroscopy and high-resolution transmission electron microscopy reveal inhomogeneous distribution of boron and glassified grain boundaries. This substantially reduces interfacial resistance at grain boundaries with little effect on bulk resistance, which is further supported by spatial and spectroscopic electrochemical strain microscopy. The grain boundary resistance of ceramics, on the other hand, is increased by boron. We thus establish that lower interfacial resistance at glassified grain boundaries is responsible for higher conductivity in glass-ceramics, while boron can relax their grain boundaries even further.</t>
  </si>
  <si>
    <t>xie, Shuhong/E-6958-2018; Tian, Xiaocong/JOZ-1887-2023; Sun, Yunpeng/HLW-3351-2023; Chen, Shulin/AAO-1212-2021; Huang, Can/JSL-4875-2023; liu, jiale/HTO-3772-2023; Li, Yuhang/IQU-8451-2023; Qu, Ke/A-9088-2017; Ding, Zhengping/H-5111-2018; Gao, Peng/AAC-8550-2019; LI, AOLIN/LRV-1197-2024</t>
  </si>
  <si>
    <t>Tian, Xiaocong/0000-0001-6774-0212; Gao, Peng/0000-0001-9868-2115; Huang, Boyuan/0000-0003-4543-1886; Chen, Shulin/0000-0003-4396-3213;</t>
  </si>
  <si>
    <t>10.1016/j.jpowsour.2019.227574</t>
  </si>
  <si>
    <t>WOS:000510947000036</t>
  </si>
  <si>
    <t>Luo, XX; Rawal, A; Cazorla, C; Aguey-Zinsou, KF</t>
  </si>
  <si>
    <t>Luo, Xiaoxuan; Rawal, Aditya; Cazorla, Claudio; Aguey-Zinsou, Kondo-Francois</t>
  </si>
  <si>
    <t>Facile Self-Forming Superionic Conductors Based on Complex Borohydride Surface Oxidation</t>
  </si>
  <si>
    <t>Complex hydrides have attracted significant attention as better inorganic solid-state electrolytes owing to their lightweight and good compatibility with metal anodes (Li, Na, and/or Mg) for all solid-state batteries. However, high ionic conductivity is usually observed at high temperatures upon the stabilization of adequate crystalline phases enabling fast ionic mobility. Here, an extremely simple strategy to significantly increase the ionic conductivity of complex borohydrides is reported. By exposing complex borohydrides to oxygen, the rearrangement of surface atoms upon the oxidation of borohydride particles and the resulting defects lead to extremely high ionic conductivity. NaBH4 and LiBH4 exposed to 5% O-2 show an ionic conductivity of approximate to 10(-3) S cm(-1) at 35 degrees C. Similarly, oxidized Mg(BH4)(2) displays a conductivity of approximate to 10(-6) S cm(-1) at 25 degrees C instead of 9.63 x 10(-13) S cm(-1). To the best of the authors' knowledge, this is to date, the simplest approach to tune the properties of borohydrides toward high ionic conductivity at room temperature as it does not rely on the difficult synthesis of large cage boron based anions to substitute BH4- and allow better ionic conduction paths. Owing its simplicity, the finding has the potential to enable new avenues toward the realization of viable complex borohydride based solid-state electrolytes.</t>
  </si>
  <si>
    <t>; Aguey-Zinsou, Kondo-Francois/D-7162-2012; Cazorla, Claudio/HKN-6203-2023; Rawal, Aditya/G-2451-2015</t>
  </si>
  <si>
    <t>Cazorla, Claudio/0000-0002-6501-4513; Luo, Xiaoxuan/0000-0001-9175-688X; Rawal, Aditya/0000-0002-5396-1265;</t>
  </si>
  <si>
    <t>10.1002/adsu.201900113</t>
  </si>
  <si>
    <t>WOS:000512009000001</t>
  </si>
  <si>
    <t>Zhang, BK; Lin, Z; Wang, LW; Pan, F</t>
  </si>
  <si>
    <t>Zhang, Bingkai; Lin, Zhan; Wang, Lin-Wang; Pan, Feng</t>
  </si>
  <si>
    <t>Achieving Both High Ionic Conductivity and High Interfacial Stability with the Li2+xC1-xBxO3 Solid-State Electrolyte: Design from Theoretical Calculations</t>
  </si>
  <si>
    <t>A crystalline solid electrolyte interphase Li2CO3 material with a large band gap shows promise toward next-generation all-solid-state lithium batteries (ASSLBs). However, the inferior ionic diffusivity restricts such structures to a real battery setup. Herein, based on density functional theory calculation and Python materials genomics, we theoretically develop the chemistry and local structural motifs to build a mixed boron-carbon framework Li2+xC1-xBxO3 (LCBO). We examine the electrochemical and chemical stabilities of LCBO-electrode interfaces by analyzing the thermodynamics of formation of interfacial phases. Interestingly, the LCBO material is automatically protected from further decomposition through the self-generated resistive interphase (Li2CO3 and Li3BO3), which gives a wide range of operating potential. LCBO shows high interfacial stability with LiCoO2, LiMnO2, and LiMn2O4. More importantly, the theoretical Li-ion migration barrier of LCBO (x = 0.375) is approximately 0.23 +/- 0.02 eV through a cooperative migration mechanism. Therefore, the LCBO material combines high Li-ion diffusivity with good interfacial stability, which makes it a promising solid-state electrolyte material for ASSLBs.</t>
  </si>
  <si>
    <t>Lin, Zhan/C-6806-2011; LIN, WANG/JWA-3182-2024; Pan, Feng/IXN-2297-2023</t>
  </si>
  <si>
    <t>FEB 5</t>
  </si>
  <si>
    <t>10.1021/acsami.9b22185</t>
  </si>
  <si>
    <t>WOS:000512216900082</t>
  </si>
  <si>
    <t>Lau, D; Hall, CA; Lim, S; Yuwono, JA; Burr, PA; Song, N; Lennon, A</t>
  </si>
  <si>
    <t>Lau, Derwin; Hall, Charles A.; Lim, Sean; Yuwono, Jodie A.; Burr, Patrick A.; Song, Ning; Lennon, Alison</t>
  </si>
  <si>
    <t>Reduced Silicon Fragmentation in Lithium Ion Battery Anodes Using Electronic Doping Strategies</t>
  </si>
  <si>
    <t>Although Si anodes have the potential to achieve gravimetric capacities &gt;3000mA g(-1) for Li ion batteries, their utility has been limited by their large volumetric expansion on lithiation and electrode fragmentation. We show that n-type doping reduces the lithiation potential of (100) Si and conclude that the Li ion insertion energy into crystalline Si increases with n-type dopant density. This allows tuning of the n-type dopant density in Si electrodes to reduce surface fragmentation and increase electrode cycle life. Using a combination of n-type doping, prelithiation at a low current density of 0.05 mA cm(-2) and an areal capacity capping at 2 mAh cm(-2), we show that stable cycling can be achieved at a current density of 1 mA cm(-2) within the potential range of 0.01-1.5 V for at least 140 cycles using an organic electrolyte without additives. Further improvements in cyclability can be achieved by using alternative electrolytes with greater electrochemical stability at low potentials. Because of the massively reduced cost of Si wafers, heavily doped wafer-based current collectors may present an alternative to Si thin film anodes with improved adhesion between the current collector and electroactive Si surface provided that the wafers can be sufficiently thin to reduce electrode mass and volume. Alternatively, n-type doping of Si can be used to reduce fragmentation in particle-based electrodes permitting more controllable lithiation and a longer cycle life.</t>
  </si>
  <si>
    <t>Yuwono, Jodie/IWM-3415-2023; Burr, Patrick/I-4861-2019</t>
  </si>
  <si>
    <t>Yuwono, Jodie A./0000-0002-0915-0756; Hall, Charles/0009-0000-2010-6118; Song, Ning/0000-0002-5644-8555; Burr, Patrick A/0000-0003-4796-9110; Lau, Derwin/0000-0002-8714-4079</t>
  </si>
  <si>
    <t>10.1021/acsaem.9b02200</t>
  </si>
  <si>
    <t>WOS:000516665300055</t>
  </si>
  <si>
    <t>Liu, H; Ren, ZH; Zhang, X; Hu, JJ; Gao, MX; Pan, HG; Liu, YF</t>
  </si>
  <si>
    <t>Liu, Huan; Ren, Zhuanghe; Zhang, Xin; Hu, Jianjiang; Gao, Mingxia; Pan, Hongge; Liu, Yongfeng</t>
  </si>
  <si>
    <t>Incorporation of Ammonia Borane Groups in the Lithium Borohydride Structure Enables Ultrafast Lithium Ion Conductivity at Room Temperature for Solid-State Batteries</t>
  </si>
  <si>
    <t>Conduction with fast Li ion conductivity at room temperature is a major challenge for the development of all solid-state Li-ion batteries. Herein, we demonstrate a novel room-temperature ultrafast Li-ion conductor, lithium borohydride ammonia borane complexes ((LiBH4)(x)center dot AB). The incorporation of AB into the LiBH4 structure intrinsically increases the cell volume and decreases the volume density of Li ion, which substantially facilitates the Li-ion conduction. The LiBH4 center dot AB complex delivers up to 4.04 x 10(-4) S cm(-1) of ion conductivity at 25 degrees C with nearly negligible electron conductivity. The Li-ion transference number is higher than 0.999 at 40 degrees C. The room-temperature Li-ion conductivity obtained is largely superior to other LiBH4-based solid-state electrolytes reported previously under identical conditions. Moreover, the ultrafast Li-ion conduction remains stable upon heating and cooling cycling (18-55 degrees C). Ab initio molecular dynamics simulations display a kind of 1D Li diffusion channel along the b direction in the LiBH4 center dot AB structure, which offers a much lower activation energy barrier (0.12 eV), consequently enabling superior Li-ion conductivity at room temperature.</t>
  </si>
  <si>
    <t>; Liu, Yongfeng/C-2989-2017; Zhang, Xin/MTA-1409-2025</t>
  </si>
  <si>
    <t>Liu, Yongfeng/0000-0002-4002-8265;</t>
  </si>
  <si>
    <t>JAN 28</t>
  </si>
  <si>
    <t>10.1021/acs.chemmater.9b03188</t>
  </si>
  <si>
    <t>WOS:000510530500004</t>
  </si>
  <si>
    <t>Zhao, JB; Zhang, X; Zhao, Q; Wang, LJ; Wang, YZ</t>
  </si>
  <si>
    <t>Zhao, Jiabin; Zhang, Xin; Zhao, Qi; Wang, Lijun; Wang, Yanzhi</t>
  </si>
  <si>
    <t>Enhanced cyclability and dynamic properties of P2-type Na0.59Co0.20Mn0.80O2 cathode by B-doping for sodium storage</t>
  </si>
  <si>
    <t>P2-type layered oxides are considered to be promising cathode materials for sodium-ion batteries. P2-Na0.59Co0.20Mn0.75B0.05O2 (NCMB-05) cathode material has been developed by boron-doping through a solid-state reaction. The structure and the electrochemical characteristics of NCMB-05 have been systematically investigated. XRD refinement confirms that B-doping notably enhances the structural stability of the pristine oxide and expands its Na-layer spacing. In addition, NCMB-05 cathode delivers the maximum discharge capacity of 101.1 mAh g(-1) at 2 C with the capacity retention rate of 95.3% after 120 cycles. The cathode achieves the discharge capacity of 135.2 mAh g(-1) at 0.1 C with the capacity retention of 85.0% after 100 cycles. The strategy of B-doping will provide a valuable reference for the development of P2-type cathode materials for sodium-ion batteries.</t>
  </si>
  <si>
    <t>wang, yanzhi/LMP-4259-2024; Wang, Lijun/C-5788-2014; Zhao, Qi/GRR-6541-2022</t>
  </si>
  <si>
    <t>10.1016/j.chemphys.2019.110582</t>
  </si>
  <si>
    <t>WOS:000498052700030</t>
  </si>
  <si>
    <t>Eisele, L; Skrotzki, J; Schneider, M; Bolli, C; Erk, C; Ludwig, T; Schaub, A; Novák, P; Krossing, I</t>
  </si>
  <si>
    <t>Eisele, Lea; Skrotzki, Julian; Schneider, Marius; Bolli, Christoph; Erk, Christoph; Ludwig, Thilo; Schaub, Anke; Novak, Petr; Krossing, Ingo</t>
  </si>
  <si>
    <t>Coating of Li1+x[Ni0.85Co0.10Mn0.05]1-xO2Cathode Active Material with Gaseous BF3</t>
  </si>
  <si>
    <t>Ni-rich cathode active material Li1+x[Ni0.85Co0.10Mn0.05](1-x)O-2(NCM851005) was exposed to BF(3)gas at room temperature with pressures between 25 mbar and 2478 mbar. It mainly gave an LiBF(4)coating by reaction with the basic surface lithium impurities. The electrochemical investigations up to full-cell level displayed a significantly improved long-term cycling behavior at 45 degrees C for only 0.08 wt% BF(3)coated NCM851005 material, compared to pristine NCM851005 material. The internal resistance of full-cells was reduced for all tested amounts of BF(3)coating (after 300 cycles: pristine NCM851005 +293% and 0.08 wt% BF(3)coated NCM851005 +133% resistance built-up). Moreover, online electrochemical mass spectrometry studies showed a reduced CO(2)release in the first cycle of half-cells built with the coated NCM851005 material compared to those with pristine NCM851005 material. The thermal annealing of the coated NCM851005 material at 200 degrees C or 400 degrees C led to a decrease of LiBF4, but to an increase of LiF content on the surface. However, coated NCM851005 material with thermal annealing exhibits lower discharge capacities after 250 cycles compared to NCM851005 material with equal coating amount, which were not thermally annealed.</t>
  </si>
  <si>
    <t>Krossing, Ingo/L-7693-2015</t>
  </si>
  <si>
    <t>Novak, Petr/0000-0001-6993-5021; Eisele, Lea/0000-0002-5496-6738</t>
  </si>
  <si>
    <t>JAN 9</t>
  </si>
  <si>
    <t>10.1149/1945-7111/aba8b8</t>
  </si>
  <si>
    <t>WOS:000560899700001</t>
  </si>
  <si>
    <t>Dong, QY; Guo, F; Cheng, ZJ; Mao, YY; Huang, R; Li, FS; Dong, HC; Zhang, QY; Li, W; Chen, H; Luo, ZJ; Shen, YB; Wu, XD; Chen, LW</t>
  </si>
  <si>
    <t>Dong, Qingyu; Guo, Feng; Cheng, Zhenjie; Mao, Yayun; Huang, Rong; Li, Fangsen; Dong, Houcai; Zhang, Qingyong; Li, Wei; Chen, Hui; Luo, Zhaojun; Shen, Yanbin; Wu, Xiaodong; Chen, Liwei</t>
  </si>
  <si>
    <t>Insights into the Dual Role of Lithium Difluoro(oxalato)borate Additive in Improving the Electrochemical Performance of NMC811∥Graphite Cells</t>
  </si>
  <si>
    <t>Ni-rich layered oxides (LiNixMnyCozO2, x &gt;= 0.6, x + y + z = 1) are promising positive electrode materials for high energy density lithium-ion batteries thanks to their high specific capacity. However, large-scale application of Ni-rich layered oxides is hindered by its poor structural and interfacial stability, especially during cycling at a high cutoff potential (i.e., &gt;= 4.3 V, versus Li+/ Li). Herein, we demonstrate that lithium difluoro(oxalato)borate (LiDFOB) as a film-forming additive plays a dual role on the electrodelelectrolyte interphase formation in a Li-Ni0.83Mn0.05Co0.12O2 parallel to graphite cell, meaning that it can not only be reduced on the graphite negative electrode but also oxidized on the nickel-rich oxide LiNi0.83Mn0.05Co0.12O2 positive electrode cycled at a high cutoff potential (4.4 V, versus Li + /Li) prior to typical carbonate-based electrolyte constituents. As a result, the addition of 1.5 wt % LiDFOB greatly reduces the polarization and improves the cycling stability of the LiNi0.83Mn0.05Co0.12O2 parallel to graphite cell, which shows a high discharge capacity of 198 mA h g(-1), and more than 83.1% of the initial capacity was retained after 200 cycles at C/3 (the capacity retention obtained at the same cycling condition is only 59.9% for the cell without LiDFOB additive). Furthermore, the employ of LiDFOB additive also significantly suppresses the self-discharge of the LiNi0.83Mn0.05Co0.12O2 parallel to Li cell during high-temperature and long-term room- temperature storage at 4.4 V. These electrochemical performance enhancements could be attributed to the participation of LiDFOB in forming a stable and Li+ transfer favorable protective layer that is rich in inorganic boron, fluorine, and carbonate compounds on both the surface of the LiNi0.83Mn0.05Co0.12O2 positive electrode and the graphite negative electrode, thus suppressing the electrolyte decomposition on the positive electrode and negative electrode surfaces and decreasing the dissolution of transition-metal ions from the positive electrode bulk.</t>
  </si>
  <si>
    <t>Wu, Xiaodong/LAN-5742-2024; li, fangsen/AAV-9019-2021</t>
  </si>
  <si>
    <t>ZHANG, Qingyong/0000-0002-9517-6978; Guo, Feng/0000-0002-0067-3008;</t>
  </si>
  <si>
    <t>10.1021/acsaem.9b01894</t>
  </si>
  <si>
    <t>WOS:000510104700077</t>
  </si>
  <si>
    <t>Wang, X; He, YP; Guo, ZC; Huang, H; Zhang, PP; Lin, HB</t>
  </si>
  <si>
    <t>Wang, Xue; He, Yapeng; Guo, Zhongcheng; Huang, Hui; Zhang, Panpan; Lin, Haibo</t>
  </si>
  <si>
    <t>Enhanced electrochemical supercapacitor performance with a three-dimensional porous boron-doped diamond film</t>
  </si>
  <si>
    <t>Uniform three-dimensional porous boron-doped diamond (P-BDD) film is deposited on a titanium substrate through chemical vapor deposition and employed as an efficient potential electrode for electrochemical double-layer supercapacitors. The electrochemical responses of the BDD electrodes were evaluated by cyclic voltammetry and galvanostatic charge/discharge techniques. The P-BDD film delivers a specific capacitance of 6.02 mF cm(-2) under a scan rate of 10 mV s(-1), 12.4 times that of a flat BDD film in 0.1 M H2SO4 electrolyte in a three-electrode configuration. Furthermore, the operating voltage window of a symmetric device containing two pieces of P-BDD electrode could be expanded to 2.0 V and light a yellow light-emitting diode, where the single device presented an admirable energy density of 1.45 mu W h cm(-2) and power density of 0.5 mW cm(-2). Moreover, the P-BDD film exhibits favorable self-discharge behavior, with a low leakage current as small as 14.9 mu A, and presents remarkable cycling stability, with a capacitance retention of 91.6% after 10000 continuous cycles. The enhanced electrochemical performance can be attributed to the synergistic effect between the BDD film itself, which possesses excellent physical-chemical features, and the three-dimensional porous structure; this corroborates the potential of the P-BDD film as a candidate for future supercapacitor applications.</t>
  </si>
  <si>
    <t>黄, 应南/HNR-5241-2023; Lin, Haibo/D-9483-2015; Wang, Xue/JUE-9629-2023; Zhang, Panpan/GXZ-6639-2022</t>
  </si>
  <si>
    <t>Wang, Xue/0000-0002-9062-6829; He, Yapeng/0000-0002-1394-2860;</t>
  </si>
  <si>
    <t>DEC 21</t>
  </si>
  <si>
    <t>10.1039/c9nj04019f</t>
  </si>
  <si>
    <t>WOS:000507580000041</t>
  </si>
  <si>
    <t>Zhang, XL; Huang, LW; Shen, QQ; Zhou, XR; Chen, YG</t>
  </si>
  <si>
    <t>Zhang, Xinlin; Huang, Liwu; Shen, Qianqian; Zhou, Xiaoren; Chen, Yungui</t>
  </si>
  <si>
    <t>Hollow Boron-Doped Si/SiOx Nanospheres Embedded in the Vanadium Nitride/Nanopore-Assisted Carbon Conductive Network for Superior Lithium Storage</t>
  </si>
  <si>
    <t>SiOx-based anode materials with high capacity and outstanding cycling performance have gained numerous attentions. Nevertheless, the poor electrical conductivity and non-negligible volume change hinder their further application in Li-ion batteries. Herein, we propose a new strategy to construct a hollow nanosphere with boron-doped Si/SiOx decorated with vanadium nitride (VN) nanoparticles and embedded in a nitrogen-doped, porous, and partial graphitization carbon layer (B-Si/SiOx@VN/PC). Benefiting from such structural and compositional features, the B-Si/SiOx@VN/PC electrode exhibits a stable cycling capacity of 1237.1 mA h g(-1) at a current density of 0.5 A g(-1) with an appealing capacity retention of 87.0% after 300 cycles. Additionally, it delivers high-rate capabilities of 1139.4, 940.7, and 653.4 mA h g(-1) at current densities of 2, 5, and 10 A g(-1), respectively, and ranks among the best SiOx-based anode materials. The outstanding electrochemical performance can be ascribed to the following reasons: (1) its hollow structure makes the Li+ transportation length decreased. (2) The existing nanopores facilitate the Li+ insertion/desertion and accommodate the volume variation. (3) The nitrogen-doped partial graphitization carbon enhances the electrical conductivity and promotes the formation of stable solid electrolyte interface layers during the repetitive Li+ intercalation/extraction process.</t>
  </si>
  <si>
    <t>Chen, Yungui/0000-0001-8403-7289; Huang, Liwu/0000-0002-8911-974X</t>
  </si>
  <si>
    <t>10.1021/acsami.9b14912</t>
  </si>
  <si>
    <t>WOS:000502689000025</t>
  </si>
  <si>
    <t>Meng, YM; Chen, GR; Shi, LY; Liu, HJ; Zhang, DS</t>
  </si>
  <si>
    <t>Meng, Yiming; Chen, Guorong; Shi, Liyi; Liu, Hongjiang; Zhang, Dengsong</t>
  </si>
  <si>
    <t>Operando Fourier Transform Infrared Investigation of Cathode Electrolyte lnterphase Dynamic Reversible Evolution on Li1.2Ni0.2Mn0.6O2</t>
  </si>
  <si>
    <t>One of the keys to the cycling stability of electrode materials is the formation of a stable interface film on cathode materials, which is called a cathode electrolyte interphase (CEI). For a Li/Mn-rich cathode, especially, the high working voltage will cause an extremely unstable electrolyte environment, becoming a challenge for the stable interface film formation. In this work, an operando-attenuated total reflection-Fourier transform infrared (ATR-FTIR) technique is developed to monitor in real time the dynamic mechanism of CEI formation in a carbonate-based electrolyte with or without the moderate additive tris(trimethylsilyl)-borate (TMSB), which could promote the formation and stability of high-quality CEI films when it charges to 4.8 V. It is interesting that the components of CEI are basically generated in the first cycle owing to ethylene carbonate (EC) priority decomposition. Besides, the presence of TMSB can suppress the decomposition of EC in part and modify the stability of the CEI film. This is because TMSB containing an electron-deficient boron atom can easily combine with an electron-rich F- and PF6- forming a polyanion group initially, which will weaken the electrostatic force between the anionic groups and EC to reduce the concentration of EC on the cathode surface and prevent the continuous decomposition of EC at a high voltage. X-ray photoelectron spectroscopy also verifies the presence of polyanion groups and their further participation in CEI formation. This work highlights the dynamical stability of CEI modified by moderate TMSB and the formation mechanism of this dynamical change during cycling characterized by the operando ATR-FTIR technique, which paves the way for a better understanding of the complex and hard-characterized cathode interface reactions.</t>
  </si>
  <si>
    <t>Shi, Liyi/AAV-1235-2021; Zhang, Dengsong/B-2083-2013; Chen, Guorong/AAA-4761-2020</t>
  </si>
  <si>
    <t>Zhang, Dengsong/0000-0003-4280-0068;</t>
  </si>
  <si>
    <t>DEC 4</t>
  </si>
  <si>
    <t>10.1021/acsami.9b17438</t>
  </si>
  <si>
    <t>WOS:000501620700019</t>
  </si>
  <si>
    <t>Qu, XL; Zhang, X; Gao, Y; Hu, JJ; Gao, MX; Pan, HG; Liu, YF</t>
  </si>
  <si>
    <t>Qu, Xiaolei; Zhang, Xin; Gao, Yuan; Hu, Jianjiang; Gao, Mingxia; Pan, Hongge; Liu, Yongfeng</t>
  </si>
  <si>
    <t>Remarkably Improved Cycling Stability of Boron-Strengthened Multicomponent Layer Protected Micron-Si Composite Anode</t>
  </si>
  <si>
    <t>The development of micron-sized Si as an in alleviating its vast volume expansion during lithiation. Herein, we successfully prepare a spherical Si composite coated by a boron-strengthened multicomponent surface layer, via heating of Si particles with LiBH4 followed by a mechanochemical reaction with CO,. The thin high-strength outer layer consists of amorphous SiOx/C, in which ultrafine nanocrystals of SiC and Li2SiO3 and amorphous B and B2O3 species, are well-dispersed. These multicomponent nanocrystals and B species reinforce effectively the mechanical properties of the amorphous SiOx/C conformal layer, which restrains greatly the volume expansion in the lithiation process and stabilizes the forming solid electrolyte interphase layer due to the reduced cracks and pulverization of the anode material and consequently leads to a remarkable long-term cyclability. An initial capacity of 1385 mAh g(-1) at 100 mA g(-1) is measured with a good cycling stability, which still retained 70.5% of the capacity over 600 deep cycles.</t>
  </si>
  <si>
    <t>Liu, Yongfeng/C-2989-2017; Zhang, Xin/MTA-1409-2025; GAO, Yuan/ISU-2177-2023</t>
  </si>
  <si>
    <t>10.1021/acssuschemeng.9b05155</t>
  </si>
  <si>
    <t>WOS:000500650400044</t>
  </si>
  <si>
    <t>Wen, JY; Huang, Y; Duan, J; Wu, YM; Luo, W; Zhou, LH; Hu, CC; Huang, LQ; Zheng, XY; Yang, WJ; Wen, ZY; Huang, YH</t>
  </si>
  <si>
    <t>Wen, Jiayun; Huang, Ying; Duan, Jian; Wu, Yongmin; Luo, Wei; Zhou, Lihui; Hu, Chenchen; Huang, Liqiang; Zheng, Xueying; Yang, Wenjuan; Wen, Zhaoyin; Huang, Yunhui</t>
  </si>
  <si>
    <t>Highly Adhesive Li-BN Nanosheet Composite Anode with Excellent Interfacial Compatibility for Solid-State Li Metal Batteries</t>
  </si>
  <si>
    <t>Solid-state lithium metal batteries (SSLMBs) are promising energy storage devices by employing lithium metal anodes and solid-state electrolytes (SSEs) to offer high energy density and high safety. However, their efficiency is limited by Li metal/SSE interface barriers, including insufficient contact area and chemical/electrochemical incompatibility. Herein, a strategy to effectively improve the adhesiveness of Li metal to garnet-type SSE is proposed by adding only a few two-dimensional boron nitride nanosheets (BNNS) (5 wt %) into Li metal by triggering the transition from point contact to complete adhesion between Li metal and ceramic SSE. The interface between the Li-BNNS composite anode and the garnet exhibits a low interfacial resistance of 9 Omega cm(2), which is significantly lower than that of bare Li/garnet interface (560 Omega cm(2)). Furthermore, the enhanced contact and the additional BNNS in the interface act synergistically to offer a high critical current density of 1.5 mA/cm(2) and a stable electrochemical plating/striping over 380 h. Moreover, the full cell paired with the Li-BNNS composite anode and the LiFePO4 cathode shows stable cycling performance at room temperature. Our results introduce an appealing composite strategy with two-dimensional materials to overcome the interface challenges, which provide more opportunities for the development of SSLMBs.</t>
  </si>
  <si>
    <t>Huang, Liqiang/P-4770-2017; Luo, Wei/E-1582-2011; Duan, Jian/AAA-9250-2020; Huang, Yunhui/L-6536-2019; Yang, wenjuan/GXW-2016-2022</t>
  </si>
  <si>
    <t>wen, zhaoyin/0000-0003-1698-7420;</t>
  </si>
  <si>
    <t>10.1021/acsnano.9b08803</t>
  </si>
  <si>
    <t>WOS:000505633300092</t>
  </si>
  <si>
    <t>Hekmatfar, M; Kazzazi, A; Eshetu, GG; Hasa, I; Passerini, S</t>
  </si>
  <si>
    <t>Hekmatfar, Maral; Kazzazi, Arefeh; Eshetu, Gebrekidan Gebresilassie; Hasa, Ivana; Passerini, Stefano</t>
  </si>
  <si>
    <t>Understanding the Electrode/Electrolyte Interface Layer on the Li-Rich Nickel Manganese Cobalt Layered Oxide Cathode by XPS</t>
  </si>
  <si>
    <t>Layered lithium-rich nickel manganese cobalt oxide (LR-NMC) represents one of the most promising cathode materials for application in high energy density lithium-ion batteries. The extraordinary capacity delivered derives from a combination of both cationic and anionic redox processes. However, the latter ones lead to oxygen evolution which triggers structural degradation and electrode/electrolyte interface (EEI) instability that hinders the use of LR-NMC in practical application. In this work, we investigate the surface chemistry of LR-NMC and its evolution upon different conditions to give further insights into the processes occurring at the EEI. X-ray photoelectron spectroscopy studies reveal that once the organic component of the layer is formed, it remains stable independently on the higher cutoff voltage applied, while continuous growth of inorganics along with oxygen evolution occurs. The results performed on lithiated and delithiated LR-NMC surfaces indicate an instability of the EEI layer formed at high voltages, which undergoes a partial decomposition. Furthermore, the tris(pentafluorophenyl)borane electrolyte additive simultaneously prevents excess LiF formation and changes the chemical composition of the EEI layer. The latter is characterized by a higher amount of poly(ethylene oxide) oligomer species and LixPOyFz formation. In addition, the presence of boron-containing compounds in the EEI layer cannot be excluded, which may be also responsible of the increased thickness of the EEI layer. Finally, fast kinetics at elevated temperatures exacerbate the salt decomposition which results in the formation of an EEI which is thicker and richer in LiF.</t>
  </si>
  <si>
    <t>Hasa, Ivana/HZL-3734-2023; Passerini, Stefano/A-3859-2015; Eshetu, Gebrekidan Gebresilassie/GOH-1382-2022</t>
  </si>
  <si>
    <t>Eshetu, Dr. Gebrekidan Gebresilassie/0000-0001-8834-2766; Hekmatfar, Maral/0000-0001-5979-6005; Passerini, Stefano/0000-0002-6606-5304; Hasa, Ivana/0000-0002-9099-5464;</t>
  </si>
  <si>
    <t>10.1021/acsami.9b14389</t>
  </si>
  <si>
    <t>WOS:000499740300030</t>
  </si>
  <si>
    <t>Waqas, M; Ali, S; Chen, DJ; Boateng, B; Han, YP; Zhang, M; Han, JC; Goodenough, JB; He, WD</t>
  </si>
  <si>
    <t>Waqas, Muhammad; Ali, Shamshad; Chen, Dongjiang; Boateng, Bismark; Han, Yupei; Zhang, Mei; Han, Jiecai; Goodenough, John B.; He, Weidong</t>
  </si>
  <si>
    <t>A robust bi-layer separator with Lewis acid-base interaction for high-rate capacity lithium-ion batteries</t>
  </si>
  <si>
    <t>COMPOSITES PART B-ENGINEERING</t>
  </si>
  <si>
    <t>Poly(vinylidene fluoride-hexafluoropropylene)-lanthanum oxide//poly(vinylidene fluoride-hexafluoropropylene)-hexagonal boron nitride (PVH-LaO//PVH-BN) bi-layer separators are developed through a two-step blading approach. La2O3 in the PVH matrix enhances the Li+ conduction by providing extra Li+ conducting pathways owing to the Lewis acid-base interaction of La atoms with the PVH chains, leading to a high lithium-ion transference number of 0.72 and ionic conductivity of 7.5 x 10(-4) S cm(-1) at room temperature. Moreover, the strong interfacial interaction between h-BN and PVH in the bi-layer separator enhances the thermal and mechanical stabilities of the separator. Batteries based on lithium iron phosphate and the bi-layer separator deliver a discharge capacity of 158 mAh g(-1) at 0.5 C after 100 cycles and a rate capacity of 81 mAh g(-1) at 10 C after 1500 cycles.</t>
  </si>
  <si>
    <t>Biradar, Nirmala/AAY-2295-2020; Waqas, Muhammad/E-3597-2019; Han, YuPei/IAP-5219-2023; Chen, Dongjiang/NRB-3115-2025; Ali, Shamshad/Y-7874-2018</t>
  </si>
  <si>
    <t>Waqas, Muhammad/0000-0002-5707-7389; Ali, Shamshad/0000-0001-9488-5070</t>
  </si>
  <si>
    <t>1359-8368</t>
  </si>
  <si>
    <t>1879-1069</t>
  </si>
  <si>
    <t>10.1016/j.compositesb.2019.107448</t>
  </si>
  <si>
    <t>WOS:000494052600081</t>
  </si>
  <si>
    <t>Xie, Q; Li, WD; Dolocan, A; Manthiram, A</t>
  </si>
  <si>
    <t>Xie, Qiang; Li, Wangda; Dolocan, Andrei; Manthiram, Arumugam</t>
  </si>
  <si>
    <t>Insights into Boron-Based Polyanion-Tuned High-Nickel Cathodes for High-Energy-Density Lithium-Ion Batteries</t>
  </si>
  <si>
    <t>Ultrahigh-Ni layered oxide cathodes (Ni content &gt;90%) are at the forefront for potentially enabling higher-energy-density lithium-ion batteries. Unfortunately, they suffer from rapid capacity fade, poor thermal stability, and increased air sensitivity. Introduction of boron-based polyanion into layered cathodes has been found to be effective in stabilizing high-Ni cathodes, but the mechanism behind it is not yet fully understood. To develop a better understanding, we present here an extensive characterization of the ultrahigh-Ni cathode LiNi0.94Co0.06O2 (NC) and B2O3-LiNi0.94C0.06O2 (B - NC). The B-NC delivers a capacity of 223 mA h g(-1) with 80% capacity retention after 400 cycles in full cells with graphite anodes, superior to 61% retention for NC. In-depth interphase investigations reveal that the improved cyclability is attributed to the development of a well-passivated boron/phosphorus-rich cathode-electrolyte interphase in B- NC. Moreover, B-NC demonstrates a considerably enhanced air-exposure and thermal stability. A 30-day air-stored B-NC delivers a discharge capacity of 125 mA h g(-1) at 10C rate, in sharp contrast to 65 mA h g(-1) for the stored NC. This work advances the understanding of the effect boron-based polyanion insertion into layered oxides has on battery performance and offers a viable strategy for developing practically viable ultrahigh-Ni cathodes with high-energy density.</t>
  </si>
  <si>
    <t>Manthiram, Arumugam/AAO-3331-2020; Dolocan, Andrei/KBB-3048-2024</t>
  </si>
  <si>
    <t>Manthiram, Arumugam/0000-0003-0237-9563; Dolocan, Andrei/0000-0001-5653-0439</t>
  </si>
  <si>
    <t>NOV 12</t>
  </si>
  <si>
    <t>10.1021/acs.chemmater.9b02916</t>
  </si>
  <si>
    <t>WOS:000497262500030</t>
  </si>
  <si>
    <t>Gigante, A; Duchene, L; Moury, R; Pupier, M; Remhof, A; Hagemann, H</t>
  </si>
  <si>
    <t>Gigante, Angelina; Duchene, Leo; Moury, Romain; Pupier, Marion; Remhof, Arndt; Hagemann, Hans</t>
  </si>
  <si>
    <t>Direct Solution-Based Synthesis of Na4(B12H12)(B10H10) Solid Electrolyte</t>
  </si>
  <si>
    <t>All-solid-state batteries (ASSBs) promise higher power and energy density than batteries based on liquid electrolytes. Recently, a stable 3 V ASSB based on the super ionic conductor (1 mS cm(-1) near room temperature) Na-4(B12H12)(B10H10) has demonstrated excellent cycling stability. This study concerns the development of a five-step, scalable, and solution-based synthesis of Na-4(B12H12)(B10H10). The use of a wet chemistry approach allows solution processing with high throughput and addresses the main drawbacks for this technology, specifically, the limited electrode-electrolyte contact and high cost. Moreover, a cost-efficient synthesis of the expensive precursors Na2B10H10 and Na2B12H12 is also achieved through the same process. The mechanism of the reactions is investigated and two key parameters to tune the kinetics and selectivity are highlighted: the choice of counter cation (tetraethylammonium) and solvent.</t>
  </si>
  <si>
    <t>Remhof, Arndt/ABA-5731-2020; Moury, Romain/AAS-8300-2020</t>
  </si>
  <si>
    <t>Moury, Romain/0000-0002-1198-2586; Remhof, Arndt/0000-0002-8394-9646</t>
  </si>
  <si>
    <t>NOV 8</t>
  </si>
  <si>
    <t>10.1002/cssc.201902152</t>
  </si>
  <si>
    <t>WOS:000495128100013</t>
  </si>
  <si>
    <t>Chen, SL; Feng, F; Yin, YM; Lizo, XZ; Ma, ZF</t>
  </si>
  <si>
    <t>Chen, Suli; Feng, Fan; Yin, Yimei; Lizo, Xiaozhen; Ma, Zifeng</t>
  </si>
  <si>
    <t>Plastic crystal polymer electrolytes containing boron based anion acceptors for room temperature all-solid-state sodium-ion batteries</t>
  </si>
  <si>
    <t>It is always a compelling challenge to develop solid electrolyte for ambient-temperature all-solid-state rechargeable batteries, which occupies superior ionic conductivity, high ion transference number, considerable mechanical property, and favorable interfacial contact. Here, a nonwoven supported plastic crystal polymer electrolyte containing anion-trapping boron moieties (B-PCPE) for all-solid-state sodium-ion batteries (SIBs) is first reported to improve overall performances. The B-BCPE was prepared by in situ growth of plastic crystal electrolyte and boron-containing cross-linker inside a nonwoven support via UV-curing technique. With an anion acceptor contained three-dimensional network structure, the B-PCPE simultaneously exhibited a remarkable room temperature ionic conductivity (0.36 mS cm(-1)), high sodium-ion transference number (similar to 0.62), and a superior tensile strength (28.2 MPa). Remarkably, plastic crystal polymer electrolyte impregnated composite NaNi1/3Fe1/3Mn1/3O2 (c-NFM) cathode and hard carbon (c-HC) anode were designed by in situ growth technique. By this technique, ion transport in electrodes as well as that between electrode-electrolyte interfaces could be strengthened. Therefore, the cycle and rate performance of all-solid-state SIB assembled by this technique are greatly enhanced. The all-solid-state SIB assembled by this technique delivers a high first discharge capacity of 104.8 mA h g(-1) with capacity retention of about 80.1% after 120 cycles at 0.1 C. It's believed that B-PCPE is a promising candidate for practical application and provides a new perspective to design high-performance solid electrolyte for ambient-temperature all-solid-state batteries with exceptional rate capability and cycle stability.</t>
  </si>
  <si>
    <t>Ma, Zi-Feng/0000-0001-5002-9766</t>
  </si>
  <si>
    <t>10.1016/j.ensm.2018.12.023</t>
  </si>
  <si>
    <t>WOS:000488256300007</t>
  </si>
  <si>
    <t>Xu, XY; Wang, L; Fei, HF; Ci, LJ</t>
  </si>
  <si>
    <t>Xu, Xiaoyan; Wang, Lei; Fei, Huifang; Ci, Lijie</t>
  </si>
  <si>
    <t>Boron nitride doped Li7P3S11 solid electrolyte with improved interfacial compatibility and application in all-solid-state Li/S battery</t>
  </si>
  <si>
    <t>JOURNAL OF MATERIALS SCIENCE-MATERIALS IN ELECTRONICS</t>
  </si>
  <si>
    <t>All-solid-state lithium sulfur battery is considered as one of the most promising candidates for the future application due to high theoretical energy density and enhanced safety. However, the all-solid-state lithium sulfur battery based on Li7P3S11 solid electrolyte has serious interface issues between electrode and solid electrolyte. The reaction of lithium metal and Li7P3S11 solid electrolyte would form a layer without lithium-ion conducting, which could impend the lithium-ion transfer and transport during cycling and causes increase of internal resistance and capacity fading. Herein, we introduce a solid electrolyte Li7P3S11 with BN doping for the all-solid-state lithium sulfur battery. The BN nanoflakes could partially isolate the Li7P3S11 solid electrolyte and lithium metal, thus improving the interfacial compatibility of electrode and electrolyte. With BN doped Li7P3S11 used as solid electrolyte, the all-solid-state Li/S battery exhibits an enhanced electrochemical performance with better cycling stability and higher Coulombic efficiency.</t>
  </si>
  <si>
    <t>; Huifang, Fei/MSY-9089-2025; Ci, Lijie/E-3485-2014</t>
  </si>
  <si>
    <t>Ci, Lijie/0000-0002-1759-105X;</t>
  </si>
  <si>
    <t>0957-4522</t>
  </si>
  <si>
    <t>1573-482X</t>
  </si>
  <si>
    <t>10.1007/s10854-019-02267-z</t>
  </si>
  <si>
    <t>WOS:000492443000004</t>
  </si>
  <si>
    <t>Chung, Y; Noh, C; Kwon, Y</t>
  </si>
  <si>
    <t>Chung, Yongjin; Noh, Chanho; Kwon, Yongchai</t>
  </si>
  <si>
    <t>Role of borate functionalized carbon nanotube catalyst for the performance improvement of vanadium redox flow battery</t>
  </si>
  <si>
    <t>A borate-group functionalized carbon nanotube (Borate-CNT) catalyst is developed to enhance the performance and long term durability of the vanadium redox flow battery (VRFB). To prepare for the -Borate-CNT catalyst, carboxylic acid groups (COOHs) adopted onto acidified CNT (CA-CNT) are simply co-treated with sodium hydroxide (NaOH) and boric acid (H3BO3). As a result, the COOHs are transformed into borate groups. The transformation is verified by XPS analysis, showing the increase in oxygen content and the creation of boron-oxygen bonds. The active sites and catalytic activity of Borate-CNT are increased more than those of the catalysts formed by the single treatment of NaOH and CA-NCT or H3BO3 and CA-CNT. This is due to the increase of active sites by the formation of oxygen abundant borate groups and the different electronegativity between the boron and oxygen elements promotes the attraction and subsequent reaction o f vanadium ions. The voltage and energy efficiencies (VE and EE) of the VRFB using Borate-CNT catalyst are better than those of VRFBs using no catalyst or CA-CNT catalyst - even at 200 mA cm(-2) and the efficiencies of Borate-CNT VRFB are well maintained until 300 cycles, whereas the efficiencies of the no catalyst VRFB are considerably decreased (17% and 16% decreases of the initial values in VE and EE). In addition, Borate-CNT shows the effect of protection by suppressing the chemical aging of carbon felt from toxic acidic electrolyte.</t>
  </si>
  <si>
    <t>Chung, Yongjin/0000-0002-5523-458X; Kwon, Yongchai/0000-0003-3118-401X</t>
  </si>
  <si>
    <t>OCT 31</t>
  </si>
  <si>
    <t>10.1016/j.jpowsour.2019.227063</t>
  </si>
  <si>
    <t>WOS:000490030800041</t>
  </si>
  <si>
    <t>Saroja, APVK; Rajamani, A; Muthusamy, K; Sundara, R</t>
  </si>
  <si>
    <t>Saroja, Ajay Piriya Vijaya Kumar; Rajamani, Arunkumar; Muthusamy, Kamaraj; Sundara, Ramaprabhu</t>
  </si>
  <si>
    <t>Repelling Polysulfides Using White Graphite Introduced Polymer Membrane as a Shielding Layer in Ambient Temperature Sodium Sulfur Battery</t>
  </si>
  <si>
    <t>Herein, a strategy is demonstrated to effectively control the sodium polysulfide dissolution using composite polymer blend membrane. The sufficient interconnected pores in the white graphite introduced polymer blend membrane plays a multifunctional role as an ion selective membrane, evident from the ionic conductivity of 10(-3) S cm(-1) facilitating the movement of sodium ions and the presence of boron and nitrogen in white graphite acts as an effective absorbent to trap sodium polysulfides. The electrochemical testing reveals significant improvement of about 87.6% in specific capacity when compared to the cell without white graphite@ polymer membrane. Also, the cell exhibits an excellent cycling stability with a capacity retention of 83.1% at the end of 500 cycles. Other than the performance enhancement, the self-discharge battery is significantly reduced using the developed membrane. The better performance of the room temperature sodium sulfur battery is attributed to the physical and chemical confinement of composite polymer membrane which is also evident from the post analysis study. This is the first attempt of utilizing composite polymer membrane as a blocking layer in room temperature sodium sulfur batteries and is promising for the construction of high performance batteries.</t>
  </si>
  <si>
    <t>; Vijaya Kumar Saroja, Ajay Piriya/JQW-2667-2023; S, Ramaprabhu/A-1071-2014</t>
  </si>
  <si>
    <t>Rajamani, Arunkumar/0000-0002-0623-0902; Sundara, Ramaprabhu/0000-0002-7960-9470; Vijaya Kumar Saroja, AJAY PIRIYA/0000-0002-7412-6269;</t>
  </si>
  <si>
    <t>10.1002/admi.201901497</t>
  </si>
  <si>
    <t>OCT 2019</t>
  </si>
  <si>
    <t>WOS:000493101000001</t>
  </si>
  <si>
    <t>Lin, ZH; Liu, J</t>
  </si>
  <si>
    <t>Lin, Zehua; Liu, Jin</t>
  </si>
  <si>
    <t>Low-temperature all-solid-state lithium-ion batteries based on a di-cross-linked starch solid electrolyte</t>
  </si>
  <si>
    <t>The preparation of a low-temperature solid electrolyte is a challenge for the commercialization of the all-solid-state lithium-ion battery (ASSLIB). Here we report a starch-based solid electrolyte that displays phenomenal electrochemical properties below room temperature (RT). The starch host of the electrolyte is synthesized by two cross-linking reactions, which provide sufficient and orderly binding sites for the lithium salt to dissolve. At 25 degrees C, the solid electrolyte has exceptional ionic conductivity (sigma, 3.10 x 10(-4) S cm(-1)), lithium-ion transfer number (t(+), 0.82) and decomposition potential (dP, 4.91 V). At -20 degrees C, it still has outstanding sigma (3.10 x 10(-5) S cm(-1)), t(+) (0.72) and dP (5.50 V). The LiFePO4 ASSLIB assembled with the electrolyte exhibits unique specific capacity and long cycling life below RT, and the LiNi0.8Co0.1Mn0.1O2 ASSLIB can operate at 4.3 V and 0 degrees C. This work provides a solution to solve the current challenges of ASSLIBs to widen their scope of applications.</t>
  </si>
  <si>
    <t>Lin, Zehua/IQS-1543-2023</t>
  </si>
  <si>
    <t>Lin, Zehua/0000-0001-5611-6297</t>
  </si>
  <si>
    <t>10.1039/c9ra07781b</t>
  </si>
  <si>
    <t>WOS:000494684600057</t>
  </si>
  <si>
    <t>Yeddala, M; Narayanan, TN; Pitchai, R; Pillai, VK</t>
  </si>
  <si>
    <t>Yeddala, Munaiah; Narayanan, Tharangattu N.; Pitchai, Ragupathy; Pillai, Vijayamohanan K.</t>
  </si>
  <si>
    <t>Electrochemical Exfoliation of Graphite to Fluorographene: An Effect of Degree of Functionalization on 2Br-/Br2 Redox Reaction</t>
  </si>
  <si>
    <t>In this work, we employed the electrochemical exfoliation (EE) to synthesize and tune the degree of functionalization in fluorinated graphene (FG) and studied its (degree of functionalization) effect on bromine redox reaction. The degree of functionalization was tuned by varying the concentration of the electrolyte. Physical characterization of as-synthesized FG reveals that fluorine and oxygen content varies from 2.32 to 3.92 atomic % and from 10.46 to 21.16 atomic % respectively. The concentration of fluoride to hydroxide ion ratio should be at an optimum level in the electrolyte to get maximum degree of fluorination, which shows a sizeable effect on bromine redox reaction. The bromine redox reaction is more reversible on highly FG and less reversible on less FG and Oxygen functionalities has no effect on the reaction. The kinetic parameters such as rate constant (k) (varying from 1.45 x 10(-3) to 52.43 x 10(-3) mA/cm(2)) and exchange current density (i(o)) (varying from 2.61 x 10(-4) to 9.92 x 10(-4) cm/s) suggest that nature and degree of functionalization play a vital role to improve the kinetics of redox reaction of bromine. This investigation can pave paths to design new and sustainable electrode materials for bromine-based redox flow batteries.</t>
  </si>
  <si>
    <t>Pillai, Vijayamohanan/ABD-1032-2020; yeddala, munaiah/H-1650-2011</t>
  </si>
  <si>
    <t>Yeddala, Munaiah/0000-0001-6241-7897; K. Pillai, Vijayamohanan/0000-0003-4839-4531;</t>
  </si>
  <si>
    <t>OCT 17</t>
  </si>
  <si>
    <t>10.1002/slct.201902114</t>
  </si>
  <si>
    <t>WOS:000491201900026</t>
  </si>
  <si>
    <t>Deng, T; Fang, XL; Cao, LS; Chen, J; Hou, SY; Ji, X; Chen, L; Li, S; Zhou, XQ; Hu, EY; Su, D; Yang, XQ; Wang, CS</t>
  </si>
  <si>
    <t>Deng, Tao; Fang, Xiulin; Cao, Longsheng; Chen, Ji; Hou, Singyuk; Ji, Xiao; Chen, Long; Li, Shuang; Zhou, Xiuquan; Hu, Enyuan; Su, Dong; Yang, Xiao-Qing; Wang, Chunsheng</t>
  </si>
  <si>
    <t>Designing In-Situ-Formed Interphases Enables Highly Reversible Cobalt-Free LiNiO2 Cathode for Li-ion and Li-metal Batteries</t>
  </si>
  <si>
    <t>Cathode materials control both the energy density and cost of Li-ion and Li-metal batteries. The cobalt-free LiNiO2 with relatively low cost and extremely high theoretical energy density (similar to 1,050 Wh kg(-1)) is one of the most promising cathode materials for high-energy batteries. However, the continuous Ni dissolution, structural disordering, particle cracking, and unstable cathode electrolyte interphase (CEI) hinder its applications. Here, we surmount these challenges by forming a robust fluoride (F)- and boron (B)-rich CEI on LiNiO2 using a high-fluorinated electrolyte with LiDFOB additive. The LiNiO2 cathode maintains an unprecedentedly high capacity retention of &gt;80% after 400 deep cycles at a high charge cut-off voltage of 4.4 V (versus Li/Li+). In addition, the electrolyte forms an F- and B-rich interphase on the Li metal and graphite anodes, allowing stable cycling of full cells. This work sheds light on designing interfacial chemistry for high-energy cathodes, and its principle is applicable for other alkali metal ion cathodes.</t>
  </si>
  <si>
    <t>; Su, Dong/A-8233-2013; Chen, Ji/J-5327-2015; Deng, Tao/V-4087-2018; Li, Shuang/NUQ-3556-2025; Wang, Chunsheng/H-5767-2011; Fan, Xiulin/AAY-9245-2020; Hu, Enyuan/D-7492-2016; Hou, Singyuk/ABD-5513-2021; Ji, Xiao/HCH-2937-2022</t>
  </si>
  <si>
    <t>Deng, Tao/0000-0002-2674-2577; Su, Dong/0000-0002-1921-6683; Hou, Singyuk/0000-0002-6444-7632; Zhou, Xiuquan/0000-0002-1361-3880; Fan, Xiulin/0000-0001-7294-480X;</t>
  </si>
  <si>
    <t>OCT 16</t>
  </si>
  <si>
    <t>10.1016/j.joule.2019.08.004</t>
  </si>
  <si>
    <t>WOS:000490703300024</t>
  </si>
  <si>
    <t>Du, ML; Yang, P; He, WX; Bie, SY; Zhao, H; Yin, J; Zou, ZG; Liu, JG</t>
  </si>
  <si>
    <t>Du, Meili; Yang, Pei; He, Wenxiang; Bie, Shiyu; Zhao, Hao; Yin, Jiang; Zou, ZhiGang; Liu, Jianguo</t>
  </si>
  <si>
    <t>Enhanced high-voltage cycling stability of Ni-rich LiNi0.8Co0.1Mn0.1O2 cathode coated with Li2O-2B2O3</t>
  </si>
  <si>
    <t>LiNi0.8Co0.1Mn0.1O2 (NCM811) is considered one of the most competitive cathode materials for lithium-ion batteries for use in next-generation electric vehicles. However, the poor cycle stability of layered Ni-rich cathode materials at high voltages (&gt;4.3 V) has hindered their commercial development. In this study, we evaluate the effects of lithium boron oxide (LBO) glass as a lithium-ion-conductive coating layer on the structure, morphology, and electrochemical properties of NCM811 at a high cutoff voltage of 4.5 V. We show that NCM811 coated with 0.3 wt% LBO exhibits improved cycling retention (82.1%) compared with bare NCM811 (50.8%) after 100 cycles at 1C. Electrochemical impedance spectra and scanning electron microscopy and transmission electron microscopy images after cycling reveal that the LBO-coating layer not only lowered the charge-transfer resistance between the electrode and electrolyte but also improved the structural stability during cycling. (C) 2019 Elsevier B.V. All rights reserved.</t>
  </si>
  <si>
    <t>Zou, Zhigang/AFG-8475-2022; Wei, Min/JOZ-7927-2023; He, Wenxiang/KBC-7073-2024; liu, jianguo/A-1855-2011</t>
  </si>
  <si>
    <t>10.1016/j.jallcom.2019.07.176</t>
  </si>
  <si>
    <t>WOS:000482184100114</t>
  </si>
  <si>
    <t>Shigeno, M; Nagao, K; Deguchi, M; Hotehama, C; Kowada, H; Sakuda, A; Hayashi, A; Tatsumisago, M</t>
  </si>
  <si>
    <t>Shigeno, Manari; Nagao, Kenji; Deguchi, Minako; Hotehama, Chie; Kowada, Hiroe; Sakuda, Atsushi; Hayashi, Akitoshi; Tatsumisago, Masahiro</t>
  </si>
  <si>
    <t>New lithium-conducting nitride glass Li3BN2</t>
  </si>
  <si>
    <t>Novel nitride glass electrolyte Li3BN2 was prepared from Li3N and BN via a mechanochemical process using planetary ball milling. Raman and X-ray photoelectron spectroscopies revealed that the glass was composed of Li+ and BN23- ions. The Li3BN2 glass exhibited good ductility, and the powder-compressed pellet showed a relative density of 84%. The hot-pressed pellet of the Li3BN2 glass showed a conductivity of 1.3 x 10(-5) S cm(-1) at 25 degrees C, which is much higher than that of oxide-based glass electrolytes such as Li3BO3 glass and LiPON thin films. Moreover, Young's modulus of the Li3BN2 glass was 51.1 GPa, which is an intermediate value between sulfides and oxides. The Li symmetric cell using the Li3BN2 glass electrolyte was cycled stably at 100 degrees C without short-circuiting. Nitride glassy materials are promising electrolytes for all-solid-state batteries because of their high conductivity, good mechanical properties, and electrochemical stability.</t>
  </si>
  <si>
    <t>; Hayashi, Akitoshi/H-9773-2017; Sakuda, Atsushi/E-1918-2012</t>
  </si>
  <si>
    <t>Nagao, Kenji/0000-0002-2462-7620; Hayashi, Akitoshi/0000-0001-9503-5561; Sakuda, Atsushi/0000-0002-9214-0347</t>
  </si>
  <si>
    <t>10.1016/j.ssi.2019.05.020</t>
  </si>
  <si>
    <t>WOS:000493213000009</t>
  </si>
  <si>
    <t>Zhang, ZY; Gonzalez, AR; Choy, KL</t>
  </si>
  <si>
    <t>Zhang, Zhenyu; Gonzalez, Antonio Ruiz; Choy, Kwang Leong</t>
  </si>
  <si>
    <t>Boron Nitride Enhanced Garnet-Type (Li6.25Al0.25La3Zr2O12) Ceramic Electrolyte for an All-Solid-State Lithium-Ion Battery</t>
  </si>
  <si>
    <t>Solid-state electrolytes (SSEs) are expected to improve not only the safety but also the energy density of lithium-ion batteries, especially referring to the application of most promising Li metal anode which encounters deleterious dendritic growth. The key challenge for the SSEs is the pursuit of higher ionic conductivity, higher mechanical strength, and better chemical and electrochemical stability. Herein, for the first time, hexagonal boron nitride (BN) is employed as the effective additive for garnet-type Li6.25Al0.25La3Zr2O12 (LALZO) SSE during sintering, which induces comprehensively improved properties. Compared with the LALZO electrolyte without BN, a small percentage of 1 wt % BN added to the LALZO electrolyte exhibits 30 times higher ionic conductivity (6.21 X 10(-5) S cm(-1)), 6.6 times higher surface hardness (similar to 0.5 GPa), and 6.3 times higher reduced modulus (5.6 GPa), much improved chemical stability against air (anti- Li2CO3), and electrochemical stability during lithium stripping/plating at different current densities. As a result, the all-solid-state lithium-ion battery composed of lithium metal anode and LiCoO2 cathode with the 1 wt % BN enhanced LALZO electrolyte delivers a discharge capacity of 120 mA h g(-1) and a much higher capacity retention (67% vs 33%) after 50 cycles at a rate of 0.1C than that without BN addition. This BN enhanced garnet-type ceramic electrolyte may provide a facile and efficient approach to further promote the solid-state electrolyte for next-generation high performance energy storage devices.</t>
  </si>
  <si>
    <t>zhang, zhenyu/HOA-8440-2023</t>
  </si>
  <si>
    <t>Ruiz Gonzalez, Antonio Rafael/0000-0003-3921-2361</t>
  </si>
  <si>
    <t>10.1021/acsaem.9b01431</t>
  </si>
  <si>
    <t>WOS:000502688800053</t>
  </si>
  <si>
    <t>Zheng, FF; Dong, HL; Ji, YJ; Li, YY</t>
  </si>
  <si>
    <t>Zheng, Fangfang; Dong, Huilong; Ji, Yujin; Li, Youyong</t>
  </si>
  <si>
    <t>Computational study on catalytic performance of BC3 and NC3 nanosheets as cathode electrocatalysts for nonaqueous Li-O2 batteries</t>
  </si>
  <si>
    <t>The development of high-performance cathode electrocatalysts in nonaqueous lithium-oxygen (Li-O-2) battery is mainly restricted by high charge/discharge overpotentials. Based on first-principles calculations, we theoretically explore the application potential of BC3 and NC3 nanosheets as the suitable cathode electrocatalysts. By analyzing the stable adsorption configurations of LixO2y (x = 0-4, y = 0-2) intermediates on BC3/NC3, it is confirmed that oxygen reduction reaction (ORR) on BC3 follows four-electron pathway with (Li2O)(2) as the discharge product, while for ORR on NC3, (Li2O2)(2) is the discharge product following two-electron pathway. We then plot the corresponding free energy diagrams of charge/discharge processes and calculate the theoretical discharge and charge overpotentials (eta(ORR) and eta(OER)) along the optimal reaction pathways. Our results show that both the eta(ORR) and eta(OER) on BC3 are considerably low (0.21 V and 0.36 V), indicating that BC3 can serve as a high-performance cathode electrocatalyst. Meanwhile, the eta(ORR) and eta(OER) on NC3 (0.37 V and 0.95 V) are comparable to previously reported materials following two-electron pathway (such as N-doped graphene), exhibiting practical values. Both the BC3 and NC3 nanosheets are stable enough for application in Li-O-2 battery, and dimethyl sulfoxide (DMSO) isn't recommended as an organic electrolyte when BC3 works as the cathode catalyst.</t>
  </si>
  <si>
    <t>Dong, Huilong/A-2228-2012; ZHENG, FANG/HJZ-0472-2023; Li, Youyong/D-3836-2011; Ji, Yujin/V-1535-2017</t>
  </si>
  <si>
    <t>Dong, Huilong/0000-0002-4436-6392;</t>
  </si>
  <si>
    <t>10.1016/j.jpowsour.2019.226845</t>
  </si>
  <si>
    <t>WOS:000483408400013</t>
  </si>
  <si>
    <t>Bian, XF; Liang, JF; Tang, XF; Li, RX; Kang, L; Su, AY; Su, X; Wei, YJ</t>
  </si>
  <si>
    <t>Bian, Xiaofei; Liang, Junfei; Tang, Xiaofu; Li, Runxia; Kang, Lei; Su, Anyu; Su, Xin; Wei, Yingjin</t>
  </si>
  <si>
    <t>A boron nitride-polyvinylidene fluoride-co-hexafluoropropylene composite gel polymer electrolyte for lithium metal batteries</t>
  </si>
  <si>
    <t>A modified gel polymer electrolyte (GPE) with boron nitride (BN) additive was designed to boost the electrochemical performance of rechargeable lithium metal battery, which consists of Li-rich layered cathode and possesses a high energy density. BN, electron insulator and ion conductor, has excellent thermodynamic and electrochemical stability. BN particles were well dispersed in polyvinylidene fluoride-co-hexafluoropropylene (PVDF-HFP) polymer matrices and thus substantially enhanced the electrochemical and physical properties of the GPEs. With only 0.5 wt% BN additive, it remarkably improved the mechanical modulus and ionic conductivity (to 4.1 x 10(-4) S.cm(-2)) of GPEs, which was beneficial for suppressing lithium dendrite formation and fast ion transportation, respectively, thereby enabling high-performance lithium metal batteries with ultra-long cycle life and high safety at ambient temperature (25 degrees C) and high temperature (55 degrees C). (C) 2019 Elsevier B.V. All rights reserved.</t>
  </si>
  <si>
    <t>; su, anyu/JAN-7636-2023; kang, lei/GQB-0026-2022</t>
  </si>
  <si>
    <t>Kang, Lei/0000-0002-7202-8139;</t>
  </si>
  <si>
    <t>10.1016/j.jallcom.2019.06.321</t>
  </si>
  <si>
    <t>WOS:000476464900125</t>
  </si>
  <si>
    <t>Zhang, ZY; Antonio, RG; Choy, KL</t>
  </si>
  <si>
    <t>Zhang, Zhenyu; Antonio, Ruiz Gonzalez; Choy, Kwang Leong</t>
  </si>
  <si>
    <t>Boron nitride enhanced polymer/salt hybrid electrolytes for all-solid-state lithium ion batteries</t>
  </si>
  <si>
    <t>Solid state polymer electrolyte is a promising candidate for the next generation of all-solid-state lithium ion batteries due to its advantages of light weight, high stability to electrodes, non-flammable, sufficient mechanical strength to prevent lithium dendrite growth, and low cost. Here, through a facile and cost-effective route, two dimensional boron nitride (BN) is applied as an efficient additive in a polymer/salt hybrid electrolyte, which brings about high ionic conductivity, improved mechanical strength and intimate interfacial contact between the electrolyte and electrodes. A 1% BN addition into polymer/salt hybrid electrolyte membrane exhibits a high conductivity of 1.82 x 10(-3) S/cm at room temperature. Indentation test shows the BN modified hybrid electrolyte possesses an enhanced hardness (4.99 MPa) and Young's modulus (0.133 GPa). The 1% BN modified hybrid electrolyte is demonstrated to effectively suppress the lithium dendrite growth during repeated striping and plating of lithium. As a result, the battery of lithium metal anode paired with LiFePO4 cathode and using the as-fabricated 1% BN enhanced polymer/salt hybrid electrolyte exhibits improved cycling performance with high Coulombic efficiency (over 98%).</t>
  </si>
  <si>
    <t>Zhang, Zhenyu/M-8544-2016</t>
  </si>
  <si>
    <t>Choy, Kwang-Leong/0000-0002-5596-4427; Ruiz Gonzalez, Antonio Rafael/0000-0003-3921-2361</t>
  </si>
  <si>
    <t>10.1016/j.jpowsour.2019.226736</t>
  </si>
  <si>
    <t>WOS:000482496300010</t>
  </si>
  <si>
    <t>Ge, LP; Wang, D; Yang, PX; Xu, H; Xiao, LH; Zhang, GX; Lu, XY; Duan, ZZ; Meng, F; Zhang, JQ; An, MZ</t>
  </si>
  <si>
    <t>Ge, Liping; Wang, Dan; Yang, Peixia; Xu, Hao; Xiao, Lihui; Zhang, Guo-Xu; Lu, Xiangyu; Duan, Zhenzhen; Meng, Fan; Zhang, Jinqiu; An, Maozhong</t>
  </si>
  <si>
    <t>Graphite N-C-P dominated three-dimensional nitrogen and phosphorus co-doped holey graphene foams as high-efficiency electrocatalysts for Zn-air batteries</t>
  </si>
  <si>
    <t>NANOSCALE</t>
  </si>
  <si>
    <t>The search for metal-free catalysts for oxygen reduction reactions (ORRs) in energy storage and conversion devices, such as fuel cells and metal-air batteries, is highly desirable but challenging. Here, we have designed and synthesized controllable 3D nitrogen and phosphorous co-doped holey graphene foams (N,P-HGFs) as a high-efficiency ORR catalyst through structural regulation and electronic engineering. The obtained catalyst shows a half-wave potential of 0.865 V in alkaline electrolytes. It is found that Zn-air batteries with the N,P-HGFs-1000 air electrode exhibit excellent discharge performance and durability. Our study suggests that the remarkable ORR performance of N,P co-doped graphene is mainly due to the graphite N-C-P structure, where an enhanced charge density and increased HOMO energy level are confirmed by both experimental results and theoretical density-functional theory calculations.</t>
  </si>
  <si>
    <t>xiaoer, guo/JNE-9713-2023; lu, xiangyu/GWV-0402-2022; Zhang, Guo-Xu/N-4325-2018; Xu, Hao/GXF-7689-2022; Meng, Fan-Yi/AAQ-5933-2020</t>
  </si>
  <si>
    <t>Zhang, Guo-Xu/0000-0003-1558-614X</t>
  </si>
  <si>
    <t>2040-3364</t>
  </si>
  <si>
    <t>2040-3372</t>
  </si>
  <si>
    <t>10.1039/c9nr04696h</t>
  </si>
  <si>
    <t>WOS:000496763600032</t>
  </si>
  <si>
    <t>Ma, C; Feng, YM; Xing, FZ; Zhou, L; Yanq, Y; Xia, QB; Zhou, LJ; Zhang, LJ; Chen, LB; Ivey, DG; Sadoway, DR; Wei, WF</t>
  </si>
  <si>
    <t>Ma, Cheng; Feng, Yiming; Xing, Fangzhou; Zhou, Lin; Yanq, Ying; Xia, Qingbing; Zhou, Liangjun; Zhang, Lijun; Chen, Libao; Ivey, Douglas G.; Sadoway, Donald R.; Wei, Weifeng</t>
  </si>
  <si>
    <t>A borate decorated anion-immobilized solid polymer electrolyte for dendrite-free, long-life Li metal batteries</t>
  </si>
  <si>
    <t>Abrupt Li dendrite growth and the safety hazards caused by liquid electrolytes are generally acknowledged as major technical barriers for the practical application of Li metal batteries. Solid polymer electrolytes (SPEs) are promising to overcome these obstacles, but suffer from rigidity-conductivity inconsistency, ununiform ion distribution and inferior interfacial compatibility. Herein, an anion-immobilized SPE using vinylene carbonate as the rigid polymer backbone and flexible ether oxygen chains containing anion-trapping boron moieties is proposed, which facilitates the Li+ transport and adjusts the ion distribution. This ingenious design along with facile in situ preparation effectively integrates a favorable Young's modulus (2.41 GPa), high ionic conductivity (9.11 x 10(-4) S cm(-1) at 25 degrees C) and a high Li+ transference number (0.68), as well as achieving a stable solid electrolyte interface layer. As a result, these integrative properties enable dendrite-free LiFePO4/Li batteries with excellent rate capacity (8C, 98.3 mA h g(-1)) and superior long-term cyclability over 600 cycles at 30 degrees C, providing a new strategy for safe and high-energy all-solid-state energy storage systems.</t>
  </si>
  <si>
    <t>Xia, Qingbing/AAB-6955-2020; Zhou, Liangjun/JXO-0766-2024; Sadoway, Donald/AAE-7708-2019; Wei, Weifeng/B-4613-2011; Feng, Yiming/KZV-0094-2024; Ma, Cheng/AGY-8424-2022; Chen, Libao/C-4334-2018; Xing, Fangzhou/AAD-7344-2021</t>
  </si>
  <si>
    <t>Xia, Qingbing/0000-0002-8996-7212; Chen, Libao/0000-0002-3766-1545;</t>
  </si>
  <si>
    <t>SEP 14</t>
  </si>
  <si>
    <t>10.1039/c9ta07551h</t>
  </si>
  <si>
    <t>WOS:000483565400036</t>
  </si>
  <si>
    <t>Hamisu, A; Çelik, SU</t>
  </si>
  <si>
    <t>Hamisu, Abubakar; Celik, Sevim Unugur</t>
  </si>
  <si>
    <t>Polymer composite electrolyte of SPSU(Na)/PPEGMA/hBN for sodium-ion batteries</t>
  </si>
  <si>
    <t>POLYMERS &amp; POLYMER COMPOSITES</t>
  </si>
  <si>
    <t>Polymer composite electrolyte based on polysulfone-sodium sulfonate (SPSU(Na)) blended with poly (polyethylene glycol methacrylate) (PPEGMA) using nano-sized hexagonal boron nitride (nano-hBN) as filler was fabricated using a solution casting technique for use in Na-ion batteries. Polysulfone was sulfonated by a post sulfonation method followed by ion exchange with sodium hydroxide. Fourier transform infrared spectroscopy was used to study SPSU(Na)/PEGMA blend and incorporation of hBN nanoparticle into the SPSU(Na)/PPEGMA blend. Thermal properties of the composites were studied with thermogravimetric analysis (TGA) and differential scanning calorimetry tests. X-ray diffraction was used to study phase change. The TGA curve showed two weight loss regions, where 30% weight loss occurred between 200 degrees C and 350 degrees C due to degradation of sulfonic acid groups, and the polymer backbone degradation occurs above 500 degrees C. Surface morphology of the membranes was examined using scanning electron microscopy which reveals the homogeneous dispersion of the nano-hBN particles in the polymer matrix. Ionic conductivity was studied with impedance spectroscopy and the total ionic conductivity increases with increasing PPEGMA ratio. SPSU(Na)/PPEGMA(1:4) sample showed maximum ion conductivity of approximately 5.5 x 10(-6) S cm(-1) (5.5 x 10(-4) S m(-1)) at 100 degrees C because of the high content of PPEGMA.</t>
  </si>
  <si>
    <t>Hamisu, Abubakar/0000-0001-7792-5181</t>
  </si>
  <si>
    <t>0967-3911</t>
  </si>
  <si>
    <t>1478-2391</t>
  </si>
  <si>
    <t>10.1177/0967391119848531</t>
  </si>
  <si>
    <t>WOS:000481806700006</t>
  </si>
  <si>
    <t>Mussa, Y; Fathima, A; Arsalan, M; Alsharaeh, E</t>
  </si>
  <si>
    <t>Mussa, Yasmin; Fathima, Arshia; Arsalan, Muhammad; Alsharaeh, Edreese</t>
  </si>
  <si>
    <t>The use of two-dimensional materials in high-temperature rechargeable batteries: current issues and preventative measures</t>
  </si>
  <si>
    <t>MATERIALS RESEARCH EXPRESS</t>
  </si>
  <si>
    <t>As their name suggests, energy storage systems are used for the on-demand supply and storage of energy. However, the development of high-capacity energy storage systems that can safely operate at high temperatures remains a challenge, as exemplified by the occurrence of thermal runaway in rechargeable batteries, especially in harsh environments. In view of the above, the increasing demand for rechargeable (e.g., Li-ion) batteries necessitates the development of safer power sources operable at high temperatures and requires the collective contribution of chemists, materials scientists, and engineers to gain a deep understanding of the thermal runaway mechanism and take preventative measures. Currently, thermal runaway is prevented by the use of safety devices and/or inherent safety methods. The latter approach involves the design of electrodes and electrolytes (including the separator) to increase the thermal stability of rechargeable batteries and is faced by the challenge of finding a compromise between electrochemical performance and thermal stability. The discovery of graphene and its outstanding properties gave rise to a new class of two-dimensional (2D) materials that are believed to offer a solution to the above problem and have therefore attracted increased research attention. However, the applications of most non-graphene 2D materials have been underexplored, since these materials have been discovered only very recently, and the corresponding research has mainly focused on investigating their properties and synthesis routes. In this review, we outline the progress in the development of safe and high-performance rechargeable batteries based on 2D materials, focusing on sustainable battery operation under high-temperature conditions.</t>
  </si>
  <si>
    <t>; Fathima, Arshia/NXC-4049-2025</t>
  </si>
  <si>
    <t>Fathima, Arshia/0000-0003-1989-0739; Alsharaeh, Edreese/0000-0002-6285-8083</t>
  </si>
  <si>
    <t>2053-1591</t>
  </si>
  <si>
    <t>10.1088/2053-1591/ab1aea</t>
  </si>
  <si>
    <t>WOS:000478815600001</t>
  </si>
  <si>
    <t>Park, C; Lee, S; Choi, S; Shin, D</t>
  </si>
  <si>
    <t>Park, Chanhwi; Lee, Sangsoo; Choi, Sunho; Shin, Dongwook</t>
  </si>
  <si>
    <t>Effect of boron/phosphorus ratio in lithium boron phosphorus oxynitride thin film electrolytes for all-solid-state thin film batteries</t>
  </si>
  <si>
    <t>THIN SOLID FILMS</t>
  </si>
  <si>
    <t>For application to all-solid-state thin film batteries, lithium boron phosphorus oxynitride (LiBPON) thin films were fabricated by RF magnetron sputtering technique of lithium borate (Li3BO3) and lithium phosphate (Li3BO4) target under N-2 atmosphere. To investigate the mixed former effect upon the LiBPON thin films, we prepared various films with controlled B and P contents. The LiBPON thin film formulation with nearly equal B and P contents showed the highest room-temperature lithium ionic conductivity of 3.52 x 10(-6)S cm(-1) and the lowest activation energy of 48.24 kJ mol(-1) owing to the mixed former effect, the increased lithium content and nitridation. Infrared spectra of the glass thin films achieved two dominant peaks corresponding to BO33- and PO43- unit. N1s spectra were analyzed by X-ray photoelectron spectroscopy that the increased ionic conductivities observed were related to the formation of triply coordinated nitrogen.</t>
  </si>
  <si>
    <t>0040-6090</t>
  </si>
  <si>
    <t>10.1016/j.tsf.2019.06.055</t>
  </si>
  <si>
    <t>WOS:000476884100059</t>
  </si>
  <si>
    <t>Hersam, M</t>
  </si>
  <si>
    <t>Hersam, Mark</t>
  </si>
  <si>
    <t>Hexagonal boron nitride gel electrolytes for solid-state batteries</t>
  </si>
  <si>
    <t>ABSTRACTS OF PAPERS OF THE AMERICAN CHEMICAL SOCIETY</t>
  </si>
  <si>
    <t>ACS Fall National Meeting and Exposition</t>
  </si>
  <si>
    <t>AUG 25-29, 2019</t>
  </si>
  <si>
    <t>San Diego, CA</t>
  </si>
  <si>
    <t>Amer Chem S oc</t>
  </si>
  <si>
    <t>0065-7727</t>
  </si>
  <si>
    <t>AUG 25</t>
  </si>
  <si>
    <t>520-ENFL</t>
  </si>
  <si>
    <t>WOS:000525055505635</t>
  </si>
  <si>
    <t>Dai, K; Ma, C; Feng, YM; Zhou, LJ; Kuang, GC; Zhang, Y; Lai, YQ; Cui, XW; Wei, WF</t>
  </si>
  <si>
    <t>Dai, Kuan; Ma, Cheng; Feng, Yiming; Zhou, Liangjun; Kuang, Guichao; Zhang, Yun; Lai, Yanqing; Cui, Xinwei; Wei, Weifeng</t>
  </si>
  <si>
    <t>A borate-rich, cross-linked gel polymer electrolyte with near-single ion conduction for lithium metal batteries</t>
  </si>
  <si>
    <t>Lithium metal batteries (LMBs) show tremendous potential in energy storage due to ultrahigh energy densities. Nevertheless, maintaining a stable solid electrolyte interphase (SEI) and suppressing the growth of dendrites are hard to achieve with conventional liquid electrolytes. Gel/solid polymer electrolytes are sought-after candidates to block dendrite growth, while they still suffer from poor ionic conductivity and an incompatible interphase. Herein, a borate-rich gel polymer electrolyte with a 3D cross-linked structure (3D-BGPE) is designed to settle these problems. By incorporating anion-trapping boron moieties into a 3D configuration via an in situ strategy, the 3D-BGPE presents high ionic conductivity (8.4 x 10(-4) S cm(-1)), near single ion conduction (Li+ transference number of 0.76) and constructs a stable and conductive SEI layer on the lithium anode. Accordingly, the LMBs employing the 3D-BGPE can effectively inhibit the dendrite growth and maintain 89.73% capacity retention after 400 cycles. A promising approach to design highly effective electrolytes for safe and long-life LMBs is provided in this work.</t>
  </si>
  <si>
    <t>Wei, Weifeng/B-4613-2011; Zhou, Liangjun/JXO-0766-2024; Ma, Cheng/AGY-8424-2022; Feng, Yiming/KZV-0094-2024; Kuang, Guichao/A-3644-2012; Cui, Xinwei/IUP-5298-2023</t>
  </si>
  <si>
    <t>Wei, Weifeng/0000-0002-3088-6549; Gui-Chao, Kuang/0000-0002-6682-8260; Cui, Xinwei/0000-0001-8141-611X;</t>
  </si>
  <si>
    <t>10.1039/c9ta05938e</t>
  </si>
  <si>
    <t>WOS:000479056700035</t>
  </si>
  <si>
    <t>Lei, SF; Chen, XF; Xiao, BB; Zhang, WT; Liu, J</t>
  </si>
  <si>
    <t>Lei, Shufei; Chen, Xianfei; Xiao, Beibei; Zhang, Wentao; Liu, Jia</t>
  </si>
  <si>
    <t>Excellent Electrolyte Wettability and High Energy Density of B2S as a Two-Dimensional Dirac Anode for Non-Lithium-Ion Batteries</t>
  </si>
  <si>
    <t>Two-dimensional (2D) Dirac materials with ultra-high electronic conductivity exhibit great promise for application as an anode material in non-lithium-ion batteries (NLIBs) with a reduced conductive additive and a binder as a nonactive material additive. Graphene is one of the most prominent 2D Dirac materials with high electrolyte wettability; however, it cannot be used as an anode material in NLIBs owing to its poor affinity toward metal ions such as Na, K, Ca, Mg, and Al. In this work, we investigated the use of recently developed boron sulfide (B2S) as a new lightweight 2D Dirac anode for NLIBs on the basis of first-principles calculations. We demonstrate that B2S delivers excellent electronic conductivity and has a unique self-doping effect by forming S or B vacancies. The ultrahigh energy densities of 2245 and 1167 mWh/g, a product of capacity and open-circuit voltage referenced by standard hydrogen electrode potential (Cao et al. Nat. Nanotechnology. 2019, 14, 200-207), could be achieved for the B2S anode in Na- and K-ion batteries, respectively, significantly larger than those of graphene. More importantly, the B2S presents graphene-like wettability toward commonly used electrolytes in Na- and K-ion batteries, i.e., the solvent molecules and metal salt, indicating excellent compatibility. Moreover, the minimum energy path for Na- and K-ion diffusion on the B2S surface shows energy barriers of 0.19 and 0.04 eV, which indicates high ionic conductivity. Furthermore, a small contraction of the B2S lattice upon ion intercalation has been observed due to the adsorption-induced corrugation of the electrode, which offsets the lattice expansion. The results suggest that the B2S electrode can be used as a lightweight 2D Dirac anode material with excellent energy density, desirable rate performance, and robust wettability toward the electrolytes.</t>
  </si>
  <si>
    <t>Lei, Shufei/Y-4119-2019; Zhang, Wentao/AAN-2113-2021</t>
  </si>
  <si>
    <t>AUG 14</t>
  </si>
  <si>
    <t>10.1021/acsami.9b07219</t>
  </si>
  <si>
    <t>WOS:000481567100026</t>
  </si>
  <si>
    <t>Hashigami, S; Yoshimi, K; Kato, Y; Yoshida, H; Inagaki, T; Haruta, M; Hashinokuchi, M; Doi, T; Inaba, M</t>
  </si>
  <si>
    <t>Hashigami, Satoshi; Yoshimi, Kei; Kato, Yukihiro; Yoshida, Hiroyuki; Inagaki, Toru; Haruta, Masakazu; Hashinokuchi, Michihiro; Doi, Takayuki; Inaba, Minoru</t>
  </si>
  <si>
    <t>Improvement of Cycleability and Rate-Capability of LiNi0.5Co0.2Mn0.3O2 Cathode Materials Coated with Lithium Boron Oxide by an Antisolvent Precipitation Method</t>
  </si>
  <si>
    <t>LiNi0.5Co0.2Mn0.3O2 (NCM) particles coated with lithium boron oxide were prepared by an antisolvent precipitation method. In the antisolvent precipitation method, ethanol was used to strip off the hydrated water coordinated with lithium ions and borate ions. By the antisolvent precipitation method, the NCM particles were coated with a uniform layer of LiBO2. The capacity fading on cycling was successfully suppressed for the lithium boron oxide-coated samples. In addition, the rate capability was also improved by the coating. The lithium boron oxide coating effectively suppressed the increase of the electrode impedance associated with the electrolyte decomposition. Crack formation in the secondary particles after charge-discharge cycling was greatly inhibited for lithium boron oxide-coated NCM. It was demonstrated that the lithium boron oxide coating layer suppressed the side reactions not only on the particle surface, but also in the intergranular cracks by inhibiting the penetration of the electrolyte solution.</t>
  </si>
  <si>
    <t>Haruta, Masakazu/A-2393-2014</t>
  </si>
  <si>
    <t>Hashigami, Satoshi/0000-0001-9397-0281; Haruta, Masakazu/0000-0001-9107-8425</t>
  </si>
  <si>
    <t>10.1002/slct.201900874</t>
  </si>
  <si>
    <t>WOS:000479139200047</t>
  </si>
  <si>
    <t>Adams, RA; Varma, A; Pol, VG</t>
  </si>
  <si>
    <t>Adams, Ryan A.; Varma, Arvind; Pol, Vilas G.</t>
  </si>
  <si>
    <t>Carbon Anodes for Nonaqueous Alkali Metal-Ion Batteries and Their Thermal Safety Aspects</t>
  </si>
  <si>
    <t>Since their commercialization by Sony in 1991, graphite anodes in combination with various cathodes have enabled the widespread success of lithium-ion batteries (LIBs), providing over 10 billion rechargeable batteries to the global population. Next-generation nonaqueous alkali metal-ion batteries, namely sodium-ion batteries (SIBs) and potassium-ion batteries (PIBs), are projected to utilize intercalation-based carbon anodes as well, due to their favorable electrochemical properties. While traditionally graphite anodes have dominated the market share of LIBs, other carbon materials have been investigated, including graphene, carbon nanotubes, and disordered carbons. The relationship between carbon material properties, electrochemical performance, and charge storage mechanisms is clarified for these alkali metal-ion batteries, elucidating possible strategies for obtaining enhanced cycling stability, specific capacity, rate capability, and safety aspects. As a key component in determining cell performance, the solid electrolyte interphase layer is described in detail, particularly for its dependence on the carbon anode. Finally, battery safety at extreme temperatures is discussed, where carbon anodes are susceptible to dendrite formation, accelerated aging, and eventual thermal runaway. As society pushes toward higher energy density LIBs, this review aims to provide guidance toward the development of sustainable next-generation SIBs and PIBs.</t>
  </si>
  <si>
    <t>Pol, Vilas/0000-0002-4866-117X</t>
  </si>
  <si>
    <t>10.1002/aenm.201900550</t>
  </si>
  <si>
    <t>AUG 2019</t>
  </si>
  <si>
    <t>WOS:000484085900001</t>
  </si>
  <si>
    <t>de Moraes, ACM; Hyun, WJ; Seo, JWT; Downing, JR; Lim, JM; Hersam, MC</t>
  </si>
  <si>
    <t>de Moraes, Ana C. M.; Hyun, Woo Jin; Seo, Jung-Woo T.; Downing, Julia R.; Lim, Jin-Myoung; Hersam, Mark C.</t>
  </si>
  <si>
    <t>Ion-Conductive, Viscosity-Tunable Hexagonal Boron Nitride Nanosheet Inks</t>
  </si>
  <si>
    <t>Liquid-phase exfoliation of layered solids holds promise for the scalable production of 2D nanosheets. When combined with suitable solvents and stabilizing polymers, the rheology of the resulting nanosheet dispersions can be tuned for a variety of additive manufacturing methods. While significant progress is made in the development of electrically conductive nanosheet inks, minimal effort is applied to ion-conductive nanosheet inks despite their central role in energy storage applications. Here, the formulation of viscosity-tunable hexagonal boron nitride (hBN) inks compatible with a wide range of printing methods that span the spectrum from low-viscosity inkjet printing to high-viscosity blade coating is demonstrated. The inks are prepared by liquid-phase exfoliation with ethyl cellulose as the polymer dispersant and stabilizer. Thermal annealing of the printed structures volatilizes the polymer, resulting in a porous microstructure and the formation of a nanoscale carbonaceous coating on the hBN nanosheets, which promotes high wettability to battery electrolytes. The final result is a printed hBN nanosheet film that possesses high ionic conductivity, chemical and thermal stability, and electrically insulating character, which are ideal characteristics for printable battery components such as separators. Indeed, lithium-ion battery cells based on printed hBN separators reveal enhanced electrochemical performance that exceeds commercial polymer separators.</t>
  </si>
  <si>
    <t>Hersam, Mark/0000-0003-4120-1426; Hyun, Woo Jin/0000-0002-2159-8553</t>
  </si>
  <si>
    <t>10.1002/adfm.201902245</t>
  </si>
  <si>
    <t>WOS:000480018000001</t>
  </si>
  <si>
    <t>Hyun, WJ; de Moraes, ACM; Lim, JM; Downing, JR; Park, KY; Tan, MTZ; Hersam, MC</t>
  </si>
  <si>
    <t>Hyun, Woo Jin; de Moraes, Ana C. M.; Lim, Jin-Myoung; Downing, Julia R.; Park, Kyu-Young; Tan, Mark Tian Zhi; Hersam, Mark C.</t>
  </si>
  <si>
    <t>High-Modulus Hexagonal Boron Nitride Nanoplatelet Gel Electrolytes for Solid-State Rechargeable Lithium-Ion Batteries</t>
  </si>
  <si>
    <t>Solid-state electrolytes based on ionic liquids and a gelling matrix are promising for rechargeable lithium ion batteries due to their safety under diverse operating conditions, favorable electrochemical and thermal properties, and wide processing compatibility. However, gel electrolytes also suffer from low mechanical moduli, which imply poor structural integrity and thus an enhanced probability of electrical shorting, particularly under conditions that are favorable for lithium dendrite growth. Here, we realize high-modulus, ion-conductive gel electrolytes based on imidazolium ionic liquids and exfoliated hexagonal boron nitride (hBN) nanoplatelets. Compared to conventional bulk hBN microparticles, exfoliated hBN nanoplatelets improve the mechanical properties of gel electrolytes by 2 orders of magnitude (shear storage modulus similar to 5 MPa), while retaining high ionic conductivity at room temperature (&gt;1 mS cm(-1)). Moreover, exfoliated hBN nanoplatelets are compatible with high-voltage cathodes (&gt;5 V vs Li/Li+) and impart exceptional thermal stability that allows high-rate operation of solid-state rechargeable lithium-ion batteries at temperatures up to 175 degrees C.</t>
  </si>
  <si>
    <t>; de Moraes, Ana/W-9433-2019; Hersam, Mark/B-6739-2009</t>
  </si>
  <si>
    <t>10.1021/acsnano.9b04989</t>
  </si>
  <si>
    <t>WOS:000484077800118</t>
  </si>
  <si>
    <t>Shao, YF; Wang, Q; Hu, L; Pan, H; Shi, XQ</t>
  </si>
  <si>
    <t>Shao, Yangfan; Wang, Qian; Hu, Liang; Pan, Hui; Shi, Xingqiang</t>
  </si>
  <si>
    <t>BC2N monolayers as promising anchoring materials for lithium-sulfur batteries: First-principles insights</t>
  </si>
  <si>
    <t>One of the major challenging issues in lithium-sulfur (Li-S) batteries is that the lithium polysulfides easily dissolve in the electrolyte and shuttle between anode and cathode. To overcome this problem, an ideal anchoring materials is urgent. In the current work, we explore the potential application of BC2N allotropes (approximated by Type-I and Type-II structures) as anchoring materials for Li-S batteries by using first-principles method with van der Waals interaction. Type-I is a direct-bandgap semiconductor, while type-II is semi-metallic due to inversion symmetry of its structure. They show remarkable but not too strong chemical interaction with S-8 and Li2Sx clusters and enhanced electrical conductivity. In addition, the introduction of dopants and defects result in semiconductor-to-metal transition on type-I BC2N, and enhancement of binding energies and still keep intact Li2Sx clusters. Our findings demonstrate that defective and doped BC2N monolayers are promising anchoring materials for Li-S batteries. (C) 2019 Elsevier Ltd. All rights reserved.</t>
  </si>
  <si>
    <t>Shao, Yangfan/AAE-6260-2019; Hu, Liang/E-3861-2016; SHI, Xingqiang/D-8625-2011; Pan, Hui/GQH-1900-2022</t>
  </si>
  <si>
    <t>SHI, Xingqiang/0000-0003-2029-1506; Pan, Hui/0000-0002-6515-4970</t>
  </si>
  <si>
    <t>10.1016/j.carbon.2019.04.077</t>
  </si>
  <si>
    <t>WOS:000471602000057</t>
  </si>
  <si>
    <t>Guzmán-González, G; Ramos-Sánchez, G; Camacho-Forero, LE; González, I</t>
  </si>
  <si>
    <t>Guzman-Gonzalez, Gregorio; Ramos-Sanchez, Guadalupe; Camacho-Forero, Luis E.; Gonzalez, Ignacio</t>
  </si>
  <si>
    <t>Charge Delocalization on BO4- Centers to Improve Conductivity on Single Lithium Ion Conducting Polymer Electrolytes: A Computational/Experimental Approach</t>
  </si>
  <si>
    <t>Single lithium ion conducting polymer electrolytes (SLICPEs) could be one of the best options for safer lithium ion batteries, only if new strategies can be envisaged to improve their ionic conduction properties. In this work, we examine the effect of two strategies to improve the ionic conductivity of SLICPE based on spa boron atoms linkers by PEG chains, namely, partial cross-linking and modification of the electron-withdrawing properties of the substituents attached to the BO4- groups. The molecular structure analysis, determined by density functional theory, shows an important variation on the electron density of the BO4- group with the presence of electron-withdrawing groups, allowing lower Lit polymer interaction energy and lower activation energy for Li+ hopping; these results confirm the changes in the chemical environment of B and Li established by NMR The increase of the electron-withdrawing capacity of the substituent groups on the BO4- groups decreases their electronic density, increases the length of the BO4--Li+ bond distance, and allows higher mobility of Li+ in the partially cross-linked SLICPE structure. The ionic conductivity measurements obtained by electrochemical impedance spectroscopy (EIS) reveal that the effect of the diminution of electron density in the BO4- groups and its effect on the mobility of Li+ in the polymer matrix are mainly observed at temperatures higher than T-m, where the system has enough energy to break electrostatic short-range interactions within the polymer matrix, which limits the mobility of the polymer matrix.</t>
  </si>
  <si>
    <t>Guzman-Gonzalez, Gregorio/0000-0002-8080-0862; GONZALEZ, IGNACIO/0000-0002-9651-2515; Camacho Forero, Luis/0000-0002-9768-4722</t>
  </si>
  <si>
    <t>10.1021/acs.jpcc.9b02945</t>
  </si>
  <si>
    <t>WOS:000477785000006</t>
  </si>
  <si>
    <t>Lozinskaya, EI; Cotessat, M; Shmalko, AV; Ponkratov, DO; Gumileva, LV; Sivaev, IB; Shaplov, AS</t>
  </si>
  <si>
    <t>Lozinskaya, Elena I.; Cotessat, Merlin; Shmalko, Akim V.; Ponkratov, Denis O.; Gumileva, Lyudmila V.; Sivaev, Igor B.; Shaplov, Alexander S.</t>
  </si>
  <si>
    <t>Expanding the chemistry of single-ion conducting poly(ionic liquid)s with polyhedral boron anions</t>
  </si>
  <si>
    <t>POLYMER INTERNATIONAL</t>
  </si>
  <si>
    <t>The synthesis of a new family of single-ion conducting random copolymers bearing polyhedral boron anions is reported. For this purpose two novel ionic monomers, namely [B12H11(OCH2CH2)(2)OC((sic)O)C(CH3)(sic)CH2](2-)[(C4H9)(4)N+](2) and [8-(OCH2CH2)(2)OC((sic)O)C(CH3)(sic)CH2-3,3 '-Co(1,2-C2B9H10)(1 ',2 '-C2B9H11)]K--(+), having methacrylate function, diethylene glycol bridge and closo-dodecaborate or cobalt bis(1,2-dicarbollide) anions were designed. Such monomers differ from previously reported ones by (i) chemically attached highly delocalized boron anions, by (ii) valency of the anion (divalent anion and monovalent one) and by (iii) the presence of oxyethylene flexible spacer between the methacrylate group and bonded anion. Their free radical copolymerization with poly(ethylene glycol) methyl ether methacrylate and subsequent ion exchange provided lithium-ion conducting polyelectrolytes showing low glass transition temperature (-53 to -49 degrees C), ionic conductivity up to 9.1 x 10(-7) S cm(-1), lithium transference number up to 0.61 (70 degrees C) and electrochemical stability up to 4.1 V versus Li+/Li (70 degrees C). The incorporation of propylene carbonate (20-40 wt%) into the copolymers resulted in the enhancement of their ionic conductivity by one order of magnitude and significantly increased their electrochemical stability up to 4.7 V versus Li+/Li (70 degrees C). (c) 2019 Society of Chemical Industry</t>
  </si>
  <si>
    <t>Lozinskaya, Elena/K-6778-2017; Shmalko, Akim/F-8685-2018; Ponkratov, Denis/L-5359-2016; Sivaev, Igor/B-1194-2008; Shaplov, Alexander/D-9317-2014; Cotessat, Merlin/AFR-1204-2022</t>
  </si>
  <si>
    <t>Shaplov, Alexander/0000-0002-7789-2663; Cotessat, Merlin/0000-0001-6206-9079; Ponkratov, Denis/0000-0001-6286-4793</t>
  </si>
  <si>
    <t>0959-8103</t>
  </si>
  <si>
    <t>1097-0126</t>
  </si>
  <si>
    <t>10.1002/pi.5878</t>
  </si>
  <si>
    <t>JUL 2019</t>
  </si>
  <si>
    <t>WOS:000475163900001</t>
  </si>
  <si>
    <t>Henrique, JMD; de Andrade, DC; Neto, ELB; da Silva, DR; dos Santos, EV</t>
  </si>
  <si>
    <t>de Melo Henrique, Joao Miller; de Andrade, Deborah Cordeiro; Barros Neto, Eduardo L.; da Silva, Djalma Ribeiro; dos Santos, Elisama Vieira</t>
  </si>
  <si>
    <t>Solar-powered BDD-electrolysis remediation of soil washing fluid spiked with diesel</t>
  </si>
  <si>
    <t>JOURNAL OF CHEMICAL TECHNOLOGY AND BIOTECHNOLOGY</t>
  </si>
  <si>
    <t>BACKGROUND The remediation of a soil spiked with diesel using Unitol L90 and sodium dodecyl sulfate (SDS) in a soil washing process was evaluated. The washing process was followed by an anodic oxidation based on boron doped-diamond electrolysis (BDD-electrolysis) to treat the washing liquid, using a solar photovoltaic (PV)-battery system as a direct electrical power source. RESULTS The results demonstrate that high concentrations of Unitol L 90 and SDS are required for the surfactant-aided soil-washing (SASW) to efficiently extract diesel from the soil. However, Unitol L 90 strongly interacts with the soil due to the adsorption process. The main characteristics of the effluents produced during this soil remediation was low conductivity. Therefore, the addition of 0.05 mol L-1 sodium sulfate (Na2SO4) as an electrolyte, at current density of 30 mA cm(-2), was investigated. BDD-electrolysis demonstrated that total organic carbon (TOC) and total petroleum hydrocarbon (TPH) were removed more effectively using SDS. The key of the treatment is associated to the electrogeneration of S2O82- due to the contribution of the surfactant composition and the addition of 0.05 mol L-1 Na2SO4. Additionally, an average solar irradiation intensity and integration of PV cells produced more than 10 A current and continuous electricity (similar to 27 V), which was constantly supplied to the electrolytic reactor at all times through a direct current generator. CONCLUSIONS Finally, based on the achieved results, BDD-electrolysis is an efficient technology approach to remove hydrocarbons from the effluent produced during the soil washing process. (c) 2019 Society of Chemical Industry</t>
  </si>
  <si>
    <t>de Barros Neto, Eduardo/ABF-7021-2020; dos Santos, Elisama Vieira/J-3963-2015; Henrique, João/JRY-5872-2023; Silva, Djalma/H-6679-2017; santos, elisama vieira/J-3963-2015</t>
  </si>
  <si>
    <t>dos Santos, Elisama Vieira/0000-0003-2189-5694; Barros Neto, Eduardo Lins/0000-0002-1310-7689; Henrique, Joao/0000-0001-9504-6535; Silva, Djalma Ribeiro/0000-0001-6902-149X</t>
  </si>
  <si>
    <t>0268-2575</t>
  </si>
  <si>
    <t>1097-4660</t>
  </si>
  <si>
    <t>10.1002/jctb.6110</t>
  </si>
  <si>
    <t>WOS:000474460500001</t>
  </si>
  <si>
    <t>Shen, B; Zhang, TW; Yin, YC; Zhu, ZX; Lu, LL; Ma, C; Zhou, F; Yao, HB</t>
  </si>
  <si>
    <t>Shen, Bao; Zhang, Tian-Wen; Yin, Yi-Chen; Zhu, Zheng-Xin; Lu, Lei-Lei; Ma, Cheng; Zhou, Fei; Yao, Hong-Bin</t>
  </si>
  <si>
    <t>Chemically exfoliated boron nitride nanosheets form robust interfacial layers for stable solid-state Li metal batteries</t>
  </si>
  <si>
    <t>Two-dimensional (2D) boron nitride nanosheets (BNNSs) were chemically exfoliated from bulk boron nitride and coated onto the surface of a poly(ethylene oxide) (PEO)-based electrolyte through a dry-pressing transfer process. The fabricated BNNSs coating formed a robust interfacial layer to improve the chemical and mechanical stability of the PEO-based electrolyte, leading to the enhanced performance of solid-state Li metal batteries.</t>
  </si>
  <si>
    <t>Yao, Hong-Bin/AAF-9517-2019; Zhang, Tianwen/HGC-4707-2022; Ma, Cheng/C-9120-2014; fei, zhou/ABG-4574-2021</t>
  </si>
  <si>
    <t>Yao, Hong-Bin/0000-0002-2901-0160;</t>
  </si>
  <si>
    <t>10.1039/c9cc02124h</t>
  </si>
  <si>
    <t>WOS:000473060700027</t>
  </si>
  <si>
    <t>Barton, JL; Wixtrom, AI; Kowalski, JA; Qian, EA; Jung, D; Brushett, FR; Spokoyny, AM</t>
  </si>
  <si>
    <t>Barton, John L.; Wixtrom, Alex I.; Kowalski, Jeffrey A.; Qian, Elaine A.; Jung, Dahee; Brushett, Fikile R.; Spokoyny, Alexander M.</t>
  </si>
  <si>
    <t>Perfunctionalized Dodecaborate Clusters as Stable Metal-Free Active Materials for Charge Storage</t>
  </si>
  <si>
    <t>We report a class of perfunctionalized dodecaborate clusters that exhibit stability during galvanostatic cycling. These boron clusters afford several degrees of freedom in material design to tailor properties including solubility and redox potential. The exceptional stability of these clusters was demonstrated by using a symmetric flow cell setup for electrochemical cycling between two oxidation states for 45 days, with post-run analysis showing negligible decomposition of the active species (&lt;1%). To further probe the limits of this system, a prototype redox flow battery with two different cluster materials was used to determine mutual compatibility. This work effectively illustrates the potential of bespoke boron clusters as robust material platform for electrochemical energy conversion and storage.</t>
  </si>
  <si>
    <t>; Spokoyny, Alexander/V-3526-2019; Qian, Elaine/O-7275-2015</t>
  </si>
  <si>
    <t>Brushett, Fikile/0000-0002-7361-6637; Spokoyny, Alexander/0000-0002-5683-6240</t>
  </si>
  <si>
    <t>10.1021/acsaem.9b00610</t>
  </si>
  <si>
    <t>WOS:000477074700038</t>
  </si>
  <si>
    <t>Slubowska, W; Kwatek, K; Jastrzebski, C; Nowinski, JL</t>
  </si>
  <si>
    <t>Slubowska, Wioleta; Kwatek, Konrad; Jastrzebski, Cezariusz; Nowinski, Jan L.</t>
  </si>
  <si>
    <t>Thermal, structural and electrical study of boron-incorporated LATP glasses and glass-ceramics</t>
  </si>
  <si>
    <t>13th International Symposium on Systems with Fast Ionic Transport (ISSFIT)</t>
  </si>
  <si>
    <t>JUL 03-07, 2018</t>
  </si>
  <si>
    <t>Minsk, BELARUS</t>
  </si>
  <si>
    <t>Belarusian State Technol Univ</t>
  </si>
  <si>
    <t>Glasses of three compositions were prepared in the Li2O-Al2O3-B2O3-TiO2-P2O5 system. Next, they were heat treated at 900 degrees C for 2 h to yield fast Li+ ion conducting glass-ceramics of NASICON-like structure. Effects of boron additive on structural, thermal and electrical properties of glasses and glass-ceramics are herein investigated and discussed. Thermal analysis revealed that glass transition and crystallization temperatures shift towards lower values with increasing boron content. Moreover, the system under study exhibits improved glass forming ability. X-ray diffraction studies show that B-incorporated glass-ceramics are mainly composed of rhombohedral R (3) over barc phase with unit cell parameters a and c decreasing with boron substitution. Raman peaks at 791 cm(-1) and 1206 cm(-1) in glasses with B2O3 addition confirm the presence of BO4 and BO3 units in the glass structure. Overall ion transport properties (total conductivity and activation energy) were characterized by means of impedance spectroscopy. For optimized composition, the highest total conductivity of 6.10(-5)S/cm for B-incorporated glass-ceramics was recorded. Moreover, separation of the bulk and grain boundary electrical responses was performed on the basis of equivalent circuit modelling of impedance data.</t>
  </si>
  <si>
    <t>; Kwatek, Konrad/AAM-2872-2020; Jastrzebski, Cezariusz/AAG-8775-2019</t>
  </si>
  <si>
    <t>Jastrzebski, Cezariusz/0000-0001-7147-4244; Slubowska, Wioleta/0000-0002-1065-8450; Kwatek, Konrad/0000-0001-9148-4634</t>
  </si>
  <si>
    <t>10.1016/j.ssi.2019.02.022</t>
  </si>
  <si>
    <t>WOS:000466829700018</t>
  </si>
  <si>
    <t>Tam, TV; Kang, SG; Kim, MH; Lee, SG; Hur, SH; Chung, JS; Choi, WM</t>
  </si>
  <si>
    <t>Tran Van Tam; Kang, Sung Gu; Kim, Mun Ho; Lee, Seung Geol; Hur, Seung Hyun; Chung, Jin Suk; Choi, Won Mook</t>
  </si>
  <si>
    <t>Novel Graphene Hydrogel/B-Doped Graphene Quantum Dots Composites as Trifunctional Electrocatalysts for Zn-Air Batteries and Overall Water Splitting</t>
  </si>
  <si>
    <t>Herein, a facile, one-step hydrothermal route to synthesize novel all-carbon-based composites composed of B-doped graphene quantum dots anchored on a graphene hydrogel (GH-BGQD) is demonstrated. The obtained GH-BGQD material has a unique 3D architecture with high porosity and large specific surface area, exhibiting abundant catalytic active sites of B-GQDs as well as enhanced electrolyte mass transport and ion diffusion. Therefore, the prepared GH-BGQD composites exhibit a superior trifunctional electrocatalytic activity toward the oxygen reduction reaction, oxygen evolution reaction, and hydrogen evolution reaction with excellent long-term stability and durability comparable to those of commercial Pt/C and Ir/C catalysts. A flexible solid-state Zn-air battery using a GH-BGQD air electrode achieves an open-circuit voltage of 1.40 V, a stable discharge voltage of 1.23 V for 100 h, a specific capacity of 687 mAh g(-1), and a peak power density of 112 mW cm(-2). Also, a water electrolysis cell using GH-BGQD electrodes delivers a current density of 10 mA cm(-2) at cell voltage of 1.61 V, with remarkable stability during 70 h of operation. Finally, the trifunctional GH-BGQD catalyst is employed for water electrolysis cell powered by the prepared Zn-air batteries, providing a new strategy for the carbon-based multifunctional electrocatalysts for electrochemical energy devices.</t>
  </si>
  <si>
    <t>Chung, Jin/E-3515-2013; Hur, Seung/C-6659-2011; Lee, Seung Geol/B-3461-2015; KIM, Heejae/J-2173-2015</t>
  </si>
  <si>
    <t>Chung, Jin Suk/0000-0003-0996-4124; Lee, Seung Geol/0000-0001-7965-7387; Kim, Mun Ho/0000-0003-0745-7700;</t>
  </si>
  <si>
    <t>10.1002/aenm.201900945</t>
  </si>
  <si>
    <t>WOS:000477779200005</t>
  </si>
  <si>
    <t>Zhu, HJ; Yan, L; Xia, MT; Cheng, X; Ye, WQ; Yu, HX; Long, NB; Shui, M; Shu, J</t>
  </si>
  <si>
    <t>Zhu, Haojie; Yan, Lei; Xia, Maoting; Cheng, Xing; Ye, Wuquan; Yu, Haoxiang; Long, Nengbing; Shui, Miao; Shu, Jie</t>
  </si>
  <si>
    <t>Controlled formation of BNb3O9 nanobelts as superior host material for high performance electrochemical energy storage</t>
  </si>
  <si>
    <t>Ultra-stable anode materials for lithium-ion batteries are increasing in demand as highly sustainable energy storage system with excellent charge transport becomes unprecedentedly important. Here, a novel Li-ion full cell, utilizing BNb3O9 hollowed-out nanobelts as the typical intercalation anode and commercial LiFePO4 as the cathode in organic electrolyte, is reported. Moreover, the hollowed-out framework of BNb3O9 nanobelts, prepared by an adjustable-voltage electrospinning method, exhibits prominent cyclic stability (116.1 mAh g(-1) at 700 mA g(-1) (12C) over 1000 cycles) and outstanding rate capability (126.8 mAh g(-1) at 900 mA g(-1)) in half cell. The key finding is that the formation mechanism of BNb3O9 hollowed-out nanobelts can be thoroughly discussed by scanning electron microscope. The contribution of the external pseudocapacitance largely affects the rate capability, which is determined via kinetic analysis. Furthermore, the lithium storage mechanism and structural evolution of BNb3O9 are investigated through in-situ X-ray diffraction. Such preeminent electrochemical performance and distinctive morphology endow BNb3O9 hollowed-out nanobelts with potentials as anode materials for lithium-ion batteries.</t>
  </si>
  <si>
    <t>Zhu, Joshua/JWP-0772-2024; Xia, Maoting/KFS-5266-2024</t>
  </si>
  <si>
    <t>Zhu, Haojie/0009-0005-4267-4614</t>
  </si>
  <si>
    <t>10.1016/j.jpowsour.2019.04.051</t>
  </si>
  <si>
    <t>WOS:000468250400032</t>
  </si>
  <si>
    <t>Cheng, Q; Li, AJ; Li, N; Li, S; Zangiabadi, A; Li, TD; Huang, WL; Li, AC; Jin, TW; Song, QQ; Xu, WH; Ni, N; Zhai, HW; Dontigny, M; Zaghib, K; Chuan, XY; Su, D; Yan, K; Yang, Y</t>
  </si>
  <si>
    <t>Cheng, Qian; Li, Aijun; Li, Na; Li, Shuang; Zangiabadi, Amirali; Li, Tai-De; Huang, Wenlong; Li, Alex Ceng; Jin, Tianwei; Song, Qingquan; Xu, Weiheng; Ni, Nan; Zhai, Haowei; Dontigny, Martin; Zaghib, Karim; Chuan, Xiuyun; Su, Dong; Yan, Kai; Yang, Yuan</t>
  </si>
  <si>
    <t>Stabilizing Solid Electrolyte-Anode Interface in Li-Metal Batteries by Boron Nitride-Based Nanocomposite Coating</t>
  </si>
  <si>
    <t>Solid-state Li-metal batteries are promising to improve both safety and energy density compared to conventional Li-ion batteries. However, various high-performance and low-cost solid electrolytes are incompatible with Li, which is indispensable for enhancing energy density. Here, we utilize a chemically inert and mechanically robust boron nitride (BN) film as the interfacial protection to preclude the reduction of Li1.3Al0.3Ti1.7(PO4)(3) (LATP) solid electrolyte by Li, which is validated by in situ transmission electron microscopy. When combined with similar to 1-2 mu m PEO polymer electrolyte at the Li/BN interface, Li/Li symmetric cells show a cycle life of over 500 h at 0.3 mA.cm(-2). In contrast, the same configuration with bare LATP dies after 81 h. The LiFePO4/LATP/BN/PEO/Li solid-state batteries show high capacity retention of 96.6% after 500 cycles. This study offers a general strategy to protect solid electrolytes that are unstable against Li and opens possibilities for adopting them in solid-state Li-metal batteries.</t>
  </si>
  <si>
    <t>Jin, Tianwei/JSK-2975-2023; Zaghib, Karim/AAJ-9070-2020; NI, Nan/AAN-8129-2020; Li, Shuang/NUQ-3556-2025; Li, Na/AAO-7841-2021; Li, Tai-De/F-8222-2012; Yang, Yuan/ABN-9163-2022; Su, Dong/A-8233-2013; Cheng, Qian/M-6702-2017</t>
  </si>
  <si>
    <t>Yang, Yuan/0000-0003-0264-2640; Li, Alex/0009-0001-5200-7576; Jin, Tianwei/0000-0002-4355-5474; Su, Dong/0000-0002-1921-6683; Li, Tai-De/0000-0003-0515-5135; Cheng, Qian/0000-0001-5510-2977</t>
  </si>
  <si>
    <t>JUN 19</t>
  </si>
  <si>
    <t>10.1016/j.joule.2019.03.022</t>
  </si>
  <si>
    <t>WOS:000472067900017</t>
  </si>
  <si>
    <t>Sun, K; Guo, PQ; Shang, XN; Fu, YJ; Cheng, P; Liu, QM; Weng, QH; Liu, DQ; He, DY</t>
  </si>
  <si>
    <t>Sun, Kai; Guo, Pengqian; Shang, Xiaonan; Fu, Yujun; Cheng, Pu; Liu, Qiming; Weng, Qunhong; Liu, Dequan; He, Deyan</t>
  </si>
  <si>
    <t>Mesoporous boron carbon nitride/graphene modified separators as efficient polysulfides barrier for highly stable lithium-sulfur batteries</t>
  </si>
  <si>
    <t>Lithium-sulfur batteries (LSBs) have drawn intense attention due to their high theoretical specific energy and low material cost. However, shuttle effect of the lithium polysulfides (LiPSs) dissolved in the electrolyte results in severe capacity fading and self-discharge. Herein, a multifunctional modifier composed of mesoporous boron carbon nitride and conductive graphene (BCN/G) has been developed to modify separator as an efficient barrier for LiPSs in LSBs. Benefiting from such a modified separator, LSBs exhibit improved cycling capacity and high rate capacities. The excellent electrochemical performances are mainly attributed to the strong chemical interactions between LiPSs and conductive BCN/G modifier, which have been confirmed by X-ray photoelectron spectroscopy analyses. Such a design of separator opens a new approach for high-performance LSBs.</t>
  </si>
  <si>
    <t>; Weng, Qunhong/G-9665-2014; Fu, Eugene/GPW-9238-2022; Liu, ziyi/HHM-8313-2022; Guo, Pengqian/KEI-7465-2024</t>
  </si>
  <si>
    <t>Liu, Qiming/0000-0002-3301-9264;</t>
  </si>
  <si>
    <t>10.1016/j.jelechem.2019.04.047</t>
  </si>
  <si>
    <t>WOS:000469907700005</t>
  </si>
  <si>
    <t>Li, DD; Ji, XX; Gong, XJ; Tsai, FC; Zhang, QC; Yao, L; Jiang, T; Li, RKY; Shi, HC; Luan, SF; Shi, D</t>
  </si>
  <si>
    <t>Li, Dandan; Ji, Xiaoxiao; Gong, Xianjing; Tsai, Fangchang; Zhang, Qunchao; Yao, Li; Jiang, Tao; Li, Robert K. Y.; Shi, Hengchong; Luan, Shifang; Shi, Dean</t>
  </si>
  <si>
    <t>The synergistic effect of poly(ethylene glycol)-borate ester on the electrochemical performance of all solid state Si doped-poly(ethylene glycol) hybrid polymer electrolyte for lithium ion battery</t>
  </si>
  <si>
    <t>Si doped-poly(ethylene glycol) (Si-PEG) hybrid polymer electrolyte with Si-O-C bonds in the main chain obtains high ionic conductivity even at room temperature because of the more flexible molecule chains. In this work, poly(ethylene glycol)-borate ester (B-PEG) is further covalent bonded into the crosslinked Si-PEG network to form the hybrid solid polymer electrolyte (HSPE). Comparing to previous works in which B-PEG is just added as a plasticizer, the Lewis acidity of boron (B) in the network of polymer chains is less shielded by the connected PEG chains, which is more effective to improve lithium ion transference number (t(Li)(+)) and reduce the interfacial polarization of LiFePO4/HSPE/Li cells by attracting the anions of lithium salt. The t(Li)(+) increases monotonously along with the increase of B-PEG contents in HSPE, while the ion conductivity has a peak value. When B-PEG content is 23.1 wt%, the highest ionic conductivity of the hybrid polymer electrolyte reaches up to 1.6 x 10(-4) S/cm and t(Li)(+) is 0.68 at 25 degrees C. And the initial capacity of LiFePO4/HSPE/Li cells are 120 mAh/g and 90 mAh/g at 0.5C and 1C at 25 degrees C. After 100 cycles under 1C at 25 degrees C, the capacity retention of the LiFePO4/HSPE/Li cell is 84%, which is higher than that of 65% for LiFePO4/PSPE/Li cell. (PSPE indicates the Si-PEG polymer electrolytes with B-PEG just as plasticizer).</t>
  </si>
  <si>
    <t>Tsai, Fang-Chang/F-5872-2014; LI, Yuchao/I-5247-2013; Zhou, Yeling/AAK-6264-2021; Shi, Dean/AAX-7566-2021</t>
  </si>
  <si>
    <t>Tsai, Fang-Chang/0000-0002-3189-4620; Shi, Hengchong/0000-0002-7549-0388; GONG, Xianjing/0000-0001-7860-6203</t>
  </si>
  <si>
    <t>10.1016/j.jpowsour.2019.03.081</t>
  </si>
  <si>
    <t>WOS:000466453700042</t>
  </si>
  <si>
    <t>Liu, QY; Yang, GJ; Liu, S; Han, M; Wang, ZX; Chen, LQ</t>
  </si>
  <si>
    <t>Liu, Qiuyan; Yang, Gaojing; Liu, Shuai; Han, Miao; Wang, Zhaoxiang; Chen, Liquan</t>
  </si>
  <si>
    <t>Trimethyl Borate as Film-Forming Electrolyte Additive To Improve High-Voltage Performances</t>
  </si>
  <si>
    <t>Enhancing the stability of the interface between the electrode and electrolyte at high voltages is crucial concerning the development of Li-ion batteries with high energy densities. Application of some additives in the electrolyte is not only the simplest but also the most effective way to form a protection layer against the electrolyte decomposition and the electrolyte corrosion to the electrode. Herein, we introduce trimethyl borate (TMB) as an additive of the commercial electrolyte to ameliorate the performance of a LiCoO2 cell charged to 4.5 V because its addition lowers the oxidation potential of the baseline electrolyte (3.75 V vs 4.25 V). By being oxidized preferentially and thus forming a compact protection layer of about 25 nm thick on the cathode surface, the additive suppresses the electrolyte decomposition and protects the LiCoO2 cathode against the structural degradation. The capacity retention of the cell after 100 cycles between 2.5 and 4.5 V at 0.1 C increases from 64 to 81% when 2.0 wt % TMB is added into the baseline electrolyte. The X-ray photoelectron spectroscopic results demonstrate the oxidation of TMB on the cathode and therefore the suppressed decomposition of the electrolyte. The results of the X-ray diffraction and Raman spectroscopy show the better structural maintenance of the LiCoO2 material in the TMB-containing electrolyte. The protection mechanism of the TMB additive was comprehensively studied.</t>
  </si>
  <si>
    <t>Chen, Liquan/AAG-1527-2019; Yang, Gaojing/GXH-0394-2022; Wang, Zhaoxiang/HDM-0365-2022</t>
  </si>
  <si>
    <t>Yang, Gaojing/0000-0002-9275-316X;</t>
  </si>
  <si>
    <t>10.1021/acsami.9b03417</t>
  </si>
  <si>
    <t>WOS:000468364500034</t>
  </si>
  <si>
    <t>Parida, R; Reddy, GN; Chakraborty, A; Giri, S; Jana, M</t>
  </si>
  <si>
    <t>Parida, Rakesh; Reddy, G. Naaresh; Chakraborty, Arindam; Giri, Santanab; Jana, Madhurima</t>
  </si>
  <si>
    <t>A New Class of Superhalogen Based Anion Receptor in Li-Ion Battery Electrolytes</t>
  </si>
  <si>
    <t>JOURNAL OF CHEMICAL INFORMATION AND MODELING</t>
  </si>
  <si>
    <t>In the search for new additives (anion receptors) in Li-ion battery electrolytes especially for LiPF6 and LiClO4, we have theoretically designed boron-based complexes by coupling with different heterocyclic ligands. The validation of the formation of modeled compounds involves reproduction of available experimentally reported absolute magnetic shielding and chemical shift values for different boron complexes. As compared to the commonly used tris(pentafluorophenyl) borane, our designed compounds suggest that the complexes like B[C2HBNO(CN)(2)](3), B[C2HBNS(CN)(2)](3), and B[C4H3BN(CN)(2)](3) are promising additives.</t>
  </si>
  <si>
    <t>GIRI, SANTANAB/AAY-6526-2021; Parida, Rakesh/LJL-4811-2024; Reddy, G./N-4560-2017; Jana, Madhurima/IWD-6482-2023</t>
  </si>
  <si>
    <t>Jana, Madhurima/0000-0002-6567-4490; Parida, Rakesh/0000-0003-1209-6866; Giri, Santanab/0000-0002-5155-8819</t>
  </si>
  <si>
    <t>1549-9596</t>
  </si>
  <si>
    <t>1549-960X</t>
  </si>
  <si>
    <t>10.1021/acs.jcim.9b00035</t>
  </si>
  <si>
    <t>WOS:000469884900041</t>
  </si>
  <si>
    <t>Xu, J; Yang, NJ; Heuser, S; Yu, SY; Schulte, A; Schönherr, H; Jiang, X</t>
  </si>
  <si>
    <t>Xu, Jing; Yang, Nianjun; Heuser, Steffen; Yu, Siyu; Schulte, Anna; Schoenherr, Holger; Jiang, Xin</t>
  </si>
  <si>
    <t>Achieving Ultrahigh Energy Densities of Supercapacitors with Porous Titanium Carbide/Boron-Doped Diamond Composite Electrodes</t>
  </si>
  <si>
    <t>The energy densities of most supercapacitors (SCs) are low, hindering their practical applications. To construct SCs with ultrahigh energy densities, a porous titanium carbide (TiC)/boron-doped diamond (BDD) composite electrode is synthesized on a titanium plate that is pretreated using a plasma electrolytic oxidation (PEO) technique. The porous and nanometer-thick TiO2 layer formed during PEO process prevents the formation of brittle titanium hydride and enhances the BDD growth during chemical vapor deposition processes. Meanwhile, the in situ conversion of TiO2 into TiC is achieved. Combination of this capacitor electrode with soluble redox electrolytes leads to the fabrication of high-performance SCs in both aqueous and organic solutions. In 0.05 m Fe(CN)(6)(3-/4-) + 1 m Na2SO4 aqueous solution, the capacitance is as high as 46.3 mF cm(-2) at a current density of 1 mA cm(-2); this capacitance remains 92% of its initial value even after 10 000 charge/discharge cycles; the energy density is up to 47.4 Wh kg(-1) at a power density of 2236 W kg(-1). The performance of constructed SCs is superior to most available SCs and some electrochemical energy storage devices like batteries. Such a porous capacitor electrode is thus promising for the construction of high-performance SCs for practical applications.</t>
  </si>
  <si>
    <t>; Jiang, Xin/H-9759-2016; Schönherr, Holger/D-5878-2014; Schonherr, Holger/D-5878-2014</t>
  </si>
  <si>
    <t>Yang, Nianjun/0000-0002-5558-2314; Schonherr, Holger/0000-0002-5836-5569</t>
  </si>
  <si>
    <t>10.1002/aenm.201803623</t>
  </si>
  <si>
    <t>WOS:000471338400006</t>
  </si>
  <si>
    <t>Yang, T; de Almeida, CMR; Han, DZ; Meng, LJ; Deng, JG; da Silva, EL; Santos, MC; Shi, SK</t>
  </si>
  <si>
    <t>Yang, Tao; Rodrigues de Almeida, Carlos Manuel; Han, Dezhi; Meng, Lijian; Deng, Jiguang; da Silva, E. L.; Santos, M. C.; Shi, Shikao</t>
  </si>
  <si>
    <t>RETRACTED: Hydrothermal synthesis and optimization of boron doped LiZr2(PO4)3Li-ion solid electrolyte (Retracted article. See vol. 512, 2020)</t>
  </si>
  <si>
    <t>2nd International Conference on Advanced Energy Materials (AEM) / 2nd International Conference on Solar Energy Materials (SEM) / 4th International Conference on Hydrogen Energy</t>
  </si>
  <si>
    <t>SEP 11-13, 2017</t>
  </si>
  <si>
    <t>Univ Surrey, Guildford, ENGLAND</t>
  </si>
  <si>
    <t>Univ Surrey</t>
  </si>
  <si>
    <t>Boron doped LiZr2(PO4)(3) electrolyte was successfully synthesized via facile hydrothermal synthesis. Our results show that boron doping mainly happens on the Zr-site of Li(1+x)Zr(2-x)Bx(PO4)(3) not the P-site of Li1+6xZr2(P1-xBxO4)(3). Rietveld refinement of the unit-cell parameters was performed, and it was verified by consideration of Vegard's law that it is possible to obtain phase purity up to x = 0.05 in Li(1+x)Zr(2-x)Bx(PO4)(3). This corresponds with phases present in the XRD data, which shows the additional presence of the low temperature (monoclinic) phase for the powder sintered at 1200 degrees C for 12 h of compositions with x &gt;= 0.075. The compositions inside the solid solution undergo the phase transition from triclinic to rhombohedral when heating from 25 to 100 degrees C. (C) 2018 Elsevier B.V. All rights reserved.</t>
  </si>
  <si>
    <t>; Deng, Jiguang/L-2954-2015; Meng, Lijian/B-1379-2010; Yang, Tao/N-1108-2013; Shi, Shikao/O-5174-2016; da Silva, Estelina/AAN-8297-2021; Han, Dezhi/E-4917-2011</t>
  </si>
  <si>
    <t>Meng, Lijian/0000-0001-6071-3502; Deng, Jiguang/0000-0001-7768-3688; Yang, Tao/0000-0002-4053-124X; Shi, Shikao/0000-0001-5363-5809; Han, Dezhi/0000-0002-2492-3446</t>
  </si>
  <si>
    <t>10.1016/j.apsusc.2018.02.158</t>
  </si>
  <si>
    <t>WOS:000458478700032</t>
  </si>
  <si>
    <t>Gu, TT; Wang, J; Tian, JH; Zheng, XJ; Lu, KW; Xin, Y; Wang, HB; Yang, RZ</t>
  </si>
  <si>
    <t>Gu, Tingting; Wang, Jin; Tian, Jing-Hua; Zheng, Xiangjun; Lu, Kewei; Xin, Yu; Wang, Haibo; Yang, Ruizhi</t>
  </si>
  <si>
    <t>Phosphorus and Boron Co-Doped Carbon Coating of LiNi0.5Mn1.5O4 Cathodes for Advanced Lithium-ion Batteries</t>
  </si>
  <si>
    <t>A facile approach for the preparation of phosphorus and boron co-doped carbon coated LiNi0.5Mn1.5O4, which is then applied as cathode materials for lithium ion batteries has been investigated. The effect of carbon coating amounts on the battery performance has been studied systematically. The 5 wt.% carbon coated sample exhibits the most outstanding performance, including an excellent capacity retention of 96.7% after 200 cycles, superior rate capability (111 mAhg(-1) capacity at 5 C), and significantly improved cycle life under 1 C. It is believed that the phosphorus and boron co-doped carbon coating layer could suppress side-reactions between the electrolyte and LiNi0.5Mn1.5O4, and alleviate the dissolution of manganese ions into the electrolyte effectively. Moreover, electrochemical impedance spectroscopy results reveal that the phosphorus and boron co-doped carbon coating on LiNi0.5Mn1.5O4 could reduce the charge transfer resistance significantly. The composite cathode therefore provides good conductivity as well as fast Li-ion diffusion, then resulting in better rate capability and cycle life, even under a high temperature of 55 degrees C.</t>
  </si>
  <si>
    <t>Wang, Jin/D-7600-2019; Gu, Tingting/E-9266-2018; Tian, Jing-Hua/F-1958-2011; Yang, Ruizhi/E-5419-2013</t>
  </si>
  <si>
    <t>Wang, Jin/0000-0003-4740-4304; Tian, Jing-Hua/0000-0003-4531-9878;</t>
  </si>
  <si>
    <t>10.1002/celc.201900411</t>
  </si>
  <si>
    <t>WOS:000477022600013</t>
  </si>
  <si>
    <t>Lacivita, V; Wang, Y; Bo, SH; Ceder, G</t>
  </si>
  <si>
    <t>Lacivita, Valentina; Wang, Yan; Bo, Shou-Hang; Ceder, Gerbrand</t>
  </si>
  <si>
    <t>Ab initio investigation of the stability of electrolyte/electrode interfaces in all-solid-state Na batteries</t>
  </si>
  <si>
    <t>All-solid-state batteries show great potential for achieving high energy density with less safety problems; however, (electro) chemical issues at the solid electrolyte/electrode interface may severely limit their performance. In this work, the electrochemical stability and chemical reactivity of a wide range of potential Na solid-state electrolyte chemistries were investigated using density functional theory calculations. In general, lower voltage limits are predicted for both the reduction and oxidation of Na compounds compared with those of their Li counterparts. The lower reduction limits for the Na compounds indicate their enhanced cathodic stability as well as the possibility of stable sodium metal cycling against a number of oxides and borohydrides. With increasing Na content (or chemical potential), improved cathodic stability but also reduced anodic stability are observed. An increase in the oxidation voltage is shown for Na polyanion systems, including borohydrides, NaSICON-type oxides, and aluminates, due to the covalent stabilization of the anions. In addition, the oxides exhibit remarkable chemical stability when in contact with various cathode materials (layered transition metal oxides and fluorophosphates), whereas the chalcogenides predictably display narrow electrochemical windows and high chemical reactivity. Our findings indicate some promising candidates for solid-state conductors and/or protective coating materials to enable the operation of high-energy-density all-solid-state Na batteries.</t>
  </si>
  <si>
    <t>; Wang, Yan/G-8061-2011; Wang, Yan/JAO-0699-2023; Ceder, Gerbrand/Y-2544-2019; Lacivita, Valentina/AAH-1211-2021</t>
  </si>
  <si>
    <t>Lacivita, Valentina/0000-0002-2800-4471; Wang, Yan/0000-0002-8648-2172;</t>
  </si>
  <si>
    <t>10.1039/c8ta10498k</t>
  </si>
  <si>
    <t>WOS:000464414200067</t>
  </si>
  <si>
    <t>Guo, TR; Qin, X; Gao, XJ; Hou, LN; Li, J; Li, X; Lei, T; Lv, J</t>
  </si>
  <si>
    <t>Guo, Tirong; Qin, Xue; Gao, Xuejiao; Hou, Lina; Li, Jia; Li, Xiang; Lei, Tao; Lv, Jun</t>
  </si>
  <si>
    <t>Boron-doped carbon microspheres as the catalyst for rechargeable Al-air batteries</t>
  </si>
  <si>
    <t>FULLERENES NANOTUBES AND CARBON NANOSTRUCTURES</t>
  </si>
  <si>
    <t>Three-dimensional mesoporous boron-doped carbon microspheres (B-CMs) were synthesized through a facile impregnation-calcination method. The B atoms introduced plentiful defects into the surfaces of CMs and were mainly presented in the form of boron carbide, which increases the specific surface area of the composite material and endows it with enhanced catalytic activity. A rechargeable aluminum (Al-)-air battery with B-CMs catalysts exhibited low overpotentials and its effective discharge capacity reached 300 mAh g(-1) at the current density of 50mA g(-1). The capacity of Al-air battery was maintained at 584 mAh g(-1) after 30 cycles.</t>
  </si>
  <si>
    <t>qin, xue/KQV-3701-2024</t>
  </si>
  <si>
    <t>1536-383X</t>
  </si>
  <si>
    <t>1536-4046</t>
  </si>
  <si>
    <t>10.1080/1536383X.2018.1562445</t>
  </si>
  <si>
    <t>WOS:000467941800003</t>
  </si>
  <si>
    <t>Fan, Y; Liu, D; Rahman, MM; Tao, T; Lei, WW; Mateti, S; Yu, BZ; Wang, JM; Yang, C; Chen, Y</t>
  </si>
  <si>
    <t>Fan, Ye; Liu, Dan; Rahman, Md Mokhlesur; Tao, Tao; Lei, Weiwei; Mateti, Srikanth; Yu, Baozhi; Wang, Jiemin; Yang, Chen; Chen, Ying</t>
  </si>
  <si>
    <t>Repelling Polysulfide Ions by Boron Nitride Nanosheet Coated Separators in Lithium-Sulfur Batteries</t>
  </si>
  <si>
    <t>Migration of cycling intermediates (polysulfides) from the cathode to anode through a separator is one of the main problems in current lithium-sulfur batteries that deteriorates cycling performance of the cell. Here we report a multifunctional separator, which is constructed by incorporation of functionalized boron nitride nanosheets with negatively charged groups onto a commercial Celgard separator. The boron nitride separator is capable to prevent polysulfide migration through the separator effectively due to strong ion repelling of negatively charged polysulfides by the negatively charged boron nitride nanosheets. The lithium-sulfur cell with a boron nitride separator exhibits an excellent long-term cycling stability up to 1000 cycles and a high capacity of 718 mA h g(-1) at a very high current of 7 C (1.18 A g(-1)). Such an excellent high rate capacity and long-term stability of the cell are certainly contributed by the boron nitride separators that inhibit internal redox shuttle and increase the diffusion coefficient of lithium ions.</t>
  </si>
  <si>
    <t>; Lei, Weiwei/HQY-5811-2023; Wang, Jiemin/ABE-5602-2020; tao, tao/LCD-4163-2024; Liu, Dan/AAG-9950-2020; Mateti, srikanth/ABA-8744-2020; Yu, Baozhi/IST-9330-2023; Chen, Ying/S-8795-2019</t>
  </si>
  <si>
    <t>Chen, Ying Ian/0000-0002-7322-2224; Fan, Ye/0000-0002-9964-5524; Mateti, srikanth/0000-0002-3888-6420; Yu, Bao Zhi/0000-0002-4401-7141; Rahman, Md Mokhlesur/0000-0002-4499-8277; Rahman, Mokhlesur M/0000-0003-0379-3686</t>
  </si>
  <si>
    <t>10.1021/acsaem.8b02205</t>
  </si>
  <si>
    <t>WOS:000465644600035</t>
  </si>
  <si>
    <t>Rao, DW; Liu, XJ; Yang, H; Zhang, LY; Qiao, GJ; Shen, XQ; Yan, XH; Wang, GM; Lu, RF</t>
  </si>
  <si>
    <t>Rao, Dewei; Liu, Xiaojing; Yang, Huan; Zhang, Linyan; Qiao, Guanjun; Shen, Xiangqian; Yan Xiaohong; Wang, Gongming; Lu, Ruifeng</t>
  </si>
  <si>
    <t>Interfacial competition between a borophene-based cathode and electrolyte for the multiple-sulfide immobilization of a lithium sulfur battery</t>
  </si>
  <si>
    <t>The practical applications of lithium-sulfur batteries (LSBs) are mainly hindered by the poor conductivity of the sulfur cathode, polysulfide shuttle and volumetric variation during cycling. To this end, host materials with high conductivity and excellent polysulfide absorbability are extensively employed as the loading scaffolds for sulfur in LSBs. In the present study, three types of borophene nanosheets with metallicity are theoretically evaluated as the hosts for sulfur cathodes. The polarization of surfaces, conductivity, polysulfide immobilization, and the interfacial competition between borophenes and electrolytes are particularly discussed. The strong binding of polysulfides onto borophenes will block the shuttle effect of polysulfides, due to the strong Coulomb interactions between the B and S atoms, even considering the competitive effect of the electrolytes and under a high sulfur loading. The calculated results clearly indicate that borophene-based materials with polarized and highly conductive surfaces hold great promise for LSBs.</t>
  </si>
  <si>
    <t>Liu, Xiao/HGF-0296-2022; Wang, Gongming/AFA-9388-2022; Rao, Dewei/J-1021-2014</t>
  </si>
  <si>
    <t>Wang, Gongming/0000-0003-0453-4002; Rao, Dewei/0000-0003-0410-5259</t>
  </si>
  <si>
    <t>10.1039/c8ta12176a</t>
  </si>
  <si>
    <t>WOS:000463814800049</t>
  </si>
  <si>
    <t>An effective performance of F-Doped hexagonal boron nitride nanosheets as cathode material in magnesium battery</t>
  </si>
  <si>
    <t>A facile method was developed to prepare fluorinated hexagonal boron nitride nanosheets (F-h-BNNSs) through F-doping into the nanosheets of boron nitride via chemical solution process with fluoroboric acid. Prepared F-h-BNNSs were analyzed by using different analytical instruments such as X-ray photoelectron spectroscopy, field emission scanning electron microscopy, energy dispersive X-ray spectroscopy and Xray diffraction. The electrochemical analysis was conducted by using cyclic voltammetry, electrochemical impedance spectroscopy and galvanostatic charge/discharge. It was observed that the effective performance of F-doped BN nanosheets as cathode material for magnesium batteries, which exhibit a reversible capacity of 50 mAh.g-1 and good capacity retention over the first 80 cycles. The effective performance of F-doped BN nanosheets are attributed to the unique structure and synergetic effects between layered BN.</t>
  </si>
  <si>
    <t>10.1016/j.matchemphys.2019.01.051</t>
  </si>
  <si>
    <t>WOS:000460710500048</t>
  </si>
  <si>
    <t>Huang, SQ; Cui, ZL; Qiao, LX; Xu, GJ; Zhang, JJ; Tang, K; Liu, XC; Wang, QL; Zhou, XH; Zhang, BT; Cui, GL</t>
  </si>
  <si>
    <t>Huang, Suqi; Cui, Zili; Qiao, Lixin; Xu, Gaojie; Zhang, Jianjun; Tang, Kun; Liu, Xiaochen; Wang, Qinglei; Zhou, Xinhong; Zhang, Botao; Cui, Guanglei</t>
  </si>
  <si>
    <t>An in-situ polymerized solid polymer electrolyte enables excellent interfacial compatibility in lithium batteries</t>
  </si>
  <si>
    <t>Due to the ex-situ assembly technology of solid-state electrolyte, solid-state lithium batteries commonly show a poor electrolyte/electrode interfacial contact. Herein, we report an in-situ polymerized poly (tetrahydrofuran) (PTHF)-based solid polymer electrolyte (PTSPE) to resolve the poor interfacial contact problem in solid state lithium batteries. The in-situ formed PTSPE exhibits a high ionic conductivity (2.3 x 10(-4) S cm(-1)) and a wide electrochemical window (4.5 V) at 60 degrees C. More importantly, the in-situ formed PTSPE improves interfacial compatibility remarkably, suppressing the growth of lithium dendrites. It is revealed that boron trifluoride initiator works as functional additive to form LiF and B-O species at interface layer of lithium metal anode, alleviating lithium dendrites growth and undesired parasitic reactions. An as-assembled LiFePO4/Li cell employing this in-situ formed PTSPE delivers a high discharge capacity of 142.3 mA h g(-1) even after 100 cycles. The aforementioned results suggest that the in-situ polymerization technology of solid-state electrolyte is very promising for high-performance solid-state lithium batteries. (C) 2019 Elsevier Ltd. All rights reserved.</t>
  </si>
  <si>
    <t>; Tang, Kun/GSD-3218-2022; liu, xiaochen/KJL-7936-2024; Zhang, Botao/H-7712-2016; Xu, Gaojie/GOK-2252-2022; Wang, Qinglei/AAA-5305-2019; Cui, Guanglei/D-4816-2011; Qiao, Lixin/LKN-4283-2024</t>
  </si>
  <si>
    <t>Qiao, Lixin/0000-0003-1892-5477; Wang, Qinglei/0000-0001-6300-439X;</t>
  </si>
  <si>
    <t>10.1016/j.electacta.2019.01.039</t>
  </si>
  <si>
    <t>WOS:000457551900088</t>
  </si>
  <si>
    <t>Hu, XF; Joo, PH; Wang, H; Matios, E; Wang, CL; Luo, JM; Lu, X; Yang, KS; Li, WY</t>
  </si>
  <si>
    <t>Hu, Xiaofei; Joo, Paul Hyunggyu; Wang, Huan; Matios, Edward; Wang, Chuanlong; Luo, Jianmin; Lu, Xuan; Yang, Kesong; Li, Weiyang</t>
  </si>
  <si>
    <t>Nip the Sodium Dendrites in the Bud on Planar Doped Graphene in Liquid/Gel Electrolytes</t>
  </si>
  <si>
    <t>Sodium (Na) metal is the most promising alternative anode to metallic lithium for high-energy batteries due to the low cost and high abundance of Na resources, but it suffers from severe dendritic/mossy growth at high current densities. Understanding Na nucleation/growth mechanism in different electrolyte systems is the key to tackling this issue but is complicated by the structural complexities of existing substrates for Na plating/stripping. Herein, well-defined planar doped graphene substrates are synthesized as model plating platforms to unravel a binding energy dominant Na nucleation-growth mode. The dopants (e.g., boron) in doped graphene and the regions close to the dopants possess high binding energies with Na atoms, providing abundant preferential nucleation sites and contributing to uniform Na plating/stripping. Accordingly, the boron-doped graphene regulated Na anode exhibits long-term stability at high current densities in both liquid and polymer electrolytes. The results enhance the understanding of Na nucleation/growth for stabilizing Na metal batteries.</t>
  </si>
  <si>
    <t>Wang, Chuanlong/J-2357-2019; Luo, Jianmin/AAG-6460-2019; Yang, Kesong/U-2240-2019; Li, Weiyang/N-8753-2015; Hu, Xiaofei/AAB-6959-2021; Matios, Edward/M-8899-2019</t>
  </si>
  <si>
    <t>Yang, Kesong/0000-0002-9691-0636; wang, huan/0000-0001-8419-8402; Hu, Xiaofei/0000-0002-9924-2776</t>
  </si>
  <si>
    <t>FEB 28</t>
  </si>
  <si>
    <t>10.1002/adfm.201807974</t>
  </si>
  <si>
    <t>WOS:000459800400008</t>
  </si>
  <si>
    <t>Xia, Q; Wu, JY; Shi, QX; Xiang, X; Li, XW; Pei, HJ; Zeng, HX; Xie, XL; Ye, YS</t>
  </si>
  <si>
    <t>Xia, Qing; Wu, Jingyi; Shi, Qing Xuan; Xiang, Xiao; Li, Xiongwei; Pei, Huijie; Zeng, Hongxia; Xie, Xiaolin; Ye, Yun Sheng</t>
  </si>
  <si>
    <t>UV-curable boron nitride nanosheet/ionic liquid-based crosslinked composite polymer electrolyte in lithium metal batteries</t>
  </si>
  <si>
    <t>Crosslinked polymer electrolyte (CPE) and composite polymer electrolyte are two of the most promising polymer electrolyte (PE) systems for improving the resistance to Li dendrite growth, but the trade-off and agglomerated effects of these PEs hinder the development of safe Li metal battery (LMB). Herein, a new class of crosslinked composite polymer electrolyte (CCPE) with the combination of confined ionic liquid (IL) polymer network and homogeneously dispersed boron nitride nanosheet (BNNS) for LMB is reported. This UV-curable CCPE is formed on electrode via in-situ crosslinking of a precursor solution in a rapid and solvent-free step, and the assembly process of LMBs and interfacial contact/adhesion are maximum optimized. The critical point of this CCPE is that a facile channel for Li+ transfer and a robust skeleton for confining IL and strengthening interface are simultaneously achieved via the introduction of network structure and 2D BNNS in PE. Consequently, the LiFePO4 vertical bar Li batteries involving CCPE show a great improvement in the charge-discharge cycling stability and rate performance compared with those of the cells with pure CPE. This study offers an effective and facile strategy for fabricating dendrite-resistant CCPE with potential applicability in next-generation energy storage systems.</t>
  </si>
  <si>
    <t>Wu, Jingyi/AAV-8145-2021; Ye, YunSheng/M-5092-2017; Xie, Xiaolin/H-4993-2014; ye (Ye), yun sheng (YunSheng)/M-5092-2017</t>
  </si>
  <si>
    <t>ye (Ye), yun sheng (YunSheng)/0000-0002-2351-1845</t>
  </si>
  <si>
    <t>10.1016/j.jpowsour.2019.01.004</t>
  </si>
  <si>
    <t>WOS:000458709900034</t>
  </si>
  <si>
    <t>Sun, ZH; Xu, LQ; Dong, CQ; Zhang, HT; Zhang, MT; Liu, YY; Zhou, Y; Han, Y; Chen, YS</t>
  </si>
  <si>
    <t>Sun, Zhenhe; Xu, Lingqun; Dong, Caiqiao; Zhang, Hongtao; Zhang, Mingtao; Liu, Yiyang; Zhou, Ying; Han, Yu; Chen, Yongsheng</t>
  </si>
  <si>
    <t>Enhanced cycling stability of boron-doped lithium-rich layered oxide cathode materials by suppressing transition metal migration</t>
  </si>
  <si>
    <t>Lithium-rich layered oxide (LLO) has been considered as an attractive candidate due to its high capacitive performance. However, its practical applications are hindered by voltage/capacity fading, low initial coulombic efficiency, and non-negligible Mn2+ dissolution. Herein, we have prepared boron-doped LLO (LLO@LBO) with excellent cycle/voltage retention and improved initial coulombic efficiency by a facile synthesis process. First-principles calculations and ex situ XRD have clarified that the incorporation of boron atoms in the tetrahedral interstices can effectively impede the migration channel of the transition metal ions. The strong B-O bonds can enhance the structural stability of LLO@LBO. Furthermore, the boron doping technique can suppress Mn2+ dissolution in LLO@LBO during cycling and improve the life time of the cathode and anode electrodes simultaneously. In the lithium ion battery cathode tests, the LLO@LBO delivers a reversible capacity of 293.9 mA h g(-1) with a capacity retention of 89.5% at 0.5C after 100 cycles. The full cell test shows an initial energy density of 472.1 W h kg(-1) with excellent energy retention of 84.1% after 150 cycles.</t>
  </si>
  <si>
    <t>; Zhang, Mingtao/H-9449-2016; Chen, Yongsheng/D-3256-2011</t>
  </si>
  <si>
    <t>Zhang, Mingtao/0000-0001-9588-9751; Chen, Yongsheng/0000-0003-1448-8177</t>
  </si>
  <si>
    <t>10.1039/c8ta10786f</t>
  </si>
  <si>
    <t>WOS:000458682100043</t>
  </si>
  <si>
    <t>Song, SD; Yu, LM; Ruan, YL; Sun, J; Chen, BT; Xu, W; Zhang, JG</t>
  </si>
  <si>
    <t>Song, Shidong; Yu, Limei; Ruan, Yanli; Sun, Jian; Chen, Butian; Xu, Wu; Zhang, Ji-Guang</t>
  </si>
  <si>
    <t>Highly efficient Ru/B4C multifunctional oxygen electrode for rechargeable Li-O2 batteries</t>
  </si>
  <si>
    <t>Irreversible parasitic reactions and the resulting accumulation of insulating side products are main barriers for practical application of rechargeable lithium-oxygen (Li-O-2) batteries. Therefore, it is critical to develop multifunctional oxygen electrodes suitable for oxygen reduction reaction, oxygen evolution reaction, and decomposition of side reaction products. Here we report the application of ultrafine ruthenium on boron carbide (Ru/B4C) with highly efficient multifunctional activities as carbon-free oxygen electrodes for Li-O-2 batteries. Li2CO3 and LiOH can be completely decomposed by Ru/B4C at 4.0 V and 4.1 V, respectively, within the stability window of the electrolyte. A Li-O-2 battery using the Ru/B4C oxygen electrode achieves low overpotentials for Li-O-2 reactions, and excellent cycling performance under the capacities of 300 and 500 mAh g(Ru/B4c)(-1). In-situ gas chromatography analysis reveals that O-2 is the major gas product during charging. Only a negligible amount of CO2 is observed in the first charging process. Therefore, Ru/B4C can be a very promising oxygen-electrode material for Li-O-2 batteries and Li-air batteries operated in ambient air.</t>
  </si>
  <si>
    <t>Zhang, Ji-Guang/AGM-3942-2022; Chen, Butian/KMX-5710-2024; Xu, Wu/AGU-0925-2022; Ruan, YL/B-9813-2009</t>
  </si>
  <si>
    <t>Chen, Butian/0000-0002-9268-7916; Xu, Wu/0000-0002-2685-8684;</t>
  </si>
  <si>
    <t>10.1016/j.jpowsour.2018.12.016</t>
  </si>
  <si>
    <t>WOS:000457512700002</t>
  </si>
  <si>
    <t>Yu, SY; Xu, J; Kato, H; Yang, NJ; Schulte, A; Schönherr, H; Jiang, X</t>
  </si>
  <si>
    <t>Yu, Siyu; Xu, Jing; Kato, Hiromitsu; Yang, Nianjun; Schulte, Anna; Schoenherr, Holger; Jiang, Xin</t>
  </si>
  <si>
    <t>Phosphorus-Doped Nanocrystalline Diamond for Supercapacitor Application</t>
  </si>
  <si>
    <t>Heavily phosphorus-doped nanocrystalline diamond (P-NCD) has been grown by using a plasma-enhanced chemical vapor deposition technique and further applied as an electrode for the construction of supercapacitors. This P-NCD electrode shows a capacitance of 11.40 mu Fcm(-2 )in 1.0 M Na2SO4, at a scan rate of 10 mVs(-1) and behaves as a n-type semiconductor electrode in redox-active electrolyte of 0.05 M Fe(CN)(6)(3-/4-)+1.0 M Na2SO4 . The post-thermal treatment of as-grown P-NCD films in vacuum at high temperatures for several hours leads to the achievement of much higher capacitances. At the scan rates of 10 and 20 mVs(-1 ), the capacitances are up to 2.01 and 63.56 mFcm(-2) for an electrical double layer capacitor and a pseudocapacitor, respectively. Such high capacitances originate from the improved electrical conductivity, varied surface state and surface functional groups, and changed content of noncarbon diamond inside the P-NCD films during the annealing treatment. Therefore, P-NCD films are quite promising as an electrode material for supercapacitor applications.</t>
  </si>
  <si>
    <t>; Schönherr, Holger/D-5878-2014; Kato, Hiromitsu/M-1835-2018; Schonherr, Holger/D-5878-2014; Jiang, Xin/H-9759-2016</t>
  </si>
  <si>
    <t>Yang, Nianjun/0000-0002-5558-2314; Schonherr, Holger/0000-0002-5836-5569;</t>
  </si>
  <si>
    <t>10.1002/celc.201801543</t>
  </si>
  <si>
    <t>WOS:000461580800016</t>
  </si>
  <si>
    <t>Fisher, SP; Tomich, AW; Guo, JC; Lavallo, V</t>
  </si>
  <si>
    <t>Fisher, Steven P.; Tomich, Anton W.; Guo, Juchen; Lavallo, Vincent</t>
  </si>
  <si>
    <t>Teaching an old dog new tricks: new directions in fundamental and applied closo-carborane anion chemistry</t>
  </si>
  <si>
    <t>This feature article covers new directions in the fundamental and applied chemistry of the closo-carborane anions [HCB11H11](-) and [HCB9H9](-), as well as some related chemistry with the dicarbolide ion [H2C2B9](2-). Specifically the manuscript will focus on summarizing the authors' as well as related novel contributions to the field. The application of such clusters as solution based electolytes for Mg batteries and related materials for ionic liquids will be discussed. In addition, the preparation of heterocycles and radicals fused to carborane anions will be discussed as well as various novel chemical transformations. Furthermore, new developments in anionic carboranyl phosphines and N-heterocyclic carbenes in the context of catalysis will be summarized.</t>
  </si>
  <si>
    <t>Guo, Juchen/0000-0001-9829-1202; Fisher, Steven/0000-0002-2519-1873</t>
  </si>
  <si>
    <t>FEB 11</t>
  </si>
  <si>
    <t>10.1039/c8cc09663e</t>
  </si>
  <si>
    <t>WOS:000457875500001</t>
  </si>
  <si>
    <t>Dong, DR; Zhang, H; Zhou, B; Sun, YF; Zhang, HL; Cao, M; Li, JB; Zhou, H; Qian, H; Lin, ZY; Chen, HW</t>
  </si>
  <si>
    <t>Dong, Derui; Zhang, Hui; Zhou, Bin; Sun, Yufei; Zhang, Hailian; Cao, Min; Li, Jubai; Zhou, Han; Qian, Hao; Lin, Zhiyong; Chen, Hongwei</t>
  </si>
  <si>
    <t>Porous covalent organic frameworks for high transference number polymer-based electrolytes</t>
  </si>
  <si>
    <t>While solid polymer electrolytes are poised to be the key component of next-generation solid-state batteries, the low Li+ transference number of the polymer electrolytes limits their practical applications. Here, porous boron-containing covalent organic frameworks with different surface areas were synthesized and employed as functional additives for enhancing the Li+ transference number of the polymer electrolytes. The boron-containing frameworks enable strong adsorption of the anions of the lithium salt, leading to a significantly enhanced Li+ transference number of the polymer electrolyte containing COF additives. It is observed that solid-state cells assembled with the COF-containing polymer electrolytes exhibited remarkably decreased overpotentials and enhanced rate performances, which opens up new ways to apply porous organics in next-generation solid-state batteries.</t>
  </si>
  <si>
    <t>; zhou, bin/AAE-7601-2019; Zhou, Han/ISU-2803-2023</t>
  </si>
  <si>
    <t>Chen, Hongwei/0000-0002-1401-9680; Zhang, Hui/0000-0003-2171-4881</t>
  </si>
  <si>
    <t>FEB 4</t>
  </si>
  <si>
    <t>10.1039/c8cc08725c</t>
  </si>
  <si>
    <t>WOS:000458546700019</t>
  </si>
  <si>
    <t>Kar, M; Tutusaus, O; MacFarlane, DR; Mohtadi, R</t>
  </si>
  <si>
    <t>Kar, Mega; Tutusaus, Oscar; MacFarlane, Douglas R.; Mohtadi, Rana</t>
  </si>
  <si>
    <t>Novel and versatile room temperature ionic liquids for energy storage</t>
  </si>
  <si>
    <t>Due to their high glass transition temperatures, ionic liquids based on closo-boron clusters have been long discounted from consideration in energy storage applications. Here, we report a strategy that resulted in a novel family of closo-boron-cluster based room temperature ionic liquids (RTILs). Their very low glass transition temperatures, high cathodic and anodic stabilities and compatibility with Li and Mg metals make them excellent candidates as electrolytes for rechargeable batteries and hybrid devices.</t>
  </si>
  <si>
    <t>; MacFarlane, Douglas/A-9642-2008; MOHTADI, RANA/AAF-7063-2021; Kar, Mega/AAB-7357-2020; Tutusaus, Oscar/G-4218-2012</t>
  </si>
  <si>
    <t>Tutusaus, Oscar/0000-0002-9839-8795; Kar, Mega/0000-0003-4927-6254; MOHTADI, RANA/0000-0002-1203-3809; MacFarlane, Douglas/0000-0001-5963-9659;</t>
  </si>
  <si>
    <t>10.1039/c8ee02437e</t>
  </si>
  <si>
    <t>WOS:000459741700029</t>
  </si>
  <si>
    <t>Lowe, SE; Shi, G; Zhang, YB; Qin, JD; Wang, SJ; Uijtendaal, A; Sun, JQ; Jiang, LX; Jiang, SY; Qi, DC; Al-Mamun, M; Liu, PR; Zhong, YL; Zhao, HJ</t>
  </si>
  <si>
    <t>Lowe, Sean E.; Shi, Ge; Zhang, Yubai; Qin, Jiadong; Wang, Shujun; Uijtendaal, Alexander; Sun, Jiqing; Jiang, Lixue; Jiang, Shuaiyu; Qi, Dongchen; Al-Mamun, Mohammad; Liu, Porun; Zhong, Yu Lin; Zhao, Huijun</t>
  </si>
  <si>
    <t>Scalable Production of Graphene Oxide Using a 3D-Printed Packed-Bed Electrochemical Reactor with a Boron-Doped Diamond Electrode</t>
  </si>
  <si>
    <t>Although graphene oxide (GO) has shown enduring popularity in the research community, its synthesis remains cost prohibitive for many of its demonstrated applications. While significant progress has been made on developing an electrochemical route to GO, existing methods have key limitations regarding their cost and scalability. To overcome these challenges, we employ a combination of commercially available fused-deposition-modeling-based 3D printing and highly robust boron-doped diamond with a wide electrochemical potential window to fabricate a scalable packed-bed electrochemical reactor for GO production. The scalability of the reactor along the vertical and lateral dimensions was systematically demonstrated to facilitate its eventual industrial application. Our current reactor is cost-effective and capable of producing electrochemically derived GO (EGO) on a multiple-gram scale. By oxidizing flake graphite directly in an 11.6 M sulfuric acid electrolyte, the production of EGO was streamlined to a one-step electrochemical reaction, followed by a simple water-wash purification. Almost all of the converted graphite oxide can be recovered, and the final mass yield is typically 155% of the starting graphite material. The as-produced EGO is dispersible in water and other polar organic solvents (e.g., ethanol and dimethylformamide) and can be exfoliated down to predominantly single-layered GO. Through a detailed study of the product intermediates, the graphite was found to first form a stage III or higher graphite intercalation compound, followed by electrochemical oxidation proceeding from the top of the packed graphite bed down. The EGO can be easily deoxygenated with low-temperature thermal annealing (&lt;200 degrees C) to produce thermally converted EGO with significantly enhanced conductivity, and its promising application as a conductive nanofiller in lithium-ion battery cathodes was demonstrated. The simplicity, cost-effectiveness, and unique EGO properties make our current method a viable contender for large-scale synthesis of GO.</t>
  </si>
  <si>
    <t>Wang, Shujun/P-6415-2014; Jiang, Shuaiyu/HPE-2291-2023; Liu, Porun/U-3995-2017; Zhao, Huijun/H-5882-2015; Wang, Dr. Shujun/P-6415-2014; Zhong, Yu Lin/J-5697-2016; Al-Mamun, M./B-2786-2015; Sun, Jiqing/KVY-6313-2024; Qin, Jiadong/GLT-6335-2022; Al-Mamun, Mohammad/B-2786-2015; Qi, Dongchen/A-7052-2008</t>
  </si>
  <si>
    <t>Liu, Porun/0000-0002-0046-701X; Jiang, Shuaiyu/0000-0002-3002-8448; Zhao, Huijun/0000-0002-3028-0459; Wang, Dr. Shujun/0000-0003-4377-2791; Zhong, Yu Lin/0000-0001-6741-3609; Al-Mamun, M./0000-0001-8201-4278; Qi, Dongchen/0000-0001-8466-0257</t>
  </si>
  <si>
    <t>10.1021/acsanm.8b02126</t>
  </si>
  <si>
    <t>WOS:000469409900028</t>
  </si>
  <si>
    <t>Yue, HY; Yang, YE; Xiao, Y; Dong, ZY; Cheng, SG; Yin, YH; Ling, C; Yang, WG; Yu, YH; Yang, ST</t>
  </si>
  <si>
    <t>Yue, Hongyun; Yang, Yange; Xiao, Yan; Dong, Zhiyuan; Cheng, Shuguo; Yin, Yanhong; Ling, Chen; Yang, Weiguang; Yu, Yanhao; Yang, Shuting</t>
  </si>
  <si>
    <t>Boron additive passivated carbonate electrolytes for stable cycling of 5 V lithium- metal batteries</t>
  </si>
  <si>
    <t>The limitation of a high-voltage lithium (Li) metal battery lies in the absence of a robust electrolyte that can endure oxidation loss at a high-voltage cathode and suppress the dendrite growth at a Li metal anode. The challenge becomes especially serious when the cathode voltage reaches 5 V and above. Here, we developed an additive-containing electrolyte that can concurrently stabilize the Li metal anode and the 5 V class LiNi0.5Mn1.5O4 (LNMO) cathode by introducing tris(pentafluorophenyl)borane (TPFPB) to the traditional ethylene carbonate/ethyl methyl carbonate (EC/EMC) electrolyte. The boron element and pentafluorobenzene in TPFPB induce preferential formation of a steady and smooth interfacial layer on both the Li and LNMO electrodes, subsequently preventing the decomposition of the electrolyte, impeding the pulverization of the cathode electrode, and retarding the growth of Li dendrites. Accordingly, we accomplish high average coulombic efficiency of &gt;99.2% and superior capacity retention of 90% after 500 cycles at 0.5C with charge cut-off voltage of 4.95 V, which is one of the highest results for cycling among 5 V-class Li metal batteries with 90% capacity retention. This study provides essential technological implications for the electrolyte design for high-voltage Li-metal batteries.</t>
  </si>
  <si>
    <t>Yue, Hongyun/F-3713-2016; Yu, Yanhao/N-6906-2018; Yu, Yanhao/ABE-7538-2020; Dong, ZhiYuan/HTR-9651-2023; Shuting, Yang/A-1363-2016</t>
  </si>
  <si>
    <t>Yu, Yanhao/0000-0003-2494-3006; yang, shuting/0000-0001-7841-0016; dong, zhiyuan/0000-0003-0332-090X;</t>
  </si>
  <si>
    <t>10.1039/c8ta09380f</t>
  </si>
  <si>
    <t>WOS:000455124900014</t>
  </si>
  <si>
    <t>Waqas, M; Ali, S; Lv, WQ; Chen, DJ; Boateng, B; He, WD</t>
  </si>
  <si>
    <t>Waqas, Muhammad; Ali, Shamshad; Lv, Weiqiang; Chen, Dongjiang; Boateng, Bismark; He, Weidong</t>
  </si>
  <si>
    <t>High-Performance PE-BN/PVDF-HFP Bilayer Separator for Lithium-Ion Batteries</t>
  </si>
  <si>
    <t>Highly efficient and thermally stable polyethylene-hexagonal boron nitride/poly(vinylidene fluoride-hexafluoropropylene) (PE-BN/PVDF-HFP) bilayer separator with microporous structure is prepared, for the first time with a wet chemistry method. The incorporation of hexagonal boron nitride particles in PE matrix promotes the interfacial interaction between PE and PVDF-HFP layers to prevent separation of layers and supresses dendrite growth owing to the strong adsorption energy with polymers, large interactive surface area, and superior mechanical capability. The PVDF-HFP layer provides additional thermally stable backbone while its inherent hydrophilic property and highly porous structure improve the overall performance of the separator. The bilayer separator owns a high electrolyte uptake of 348% and a thermal shrinkage of 6.6% upon annealing at 140 degrees C for 1 h. The lithium iron phosphate/lithium cell with the as-prepared separator owns a high ionic conductivity up to 4.4 x 10(-4) S cm(-1), and a room-temperature capacity of 120 mAh g(-1) at 2 C with a 95% capacity retention after 500 cycles and a capability of 108 mAh g(-1) at 4 C. The PE-BN/PVDF-HFP separator is a promising alternative of traditional multilayer separators for high-performance lithium-ion batteries.</t>
  </si>
  <si>
    <t>Ali, Shamshad/Y-7874-2018; Chen, Dongjiang/NRB-3115-2025; Waqas, Muhammad/E-3597-2019; Lv, Weiqiang/B-3578-2014</t>
  </si>
  <si>
    <t>Ali, Shamshad/0000-0001-9488-5070; Waqas, Muhammad/0000-0002-5707-7389;</t>
  </si>
  <si>
    <t>10.1002/admi.201801330</t>
  </si>
  <si>
    <t>WOS:000459631900014</t>
  </si>
  <si>
    <t>Cuan, J; Zhou, Y; Zhou, TF; Ling, SG; Rui, K; Guo, ZP; Liu, HK; Yu, XB</t>
  </si>
  <si>
    <t>Cuan, Jing; Zhou, You; Zhou, Tengfei; Ling, Shigang; Rui, Kun; Guo, Zaiping; Liu, Huakun; Yu, Xuebin</t>
  </si>
  <si>
    <t>Borohydride-Scaffolded Li/Na/Mg Fast Ionic Conductors for Promising Solid-State Electrolytes</t>
  </si>
  <si>
    <t>Borohydride solid-state electrolytes with room-temperature ionic conductivity up to approximate to 70 mS cm(-1) have achieved impressive progress and quickly taken their place among the superionic conductive solid-state electrolytes. Here, the focus is on state-of-the-art developments in borohydride solid-state electrolytes, including their competitive ionic-conductive performance, current limitations for practical applications in solid-state batteries, and the strategies to address their problems. To open, fast Li/Na/Mg ionic conductivity in electrolytes with BH4- groups, approaches to engineering borohydrides with enhanced ionic conductivity, and later on the superionic conductivity of polyhedral borohydrides, their correlated conductive kinetics/thermodynamics, and the theoretically predicted high conductive derivatives are discussed. Furthermore, the validity of borohydride pairing with coated oxides, sulfur, organic electrodes, MgH2, TiS2, Li4Ti5O12, electrode materials, etc., is surveyed in solid-state batteries. From the viewpoint of compatible cathodes, the stable electrochemical windows of borohydride solid-state electrolytes, the electrode/electrolyte interface behavior and battery device design, and the performance optimization of borohydride-based solid-state batteries are also discussed in detail. A comprehensive coverage of emerging trends in borohydride solid-state electrolytes is provided and future maps to promote better performance of borohydride SSEs are sketched out, which will pave the way for their further development in the field of energy storage.</t>
  </si>
  <si>
    <t>Liu, Hua/G-1349-2012; Zhou, Tengfei/A-8704-2015; Guo, Zaiping/O-9848-2018; Yu, Xuebin/E-9785-2012; Zhou, You/C-6864-2013; RUI, KUN/Y-4075-2018</t>
  </si>
  <si>
    <t>Zhou, Tengfei/0000-0002-7364-0434; Guo, Zaiping/0000-0003-3464-5301; Yu, Xuebin/0000-0002-4035-0991; Zhou, You/0000-0003-2482-260X; RUI, KUN/0000-0002-9921-5284</t>
  </si>
  <si>
    <t>10.1002/adma.201803533</t>
  </si>
  <si>
    <t>WOS:000454786200012</t>
  </si>
  <si>
    <t>Hashigami, S; Yoshimi, K; Kato, Y; Yoshida, H; Inagaki, T; Tatematsu, M; Deguchi, H; Hashinokuchi, M; Doi, T; Inaba, M</t>
  </si>
  <si>
    <t>Hashigami, Satoshi; Yoshimi, Kei; Kato, Yukihiro; Yoshida, Hiroyuki; Inagaki, Toru; Tatematsu, Masamoto; Deguchi, Hiroshi; Hashinokuchi, Michihiro; Doi, Takayuki; Inaba, Minoru</t>
  </si>
  <si>
    <t>Hard X-ray Photoelectron Spectroscopy Analysis of Surface Chemistry of Spray Pyrolyzed LiNi0.5Co0.2Mn0.3O2 Positive Electrode Coated with Lithium Boron Oxide</t>
  </si>
  <si>
    <t>ELECTROCHEMISTRY</t>
  </si>
  <si>
    <t>It is known that the deterioration of LiNi0.5Co0.2Mn0.3O2 is suppressed by inhibiting direct contact between the cathodes and the electrolyte by surface coating. In order to evaluate the influence of the electrode/electrolyte interface degradation, it is necessary to eliminate the influence of particle cracking. In this study, LiNi0.5Co0.2Mn0.3O2 particles with a small size (500 nm to 1 mu m) without crack formation after charge-discharge cycling were synthesized by a spray pyrolysis method. Hard X-ray photoelectron spectroscopy was used to investigate the structural changes of the cathode. It was revealed that the cathode coated with lithium boron oxide (LBO) by an antisolvent precipitation method had high durability against the surface structure changes by the reduction of transition metal ions. The formation and dissolution of NiO occurred in the uncoated sample during cycling, but the formation of NiO was suppressed in the LBO-coated sample. It was considered that the structural changes of the active material surface during cycling led to an increase in surface resistance of the uncoated sample, which is the main reason for the capacity fading of the spray pyrolyzed LiNi0.5Co0.2Mn0.3O2 cathode particles. (C) The Electrochemical Society of Japan, All rights reserved.</t>
  </si>
  <si>
    <t>Hashigami, Satoshi/0000-0001-9397-0281</t>
  </si>
  <si>
    <t>1344-3542</t>
  </si>
  <si>
    <t>2186-2451</t>
  </si>
  <si>
    <t>10.5796/electrochemistry.19-00022</t>
  </si>
  <si>
    <t>WOS:000494830500009</t>
  </si>
  <si>
    <t>Li, B; Sun, ZH; Zhao, Y; Tian, Y; Tan, TZ; Gao, F; Li, JD</t>
  </si>
  <si>
    <t>Li, Baoe; Sun, Zhenghao; Zhao, Yan; Tian, Yuan; Tan, Taizhe; Gao, Fan; Li, Jingde</t>
  </si>
  <si>
    <t>Functional separator for Li/S batteries based on boron-doped graphene and activated carbon</t>
  </si>
  <si>
    <t>JOURNAL OF NANOPARTICLE RESEARCH</t>
  </si>
  <si>
    <t>Lithium/sulfur (Li/S) batteries have received great attention due to their high theoretical energy density, but the shuttle effect of polysulfides restricts the further development of Li/S batteries. The construction of modified functional separator is an effective strategy to obstruct the diffusion of polysulfides. We report boron-doped graphene and activated carbon (B-G/AC)-modified functional separator for Li/S batteries. The B-G/AC composites are obtained via a one-step hydrothermal method and used as a functional layer to modify the battery separator. The B-G with highly porous three-dimensional (3D) network structure exhibits good electrical conductivity, and rich porous structure AC increases the specific surface area of the B-G/AC composite. The carbon coating layer can act as the second collector, utilizing the inactivated sulfur that is freed in the electrolyte. The modified separator can facilitate the polysulfide dissolution and migration towards the anode. The B-G/AC samples exhibit excellent electrochemical performances. The B-G/AC samples maintain a higher capacity of 1062mAhg(-1) after 100 cycles at 0.1C than a routine separator (709mAhg(-1) after 100 cycles at 0.1C). Diffusion experiments of polysulfides in U-shaped bottles also proved importance of B-G/AC as a separator. In addition, the B-G/AC samples also exhibit excellent cycling stability over 300 cycles, delivering a discharge capacity of 534mAhg(-1) when the current is 1C. The present study confirms that separator modification is an effective technique that leads to good electrochemical performance.</t>
  </si>
  <si>
    <t>Li, Jingde/AAD-8913-2020</t>
  </si>
  <si>
    <t>1388-0764</t>
  </si>
  <si>
    <t>1572-896X</t>
  </si>
  <si>
    <t>10.1007/s11051-018-4451-8</t>
  </si>
  <si>
    <t>WOS:000454501200001</t>
  </si>
  <si>
    <t>Liu, TT; Li, M; Bo, XJ; Zhou, M</t>
  </si>
  <si>
    <t>Liu, Tingting; Li, Mian; Bo, Xiangjie; Zhou, Ming</t>
  </si>
  <si>
    <t>Designing iron carbide embedded isolated boron (B) and nitrogen (N) atoms co-doped porous carbon fibers networks with tiny amount of B-N bonds as high-efficiency oxygen reduction reaction catalysts</t>
  </si>
  <si>
    <t>In this paper, polyvinylpyrrolidone (PVP) and 4-hydroxybenzeneboronic acid (o-HPBA) are polarized in alkaline solution and then employed as boron (B) and nitrogen (N) sources. Fe(AC)(2)/o-HPBA/PVP/DMF (N,N-Dimethylformamide) slurries are first electrospunned into three-dimensional (3D) networks. Due to the electrostatic repulsion between negatively charged -O- groups surrounding N and B atoms, N and B atoms can be kept far away from each other. Upon optimizing o-HPBA dosages, the maximum amount of isolated B and N atoms are successfully doped into the 3D porous iron carbide (Fe3C) embedded B and N co-doped carbon fibers (Fe3C@B(1.0)NPCFs) networks with tiny B-N clusters. Electrochemical measure results demonstrate that Fe3C@B(1.0)NPCFs exhibit much better oxygen reduction reaction (ORR) activity than 20 wt% Pt/C in alkaline electrolyte. In acidic electrolyte, Fe3C@B(1.0)NPCFs also displays ORR activity comparable to Pt/C (its onset and half-wave potentials are just 40 and 50 mV more negative than those of Pt/C). Moreover, Fe3C@B(1.0)NPCFs show better stability and methanol tolerance ability than Pt/C for ORR in both alkaline and acidic solutions. This work opens new avenues for intentionally preventing the malignant combination of B and N atoms and boosting the electrocatalytic activity of B and N co-doped and Fe3C embedded carbon catalysts. (C) 2018 Elsevier Inc. All rights reserved.</t>
  </si>
  <si>
    <t>Zhou, Ming/B-7451-2009; Mian, Li/JOZ-4844-2023; xiangjie, bo/B-6703-2012</t>
  </si>
  <si>
    <t>Zhou, Ming/0000-0003-2239-9342;</t>
  </si>
  <si>
    <t>10.1016/j.jcis.2018.08.087</t>
  </si>
  <si>
    <t>WOS:000447815200073</t>
  </si>
  <si>
    <t>Xi, XT; Li, WH; Hou, BH; Yang, Y; Gu, ZY; Wu, XL</t>
  </si>
  <si>
    <t>Xi, Xiao-Tong; Li, Wen-Hao; Hou, Bao-Hua; Yang, Yang; Gu, Zhen-Yi; Wu, Xing-Long</t>
  </si>
  <si>
    <t>Dendrite-Free Lithium Anode Enables the Lithium//Graphite Dual-Ion Battery with Much Improved Cyclic Stability</t>
  </si>
  <si>
    <t>Owing to the high de/intercalation potential of anions on graphite cathode, dual-ion battery (DIB) has attracted much attention for advanced energy storage. Among various DIBs, Li//graphite (Li//G) configuration delivers the highest voltage to achieve the theoretically highest energy density due to the lowest Li-plating/-stripping potential. Unfortunately, the dendrite nature of Li anode brings a series of serious problems, fatally restricting the practical application of Li//G DIB. Herein, we for the first time propose fabricating artificial and robust a solid electrolyte interphase layer on Li anode to suppress Li dendritic growth during cycling and hence to improve the cyclic stability of Li//G DIB. As a result, a long-life Li//G DIB is assembled and achieved successfully with the enhanced and smoothed Coulombic efficiencies (CE). For example, the Li//G DIB exhibits a high capacity retention of 89.6% with an average CE of 97.8% and initial discharge capacity of 95.2 mAb g(-1) over 500 cycles at 1 A g(-1). This study points out a new possible strategy to enhance the energy-storage performance of Li//G DIB with high practicability.</t>
  </si>
  <si>
    <t>Li, Wenhao/IQW-3235-2023; Wu, Xing-Long/J-8388-2012; Hou, Bao-Hua/JDD-3592-2023</t>
  </si>
  <si>
    <t>Wu, Xing-Long/0000-0003-1069-9145; Hou, Bao-Hua/0000-0003-2260-6989; li, wenhao/0009-0009-6173-3535</t>
  </si>
  <si>
    <t>10.1021/acsaem.8b01764</t>
  </si>
  <si>
    <t>WOS:000458706900027</t>
  </si>
  <si>
    <t>Joshi, M; Ghanty, TK</t>
  </si>
  <si>
    <t>Joshi, Meenakshi; Ghanty, Tapan K.</t>
  </si>
  <si>
    <t>Hybrid Organic-Inorganic Functionalized Dodecaboranes and Their Potential Role in Lithium and Magnesium Ion Batteries</t>
  </si>
  <si>
    <t>Currently, development of rechargeable Mg ion batteries is an important and hot topic of research. For its development, the major challenge is to find suitable stable electrolyte anions, which possess solubility in low-polarity solvents. In this context, new organic and hybrid organic-inorganic functional derivatives of closo dodecaborane dianion, namely Bi2X122- (X =-C CH,-C C-CN, and -C C-BO), are proposed here using density functional theory. The second excess electron in B-12(C C-CN)(12)(2-) and B-12(C C-BO)(12)(2-) is very strongly bound with the Delta E-2 value of 4.90 and 5.14 eV, respectively, in the gas phase, which is almost six-times higher than that of B12H122- (0.81 eV). The various other factors responsible for the high stability of these predicted dianions have been explained in detail. We have explored the implications of these stable dianions as electrolytes in the Li and Mg ion batteries, and the results are found to be highly promising. Among all the dianions considered here, B-12(C C-BO)(12)(2-) and B-12(C C-CN)(12)(2-) are the most suitable choices as the electrolyte of the Li and Mg ion batteries, as the Li+/Mg2+ salt of these two dianion requires very less energy to dissociate into corresponding cation and anion. In addition, the oxidation potential of B-12(C C-BO)(12)(2-) and B-12(C C-CN)(12)(2-) dianions versus Mg2+/Mg is very high (12.91 and 12.58 V, respectively). Present work reveals that it is possible to design desired multiply charged stable anions for appropriate applications through suitable organic-inorganic functionalization.</t>
  </si>
  <si>
    <t>Ghanty, Tapan/B-9971-2009</t>
  </si>
  <si>
    <t>Joshi, Meenakshi/0000-0001-6025-3075</t>
  </si>
  <si>
    <t>10.1021/acs.jpcc.8b09850</t>
  </si>
  <si>
    <t>WOS:000453488300017</t>
  </si>
  <si>
    <t>Schmohl, S; He, X; Wiemhöfer, HD</t>
  </si>
  <si>
    <t>Schmohl, Sebastian; He, Xuan; Wiemhoefer, Hans-Dieter</t>
  </si>
  <si>
    <t>Boron Trifluoride Anionic Side Groups in Polyphosphazene Based Polymer Electrolyte with Enhanced Interfacial Stability in Lithium Batteries</t>
  </si>
  <si>
    <t>POLYMERS</t>
  </si>
  <si>
    <t>A modified polyphosphazene was synthesized using a mixed substitution at phosphorus consisting of 2-(2-methoxyethoxy)ethoxy side groups and anionic trifluoroborate groups. The primary goal was to increase the low lithium ion conductivities of the conventional lithium salt containing poly[2-(2-methoxyethoxy)ethoxy-phosphazene] (MEEP) by the immobilized anionic groups. As in previous studies, the mechanical stability was stabilized by UV induced radiation cross linking. By variation of the molar ratio between different side groups, mechanical and electrochemical properties are controllable. The polymer demonstrated large electrochemical stability windows ranging between 0 and 4.5 V versus the Li/Li+ reference. Total and lithium conductivities of 3.6 x 10(-4) Scm(-1) and 1.8 x 10(-5) Scm(-1) at 60 degrees C were revealed for the modified MEEP. When observed in special visualization cells, dendrite formation onset time and short-circuit time were determined as 21 h and 90 h, respectively, under constant current polarization (16 h and 65 h for MEEP, both with 15 wt % LiBOB), which hints to a more stable Li/polymer interface compared to normal MEEP. The enhanced dendrite suppression ability can be explained by the formation of a more conductive solid electrolyte interphase (SEI) and the existence of F-contained SEI components (such as LiF). With the addition of ethylene carbonate-dimethyl carbonate (EC/DMC) to form MEE-co-OBF3P gel polymer, both total and lithium conductivity were enhanced remarkably, and the lithium transference numbers reached reasonable values (sigma(total) = 1.05 mScm(-1), sigma(+)(Li) = 0.22 mScm(-1), t(Li)(+) = 0.18 at 60 degrees C).</t>
  </si>
  <si>
    <t>Wiemhöfer, Hans-Dieter/E-5381-2010</t>
  </si>
  <si>
    <t>Wiemhofer, Hans-Dieter/0000-0002-6049-9953; He, Xuan/0000-0002-3095-9760</t>
  </si>
  <si>
    <t>2073-4360</t>
  </si>
  <si>
    <t>10.3390/polym10121350</t>
  </si>
  <si>
    <t>WOS:000454748700058</t>
  </si>
  <si>
    <t>Jia, JF; Chen, SR; Yang, QW; Feng, X; Li, D</t>
  </si>
  <si>
    <t>Jia, Jianfeng; Chen, Shaorui; Yang, Qianwen; Feng, Xiang; Li, De</t>
  </si>
  <si>
    <t>Crystallinity-dependent capacity of a LiBC anode material in Li-ion batteries</t>
  </si>
  <si>
    <t>LiBC is a layered boron carbide material that was first studied as a superconducting material. Theoretical study showed that LiBC is a promising cathode material in Li-ion batteries, while our early computational and experimental studies demonstrated the feasibility of LiBC as a high-capacity anode material for Li-ion batteries. In this work, LiBC has been synthesized by a solid-state method using different carbon precursors of acetylene black and graphite, marked a-LiBC and g-LiBC, respectively, and their electrochemical properties and corresponding structure evolutions have been investigated in Li-ion batteries. As a result, a-LiBC delivers a higher specific capacity than g-LiBC, 500 mA h g(-1)vs. 200 mA h g(-1), after 50 cycles at a rate of 0.1C. Actually, a significant structural evolution of a-LiBC was observed by in situ XRD during the charge/discharge processes, while a nearly constant structure was detected for g-LiBC. Meanwhile, in situ Raman results revealed the evolution of vibrational beating modes at different charge/discharge states. Therefore, the specific capacity of LiBC is closely related to its crystallinity, and LiBC with amorphous carbon precursors could be adopted as a promising anode material for Li-ion batteries.</t>
  </si>
  <si>
    <t>NOV 28</t>
  </si>
  <si>
    <t>10.1039/c8cp05561k</t>
  </si>
  <si>
    <t>WOS:000450660400046</t>
  </si>
  <si>
    <t>Zhang, Q; Luo, F; Ling, Y; Guo, L; Qu, KG; Hu, H; Yang, ZH; Cai, WW; Cheng, HS</t>
  </si>
  <si>
    <t>Zhang, Quan; Luo, Fang; Ling, Ying; Guo, Long; Qu, Konggang; Hu, Hao; Yang, Zehui; Cai, Weiwei; Cheng, Hansong</t>
  </si>
  <si>
    <t>Constructing Successive Active Sites for Metal-free Electrocatalyst with Boosted Electrocatalytic Activities Toward Hydrogen Evolution and Oxygen Reduction Reactions</t>
  </si>
  <si>
    <t>CHEMCATCHEM</t>
  </si>
  <si>
    <t>As well known, heteroatom doped carbon material served as metal-free electrocatalyst for hydrogen evolution (HER) and oxygen reduction reactions (ORR) particularly relies on the heteroatom doping level. Here, we report a 3D porous nitrogen doped carbon (PNC) electrocatalyst with superior HER and ORR electrocatalytic activities derived from the calcination of the discarded cigarette butt and dicyandiamide possessing a high nitrogen content (20 at%). PNC electrocatalyst only demands 143 mV versus RHE to achieve 10 mA cm(-2) ascribed to the high nitrogen percentile in PNC electrocatalyst favorable for constructing successive active centers contributing to efficiently catalyzing HER. Ignorable degradation in HER activity observed after 10000 potential cycles as well as undetectable decay in HER performance recorded after 12 h operation indicate high stability of PNC electrocatalyst. Meanwhile, half-wave potential of PNC electrocatalyst reaches 0.81 V versus RHE in 1 M KOH electrolyte. Additionally, stable ORR activity attained after 1000 potential cycles is indicative of high stability. A comparably high zinc-air battery performance with maximum power density of 66 mW cm(-2) is achieved by PNC electrocatalyst. This study highlights the importance of nitrogen doping level in metal-free electrocatalyst for boosting HER and ORR activities.</t>
  </si>
  <si>
    <t>yang, zhang/ABE-4264-2021; Cheng, Hansong/G-3928-2012; Ling, Ying/LWI-2574-2024</t>
  </si>
  <si>
    <t>Hu, Hao/0000-0002-9649-3473; Yang, Zehui/0000-0002-5707-1905; Zhang, Quan/0009-0008-2846-0427; Luo, Fang/0000-0002-5637-2300</t>
  </si>
  <si>
    <t>1867-3880</t>
  </si>
  <si>
    <t>1867-3899</t>
  </si>
  <si>
    <t>10.1002/cctc.201801455</t>
  </si>
  <si>
    <t>WOS:000451444000014</t>
  </si>
  <si>
    <t>Chen, YN; Zhang, X; Cui, HJ; Zhang, X; Xie, ZJ; Wang, XG; Jiao, MG; Zhou, Z</t>
  </si>
  <si>
    <t>Chen, Ya-Nan; Zhang, Xu; Cui, Huijuan; Zhang, Xin; Xie, Zhaojun; Wang, Xin-Gai; Jiao, Menggai; Zhou, Zhen</t>
  </si>
  <si>
    <t>Synergistic electrocatalytic oxygen reduction reactions of Pd/B4C for ultrastable Zn-air batteries</t>
  </si>
  <si>
    <t>Highly active and durable electrocatalysts are desired to promote oxygen reduction reactions (ORR) for Zn-air batteries. Here we report a promising catalyst of Pd nanoparticles supported on boron carbide (Pd/B4C) through a facile hydrothermal route. The Pd/B4C electrode not only shows the same onset potential of 0.96 V vs. RHE as the Pt/C electrode, but also an obviously larger limiting current density. More importantly, compared with noble metal electrodes, Pd/B4C shows higher power density (187 mW cm(-2)) and much more durable cycle life (up to 1333 h) in Zn-air batteries. To gain insight into the enhanced ORR activity by B4C support, first-principles computations reveal the synergistic effect between B4C and Pd; B4C could significantly promote O-2 adsorption and splitting on Pd/B4C composites, while Pd particles on B4C have a major effect on the transformation of O* to OH-. The computations are consistent with the experimental characterizations. This work opens up a new avenue for seeking novel and durable electrocatalysts for Zn-air batteries with B4C substrates, which are chemically and electrochemically stable in hash alkaline electrolytes during operation.</t>
  </si>
  <si>
    <t>Jiao, Menggai/P-1104-2019; Cui, Huijuan/T-1480-2019; Zhang, Xu/HGU-5270-2022; Zhou, Zhen/C-4517-2008; 张, 昕/AAR-3315-2021</t>
  </si>
  <si>
    <t>Zhang, Xu/0000-0003-3112-4789;</t>
  </si>
  <si>
    <t>10.1016/j.ensm.2018.04.010</t>
  </si>
  <si>
    <t>WOS:000449521500024</t>
  </si>
  <si>
    <t>Li, Z; Cao, L; Qin, P; Liu, X; Chen, ZW; Wang, L; Pan, DY; Wu, MH</t>
  </si>
  <si>
    <t>Li, Zhen; Cao, Ling; Qin, Ping; Liu, Xiang; Chen, Zhiwen; Wang, Liang; Pan, Dengyu; Wu, Minghong</t>
  </si>
  <si>
    <t>Nitrogen and oxygen co-doped graphene quantum dots with high capacitance performance for micro-supercapacitors</t>
  </si>
  <si>
    <t>The applications of carbon-based micro-supercapacitors (MSCs) based on the electrical double layer capacitance mechanism are usually limited by the extremely low specific capacitances and energy storage densities of carbon electrodes fabricated from less active, large-size carbon materials. As a promising alternative, high-activity N and O co-doped graphene quantum dots (N-O-GQDs) offer a combination of advantages, such as ultrasmall sizes, rich active sites, high hydrophilicity, and facile assembly into conductive carbon films. Here we report the facile electrophoresis construction of carbonbased MSCs for ultrahigh energy density storage using N-O-GQDs as the initial electrode material. The N-O-GQD MSCs show extremely high volumetric capacitances of 325 F cm(-3) in H2SO4 due to their high pseudocapacitive activity, high loading density, and enhanced electrolyte wettingability ascribed to a large amount of doped nitrogen and oxygen functional groups. They deliver an ultrahigh volumetric energy density, superior to that of thin-film lithium batteries. Three connected all-solid-state N-O-GQD MSCs can light a red light-emitting diode. Furthermore, the pseudocapacitive MSCs maintain high power densities, and cycling stability owing to improvements in electrical conductivity and electrolyte penetration. The important results highlight the promising applications of high-activity nanographenes in on-chip power sources for driving diverse micro-devices. (C) 2018 Elsevier Ltd. All rights reserved.</t>
  </si>
  <si>
    <t>; Pan, Yuesong/AAI-6303-2020; Wang, Liang/H-4364-2017; Li, Zhen/JLL-0527-2023</t>
  </si>
  <si>
    <t>Pan, Dengyu/0000-0002-2398-0537; Wang, Liang/0000-0002-3771-4627; Li, Zhen/0000-0002-5708-6402</t>
  </si>
  <si>
    <t>10.1016/j.carbon.2018.06.042</t>
  </si>
  <si>
    <t>WOS:000446063100009</t>
  </si>
  <si>
    <t>Il'ina, EA; Pershina, SV; Antonov, BD; Pankratov, AA; Vovkotrub, EG</t>
  </si>
  <si>
    <t>Il'ina, E. A.; Pershina, S., V; Antonov, B. D.; Pankratov, A. A.; Vovkotrub, E. G.</t>
  </si>
  <si>
    <t>The influence of the glass additive Li2O-B2O3-SiO2 on the phase composition, conductivity, and microstructure of the Li7La3Zr2O12</t>
  </si>
  <si>
    <t>An influence of the lithium boron-silicate glass 65Li(2)O center dot 27B(2)O(3)center dot 8SiO(2) on the phase composition, conductivity and microstructure of the Li7La3Zr2O12 with cubic configuration was investigated. A series of the Li7La3Zr2O12 - x wt% 65Li(2)O center dot 27B(2)O(3)center dot 8SiO(2) composite electrolytes (x = 1-10) was prepared (during annealing) for 1 h at 1150 degrees C. The samples were characterized by the X-ray diffraction, Raman spectroscopy, scanning electron microscopy and differential scanning calorimetry. According to the XRD and Raman spectroscopy, the obtained composites with x &lt; 7 had no impurities. It was established by the DSC and Raman spectroscopy that the 65Li(2)O center dot 27B(2)O(3)center dot 8SiO(2) additive was in the glassy state for all studied composites and predominantly located in the intergrain area. A glass addition of 1 wt% leads to the conductivity growth from 1.5 x 10(-4) to 3.1 x 10(-4) S cm(-1) at 25 degrees C. With further addition of the glass, the total conductivity of electrolyte decreased whereas the activation energy increased. In view of the high activation energy, the composite electrolytes have higher total conductivity values than the Li7La3Zr2O12 with cubic structure at temperatures above 100 degrees C. Thus, the obtained composites can be used as solid electrolytes in the high-energy power sources. (C) 2018 Elsevier B.V. All rights reserved.</t>
  </si>
  <si>
    <t>; Pershina, Svetlana/G-7771-2016; Il'ina, Evgeniya/G-7773-2016; Vovkotrub, Emma/D-4068-2019</t>
  </si>
  <si>
    <t>antonov, boris/0000-0001-6793-1561; Pershina, Svetlana/0000-0002-0345-4978; Il'ina, Evgeniya/0000-0003-1759-5234; Vovkotrub, Emma/0000-0002-9610-2129</t>
  </si>
  <si>
    <t>10.1016/j.jallcom.2018.06.154</t>
  </si>
  <si>
    <t>WOS:000444341900102</t>
  </si>
  <si>
    <t>Li, JY; Li, WD; You, Y; Manthiram, A</t>
  </si>
  <si>
    <t>Li, Jianyu; Li, Wangda; You, Ya; Manthiram, Arumugam</t>
  </si>
  <si>
    <t>Extending the Service Life of High-Ni Layered Oxides by Tuning the Electrode-Electrolyte Interphase</t>
  </si>
  <si>
    <t>As a high-energy-density cathode for Li-ion batteries, high-Ni layered oxides, especially with ultrahigh Ni-content, suffer from short lifespans, due in part to their unstable electrode-electrolyte interphase (EEI). Herein, the cycle life of LiNi0.94Co0.06O2 is greatly extended by manipulating the EEI with a lithium bis(oxalate) (LiBOB) additive even when operated at a moderately high voltage (4.4 V vs Li/Li+). Impressively, the capacity retention can be increased from 61 to 80% after 500 cycles in a full cell paired with a graphite anode. Additionally, the presence of LiBOB enables a robust boron- and oxygen-enriched EEI that effectively inhibits continual electrolyte decomposition and offers a stable cathode surface. Moreover, the layered architecture of the cathode-electrolyte interphase (CEI) and the anode-electrolyte interphase (AEI) at the nanometer scale is revealed by time-of-flight secondary ion mass spectrometry. It is demonstrated that the cathode surface chemistry can significantly influence the AEI both chemically and physically, and AEI is modified from a thick three-layer to a thin two-layer architecture by tuning the cathode surface chemistry with LiBOB. This work presents a correlation between the EEI characteristics and battery performance and highlights the significance of manipulating surface chemistry in developing stable high-energy-density Li-ion batteries.</t>
  </si>
  <si>
    <t>; Li, Jianyu/ABA-2891-2020; You, Ya/GWD-0248-2022; Manthiram, Arumugam/AAO-3331-2020</t>
  </si>
  <si>
    <t>Li, Jianyu/0000-0003-2577-1672; You, Ya/0000-0002-2069-5212; Manthiram, Arumugam/0000-0003-0237-9563</t>
  </si>
  <si>
    <t>10.1002/aenm.201801957</t>
  </si>
  <si>
    <t>WOS:000447257000017</t>
  </si>
  <si>
    <t>Il'ina, EA; Druzhinin, KV; Saetova, NS; Antonov, BD; Pryakhina, VI</t>
  </si>
  <si>
    <t>Il'ina, E. A.; Druzhinin, K., V; Saetova, N. S.; Antonov, B. D.; Pryakhina, V., I</t>
  </si>
  <si>
    <t>Interface features between 30Li2O•47.5V2O5•22.5B2O3 glassy cathode and Li7La3Zr2O12 solid electrolyte</t>
  </si>
  <si>
    <t>Glassy cathode deposition on solid electrolyte substrate applied to lithium middle-temperature all-solid-state batteries was investigated. The 30Li(2)O center dot 47.5V(2)O(5)center dot 22.5B(2)O(3) (LBV) glassy cathode is crystallized on Li7La3Zr2O12 (LLZ) solid electrolyte substrate at various temperatures (650-850 degrees C) and holding times (0.5-5 min). The phase composition of the crystallized glass and vanadium oxidation state are determined by the XRD and XPS analysis. The different lithium vanadates form at all studied temperatures, and the boron-containing phases appear at temperatures greater than 750 degrees C. SEM investigation shows that the lithium borate-vanadate glass crystallized at 750 degrees C to create the optimal interface and close contact between the electrode and the electrolyte. Processing at lower temperatures does not allow for good contact, and processing at higher temperatures leads to the interaction between the cathode material and ceramic electrolyte. The optimal mode of 30Li(2)O center dot 47.5V(2)O(5)center dot 22.5B(2)O(3) glassy cathode deposition on the substrate is found to be glass powder annealing for 0.5 min at 750 degrees C. This LBV vertical bar LLZ cell has the highest conductivity and the lowest polarization resistance on the cathode vertical bar electrolyte interface. The universality of this deposition mode is demonstrated using Li3.65Al0.05Ge0.95P0.2O4 ceramic substrate as an example. Thus, the LBV glass can be used for the formation of an optimal interface with other lithium-ion solid electrolytes. (C) 2018 Elsevier Ltd. All rights reserved.</t>
  </si>
  <si>
    <t>Il'ina, Evgeniya/G-7773-2016; Druzhinin, Konstantin/C-5344-2016; Pryakhina, Victoria/J-9008-2015; Saetova, Nailya/P-3585-2017</t>
  </si>
  <si>
    <t>Il'ina, Evgeniya/0000-0003-1759-5234; Druzhinin, Konstantin/0000-0002-8947-8208; Pryakhina, Victoria/0000-0001-7001-051X; antonov, boris/0000-0001-6793-1561; Saetova, Nailya/0000-0002-0721-3944</t>
  </si>
  <si>
    <t>10.1016/j.electacta.2018.08.008</t>
  </si>
  <si>
    <t>WOS:000445131700035</t>
  </si>
  <si>
    <t>Guzmán-González, G; Avila-Paredes, HJ; Rivera, E; González, I</t>
  </si>
  <si>
    <t>Guzman-Gonzalez, Gregorio; Avila-Paredes, Hugo J.; Rivera, Ernesto; Gonzalez, Ignacio</t>
  </si>
  <si>
    <t>Electrochemical Characterization of Single Lithium-Ion Conducting Polymer Electrolytes Based on sp3 Boron and Poly(ethylene glycol) Bridges</t>
  </si>
  <si>
    <t>A novel series of single lithium-ion conducting polymer electrolytes (SLICPE) based on sp(3) boron and poly(ethylene glycol) (PEG) bridges is presented, in the context of the development of a new generation of batteries, with the aim to overcome the problems related to concentration overpotential and low ion transport numbers in conventional solid polymer electrolytes (SPE). The phase separation generated by the physical mixture of SPE with plasticizers such as poly(ethylene oxide) is still a serious problem. In this work, the use of PEG with different chain lengths, for the polycondensation reaction with LiB(OCH3)(4), to synthesize SLICPE allows preventing phase separation while tuning the predominant conduction mechanism, and thus the electrical properties, especially the lithium-ion transference number. The ionic transport is promoted by chain mobility as the chain length is increased. SLICPE with the best ionic conductivity values (4.95 +/- 0.05) x 10(-6) S cm(-1) was the one synthesized from poly(ethylene glycol) with an average M-N of 400 (BEG8), having an O/Li+ ratio of 20. The lithium transference number (t(Li)(+)) and electrochemical stability window of SLICPE membranes at 25 degrees C decreased as the PEG bridge length between sp3 boron atoms increased from 0.97 to 0.88 and 5.4 to 4.2 V vs Li-0/Li+, respectively, for SLICPE synthesized from PEG with an average M-N of 50-400 (BEGI to BEG8).</t>
  </si>
  <si>
    <t>GONZALEZ, IGNACIO/0000-0002-9651-2515; Guzman-Gonzalez, Gregorio/0000-0002-8080-0862; Avila Paredes, Hugo Joaquin/0000-0002-9386-4160</t>
  </si>
  <si>
    <t>10.1021/acsami.8b02519</t>
  </si>
  <si>
    <t>WOS:000444793000027</t>
  </si>
  <si>
    <t>Wang, D; Wang, ZY; Li, Y; Luo, SH; Dong, KZ; Liu, YG; Qi, XW</t>
  </si>
  <si>
    <t>Wang, Dan; Wang, Zhiyuan; Li, Yuan; Luo, Shaohua; Dong, Kangze; Liu, Yanguo; Qi, Xiwei</t>
  </si>
  <si>
    <t>Template-assisted in situ confinement synthesis of nitrogen and oxygen co-doped 3D porous carbon network for high-performance sodium-ion battery anode</t>
  </si>
  <si>
    <t>Non-graphitic carbons have shown great advantages as anodes for sodium ion batteries. However, they deliver an unsatisfactory capacity, especially at high rate, owing to the sluggish sodiation kinetics. In this work, we synthesized well-distributed nitrogen and oxygen co-doped three-dimensional ultrathin amorphous porous carbon network via a simple NaCl template-assisted in situ confinement pyrolysis strategy. The porous carbon network with oxygen-containing groups provides abundant room (surface area of 282.78 m(2) g(-1)) for the storage of Na+ and good wettability for the sufficient contact of the active material and the electrolyte, the affluent pores and the large interlayer space offer smooth passage for the insertion of Na+ and the transportation of electrons, and high-content nitrogen (N: 12.44 at%) doping affords more defects and active sites for the redox capacitance reaction of Na+. When used as an anode for sodium-ion batteries, the as-prepared sample presents high reversible capacity (416 mA h g(-1) at 0.1 A g(-1) after 100 cycles), superior rate capability (213.8 mA h g(-1) at 5 A g(-1)), and excellent cycling performance at a super-high rate (142 mA h g(-1) at 10 A g(-1) after 1000 cycles with capacity retention of 94%). This work provides a new strategy to effectively construct continuous porous carbon nanostructures with uniform dual heteroatom doping for high-performance sodium-ion battery anodes.</t>
  </si>
  <si>
    <t>Qi, xiwei/CAF-5862-2022; qi, xiwei/E-2028-2015</t>
  </si>
  <si>
    <t>Dong, Kangze/0000-0001-7170-7685; qi, xiwei/0000-0003-0277-2488</t>
  </si>
  <si>
    <t>SEP 7</t>
  </si>
  <si>
    <t>10.1039/c8nj02394h</t>
  </si>
  <si>
    <t>WOS:000443280200039</t>
  </si>
  <si>
    <t>Liang, FX; Yu, JL; Chen, JH; Wang, D; Lin, CD; Zhu, CZ; Wang, ML; Dong, L; Li, CH</t>
  </si>
  <si>
    <t>Liang, Fuxiao; Yu, Jiali; Chen, Jiahui; Wang, Dong; Lin, Chengdong; Zhu, Caizhen; Wang, Mingliang; Dong, Liang; Li, Cuihua</t>
  </si>
  <si>
    <t>A novel boron-based ionic liquid electrolyte for high voltage lithium-ion batteries with outstanding cycling stability</t>
  </si>
  <si>
    <t>Advanced ionic liquid-based electrolyte is herein characterized for the application in high voltage lithium-ion batteries. The electrolyte based on N-propyl-N-methylpiperidiniumdifluoro(oxalate)borate (PP13DFOB), lithium bis(trifluoromethanesulfonyl)-imide (LiTFSI) and dimethyl carbonate (DMC) is fully characterized in terms of anodic corrosion behavior, electrochemical properties and cathode-electrolyte interphase stability. Experimental and computational results show that the preferential oxidation of PP13DFOB results in a stable and low impedance solid electrolyte interface (SEI) film on the surface of LiNi0.5Mn1.5O4 (LNMO) cathode and a passivation layer on Al foil, which suppress transition metal dissolution and Al corrosion at high voltage. As a result, the Li/LNMO and Li/graphite coin cells with ionic liquid-based electrolyte achieve excellent electrochemical performance, displaying a discharge capacity of 121.2 mAh g(-1) and 369.2 mAh g(-1) after 100 cycles at 0.5 C respectively and demonstrating no distinct capacitance attenuation during charge-discharge cycles. (C) 2018 Published by Elsevier Ltd.</t>
  </si>
  <si>
    <t>yan, zhang/GXA-1902-2022; Chen, Jiahui/W-5735-2018; Jiali, Yu/GNM-9751-2022; wang, mingliang/GXF-2439-2022; , Jiahui/W-5735-2018; Dong, Liang/IAR-4638-2023</t>
  </si>
  <si>
    <t>, Jiahui/0000-0003-1661-9855;</t>
  </si>
  <si>
    <t>10.1016/j.electacta.2018.06.170</t>
  </si>
  <si>
    <t>WOS:000441077900013</t>
  </si>
  <si>
    <t>Wang, LX; Han, WF; Ge, CH; Zhang, R; Bai, YF; Zhang, XD</t>
  </si>
  <si>
    <t>Wang, Lixia; Han, Weifang; Ge, Chunhua; Zhang, Rui; Bai, Yufeng; Zhang, Xiangdong</t>
  </si>
  <si>
    <t>Functionalized Carboxyl Carbon/NaBOB Composite as Highly Conductive Electrolyte for Sodium Ion Batteries</t>
  </si>
  <si>
    <t>Sodium-ion batteries are the most promising candidates of reusable batteries because of the huge abundant sodium resources and low cost. So the new types of sodium electrolyte materials are attracted to be identified. In this paper, a series of sodium composites are synthesized by the carboxyl carbon spheres (HTC-COOH) and sodium bis(oxalate)-borate (NaBOB) using the solid-state reaction. FTIR, TG, XRD, elemental analysis, SEM and AFM are used to prove the successful synthesis of functionalized carboxyl carbon/NaBOB (HTC/NaBOB) composite. The thermal stability and ionic conductivity of the composites are also studied and discussed. The test results show the HTC/NaBOB composites have high thermal stability, which possess the thermal decomposition temperature higher than 300 degrees C in N-2. When the weight ratio of oxalic acid, boric acid, sodium hydroxide and HTC-COOH reaches appropriate proportion, the conductivity of HTC/NaBOB composite electrolyte solution is higher than NaBOB in N, N-Dimethylformamide (DMF) with the same the content of element boron and the ionic conductivity of 0.10mol dm(-3) electrolyte solution is 4.87 mScm(-1) in DMF. The study shows that these composites are non-absorbent water and easy to be recycle and store as electrolytes. They may have great potential as a new class of electrolyte for high-performance sodium ion batteries.</t>
  </si>
  <si>
    <t>; Han, Weifang/R-6297-2017; Zhang, Xiangdong/JUV-3288-2023</t>
  </si>
  <si>
    <t>zhang, xiangdong/0000-0002-3100-8561; Han, Weifang/0000-0002-1369-7607;</t>
  </si>
  <si>
    <t>AUG 31</t>
  </si>
  <si>
    <t>10.1002/slct.201801954</t>
  </si>
  <si>
    <t>WOS:000443225100016</t>
  </si>
  <si>
    <t>Dong, WJ; Zhao, YT; Wang, X; Yuan, XT; Bu, KJ; Dong, CL; Wang, RQ; Huang, FQ</t>
  </si>
  <si>
    <t>Dong, Wujie; Zhao, Yantao; Wang, Xin; Yuan, Xiaotao; Bu, Kejun; Dong, Chenlong; Wang, Ruiqi; Huang, Fuqiang</t>
  </si>
  <si>
    <t>Boron Embedded in Metal Iron Matrix as a Novel Anode Material of Excellent Performance</t>
  </si>
  <si>
    <t>Boron, the most ideal lithium-ion battery anode material, demonstrates highest theoretical capacity up to 12 395 mA h g(-1) when forming Li5B. Furthermore, it also exhibits promising features such as light weight, considerable reserves, low cost, and nontoxicity. However, boron-based materials are not in the hotspot list because Li5B may only exist when B is in atomically isolated/dispersed form, while the aggregate material can barely be activated to store/release Li. At this time, an ingenious design is demonstrated to activate the inert B to a high specific capacity anode material by dispersing it in a Fe matrix. The above material can be obtained after an electrochemical activation of the precursors Fe2B/Fe and B2O3/Fe. The latter harvests the admirable capacity, ultrahigh tap density of 2.12 g cm(-3), excellent cycling stability of 3180 mA h cm(-3) at 0.1 A g(-1) (1500 mA h g(-1)) after 250 cycles, and superlative rate capability of 2650 mA h cm(-3) at 0.5 A g(-1), 2544 mA h cm(-3) at 1.0 A g(-1), and 1696 mA h cm(-3) at 2.0 A g(-1). Highly conductive matrix promoted reversible Li storage of boron-based materials might open a new gate for advanced anode materials.</t>
  </si>
  <si>
    <t>Dong, Wujie/ADI-2805-2022; Bu, Kejun/E-7676-2015</t>
  </si>
  <si>
    <t>Dong, Wujie/0000-0003-4828-4439; Bu, Kejun/0000-0002-1466-2764; Wang, Xin/0000-0002-8965-4910</t>
  </si>
  <si>
    <t>AUG 29</t>
  </si>
  <si>
    <t>10.1002/adma.201801409</t>
  </si>
  <si>
    <t>WOS:000442732400006</t>
  </si>
  <si>
    <t>Cai, YX; Zeng, L; Zhang, Y; Xu, XC</t>
  </si>
  <si>
    <t>Cai, Yingxiang; Zeng, Li; Zhang, Yu; Xu, Xuechun</t>
  </si>
  <si>
    <t>Multiporous sp2-hybridized boron nitride (d-BN): stability, mechanical properties, lattice thermal conductivity and promising application in energy storage</t>
  </si>
  <si>
    <t>All-solid-state lithium-sulfur (Li-S) batteries offer the possibility of high theoretical energy densities and long cycle lifetime. Finding new multiporous insulating materials or wide bandgap semiconductors suitable for the transportation of Li-ions is a key problem for the application of solid state lithium-sulfur (Li-S) batteries. In this study, an sp(2)-hybridized multiporous boron nitride (d-BN) is found to be able to be used as a solid electrolyte or filter in Li-S batteries due to the lower energy barriers of Li-ion diffusion along its [110] direction. By means of density functional theory (DFT) calculations, it is also found that the d-BN is more stable than most reported BN polymorphs. In addition, the elastic properties, ideal tensile strength, electronic structure, lattice thermal conductivity and phonon lifetime of d-BN are also investigated.</t>
  </si>
  <si>
    <t>Zeng, Li/KDM-7791-2024</t>
  </si>
  <si>
    <t>10.1039/c8cp03447h</t>
  </si>
  <si>
    <t>WOS:000442270800040</t>
  </si>
  <si>
    <t>Deng, KR; Qin, JX; Wang, SJ; Ren, S; Han, DM; Xiao, M; Meng, YZ</t>
  </si>
  <si>
    <t>Deng, Kuirong; Qin, Jiaxiang; Wang, Shuanjin; Ren, Shan; Han, Dongmei; Xiao, Min; Meng, Yuezhong</t>
  </si>
  <si>
    <t>Effective Suppression of Lithium Dendrite Growth Using a Flexible Single-Ion Conducting Polymer Electrolyte</t>
  </si>
  <si>
    <t>A novel single-ion conducting polymer electrolyte (SIPE) membrane with high lithium-ion transference number, good mechanical strength, and excellent ionic conductivity is designed and synthesized by facile coupling of lithium bis(allylmalonato) borate (LiBAMB), pentaerythritol tetrakis (2-mercaptoacetate) (PETMP) and 3,6-dioxa-1,8-octanedithiol (DODT) in an electrospun poly(vinylidienefluoride) (PVDF) supporting membrane via a one-step photoinitiated in situ thiol-ene click reaction. The structure-optimized LiBAMB-PETMP-DODT (LPD)@PVDF SIPE shows an outstanding ionic conductivity of 1.32 x 10(-3) S cm(-1) at 25 degrees C, together with a high lithium-ion transference number of 0.92 and wide electrochemical window up to 6.0 V. The SIPE exhibits high tensile strength of 7.2 MPa and elongation at break of 269%. Due to these superior performances, the SIPE can suppress lithium dendrite growth, which is confirmed by galvanostatic Li plating/stripping cycling test and analysis of morphology of Li metal electrode surface after cycling test. Li vertical bar LPD@PVDF vertical bar Li symmetric cell maintains an extremely stable and low overpotential without short circuiting over the 1050 h cycle. The Li vertical bar LPD@PVDF vertical bar LiFePO4 cell shows excellent rate capacity and outstanding cycle performance compared to cells based on a conventional liquid electrolyte (LE) with Celgard separator. The facile approach of the SIPE provides an effective and promising electrolyte for safe, long-life, and high-rate lithium metal batteries.</t>
  </si>
  <si>
    <t>; 邓, 魁荣/LIA-8485-2024; han, dongmei/D-5222-2015; wang, shuanjin/E-5066-2013; Xiao, Min/D-5218-2015</t>
  </si>
  <si>
    <t>Han, Dong mei/0000-0003-1557-0789; Deng, Kuirong/0000-0003-4282-4510;</t>
  </si>
  <si>
    <t>AUG 2</t>
  </si>
  <si>
    <t>10.1002/smll.201801420</t>
  </si>
  <si>
    <t>WOS:000440561400016</t>
  </si>
  <si>
    <t>Shi, PC; Wang, Y; Liang, X; Sun, Y; Cheng, S; Chen, CH; Xiang, HF</t>
  </si>
  <si>
    <t>Shi, Pengcheng; Wang, Yong; Liang, Xin; Sun, Yi; Cheng, Sheng; Chen, Chunhua; Xiang, Hongfa</t>
  </si>
  <si>
    <t>Simultaneously Exfoliated Boron-Doped Graphene Sheets To Encapsulate Sulfur for Applications in Lithium-Sulfur Batteries</t>
  </si>
  <si>
    <t>Heteroatom-doped high-quality graphene is highly effective in encapsulating sulfur (5) and fabricating a high-performance electrode for lithium-sulfur (Li-S) batteries. Herein, simultaneously exfoliated boron-doped graphene sheets (B-EEGs) are prepared via electrochemical exfoliation of graphite in a 1.0 mol L-1 Li bis(oxalato)borate (LiBOB)/dimethyl methylphosphonate (DMMP) electrolyte. The obtained B-EEG possesses high quality with a large planar size of similar to 11 mu m, few structure defects of I-D/I-G = 0.26, and low oxygen content of 7.93%. After B-EEG is used to encapsulate S through an in situ deposition route, the S@B-EEG with an S content of 72.5% displays a high initial discharge capacity of 1476 mAh g(-1) at 0.1 C. Compared to a conventional S@thermally reduced graphene oxide (S@T-RGO) composite, the S@B-EEG composite exhibits a high capability of 1018 mAh g(-1) at 1 C and excellent capacity retention of 838 mAh g(-1) after 130 cycles. On one hand, the excellent electrochemical performances of SpB-EEG are primarily attributed to the few defects and big planar size of B-EEG, which is helpful for increasing the conductivity of S and suppressing the shuttle of long-chain polysulfides. On the other hand, the doped boron atoms as active sites can efficiently trap polysulfides by chemical adsorption.</t>
  </si>
  <si>
    <t>; LIANG, Xin/AAC-6325-2019; Shi, Pengcheng/LGZ-1138-2024; Xiang, Hongfa/I-5126-2012; Chen, Chunhua/F-5897-2010</t>
  </si>
  <si>
    <t>Chen, Chunhua/0000-0001-9589-6329; Xiang, Hongfa/0000-0002-6182-1932; Liang, Xin/0000-0001-8420-5959;</t>
  </si>
  <si>
    <t>10.1021/acssuschemeng.8b00378</t>
  </si>
  <si>
    <t>WOS:000441475500019</t>
  </si>
  <si>
    <t>Jiang, HR; Shyy, W; Zeng, L; Zhang, RH; Zhao, TS</t>
  </si>
  <si>
    <t>Jiang, H. R.; Shyy, W.; Zeng, L.; Zhang, R. H.; Zhao, T. S.</t>
  </si>
  <si>
    <t>Highly efficient and ultra-stable boron-doped graphite felt electrodes for vanadium redox flow batteries</t>
  </si>
  <si>
    <t>Developing high-performance electrodes with high operating current densities and long-term cycling stability is crucial to the widespread application of vanadium redox flow batteries (VRFBs). In this work, boron-doped graphite felt electrodes are designed, fabricated and tested for VRFBs. The first-principles study first demonstrates that the boron-doped carbon surface possesses highly active and stabilized reaction sites. Based on this finding, boron-doped graphite felt electrodes are fabricated for VRFBs. Testing results show that the batteries with boron-doped graphite felt electrodes achieve energy efficiencies of 87.40% and 82.52% at the current densities of 160 and 240 mA cm(-2), which are 15.63% and 19.50% higher than those with the original electrodes. In addition, the batteries can also be operated at high current densities of 320 and 400 mA cm(-2) with energy efficiencies of 77.97% and 73.63%, which are among the highest performances in the open literature. More excitingly, the VRFBs with the boron-doped graphite felt electrodes exhibit excellent stability during long-term cycling tests. The batteries can be stably cycled for more than 2000 cycles at 240 mA cm(-2) with ultra-low capacity and efficiency decay rates of only 0.028% and 0.0002% per cycle. In addition, after refreshing the electrolytes, the performances of the batteries are nearly recovered regardless of the inevitable decay of the membrane. All these results suggest that highly efficient and ultra-stable boron-doped graphite felts are promising electrodes for VRFBs.</t>
  </si>
  <si>
    <t>Jiang, Haoran/AAH-8244-2019; ZENG, Lin/H-4630-2011; Zhang, Ruihan/AAM-8057-2021; Zhao, Tianshou/A-1341-2009</t>
  </si>
  <si>
    <t>Jiang, Haoran/0000-0002-3774-0059; ZENG, Lin/0000-0002-0510-1754; Zhao, Tianshou/0000-0003-4825-2381;</t>
  </si>
  <si>
    <t>JUL 21</t>
  </si>
  <si>
    <t>10.1039/c8ta03388a</t>
  </si>
  <si>
    <t>WOS:000438548800035</t>
  </si>
  <si>
    <t>Grixti, S; Mukherjee, S; Singh, CV</t>
  </si>
  <si>
    <t>Grixti, Sean; Mukherjee, Sankha; Singh, Chandra Veer</t>
  </si>
  <si>
    <t>Two-dimensional boron as an impressive lithium-sulphur battery cathode material</t>
  </si>
  <si>
    <t>beta(12)-borophene is a recently fabricated two-dimensional (2D) allotrope of boron that has many unique electrical, mechanical and chemical properties that make it an excellent candidate as a cathode material in lithium sulphur (Li-S) batteries. Ab initio calculations were performed to determine beta(12)-borophene's applicability as a Li-S battery cathode material. Binding energies of sulphur (S-8) and various lithium polysulphides (Li2Sx, x=2,3,4,6,8) on the beta(12)-borophene surface were calculated, along with the diffusion barriers for Li2S6 and Li2S4. Our calculations suggest a moderate adsorption of sulphur and a strong adsorption of all lithium polysulphides, implying beta(12)-borophene would sufficiently inhibit the dissolution of lithium polysulphides into the electrolyte, preventing the shuttle effect. Through an exhaustive adsorption site sampling the binding energies were determined to be -1.19 eV for S-8, -2.98 eV for Li2S8, -2.77 eV for Li2S6, -3.08 eV for Li2S4, -3.48 eV for Li2S3, -3.79 eV for Li2S2, and -4.57 eV for Li2S. The diffusion barriers for Li2S6 and Li2S4 were determined to be moderate, ensuring efficient diffusion, with the lowest diffusion energy barriers being 0.61 eV and 0.99 eV for Li2S6 and Li2S4, respectively. The strong binding energies and moderate diffusion barriers suggest beta(12)-borophene would be an excellent lithium polysulphide immobilizer in Li-S cathodes.</t>
  </si>
  <si>
    <t>; Singh, Chandra/B-4632-2008; Mukherjee, Sankha/AAD-5954-2019</t>
  </si>
  <si>
    <t>Mukherjee, Sankha/0000-0001-9094-0538;</t>
  </si>
  <si>
    <t>10.1016/j.ensm.2017.12.024</t>
  </si>
  <si>
    <t>WOS:000436924800009</t>
  </si>
  <si>
    <t>Zhu, JB; Xiao, ML; Song, P; Fu, J; Jin, Z; Ma, L; Ge, JJ; Liu, CP; Chen, ZW; Xing, W</t>
  </si>
  <si>
    <t>Zhu, Jianbing; Xiao, Meiling; Song, Ping; Fu, Jing; Jin, Zhao; Ma, Liang; Ge, Junjie; Liu, Changpeng; Chen, Zhongwei; Xing, Wei</t>
  </si>
  <si>
    <t>Highly polarized carbon nano-architecture as robust metal-free catalyst for oxygen reduction in polymer electrolyte membrane fuel cells</t>
  </si>
  <si>
    <t>Metal-free electrocatalysts have eluded widespread adoption in polymer electrolyte membrane fuel cells due to their far inferior catalytic activity than most non-precious metal-N-C counterparts (M-N-x-C) for oxygen reduction reaction (ORR), despite their distinct advantages over the M-N-x-C catalysts, including lower cost and higher durability. Herein, we develop a rational bottom-up engineering strategy to improve the ORR performance of a metal-free catalyst by constructing a three-dimensional ultrathin N, P dual-doped carbon nanosheet. The resultant catalyst represents unprecedented ORR performance with an onset potential of 0.91 V, half-wave potential of 0.79 V. Impressively, a maximum power output at 579mWcm(-2) is generated in the fuel cell test, the best among reported metal-free catalysts and outperforms most of the M-N-x-C catalysts. The outstanding catalytic performance results from the highly active polarized carbon sites which are induced by selective graphitic nitrogen and phosphorous dual doping. Our findings provide new directions for the exploration of alternatives to Pt and bring a renew interests in the metal-free catalysts.</t>
  </si>
  <si>
    <t>Xiao, Mei/KFQ-6798-2024; chen, zhongwei/A-5605-2015; Ma, Liang/H-6226-2013; Fu, Jing/S-9621-2017; 葛, 君杰/JPA-6509-2023</t>
  </si>
  <si>
    <t>fu, jing/0000-0002-6635-8043</t>
  </si>
  <si>
    <t>10.1016/j.nanoen.2018.04.021</t>
  </si>
  <si>
    <t>WOS:000434829500004</t>
  </si>
  <si>
    <t>Liu, Y; Xie, K; Pan, Y; Li, YJ; Lu, W; Liu, SK; Zheng, CM</t>
  </si>
  <si>
    <t>Liu, Yong; Xie, Kai; Pan, Yi; Li, Yujie; Lu, Wei; Liu, Shuangke; Zheng, Chunman</t>
  </si>
  <si>
    <t>Impacts of lithium tetrafluoroborate and lithium difluoro(oxalate)borate as additives on the storage life of Li-ion battery at elevated temperature</t>
  </si>
  <si>
    <t>The impacts of boron-based Li salt additives including lithium tetrafluoroborate (LiBF4) and lithium difluoro(oxalate)borate (LDFOB) on the storage life of Li-ion battery at elevated temperature are investigated. Adding 1 wt% additives in the electrolyte significantly affects the storage life of the LiNi0.8Co0.15Al0.05O2/graphite full cell at 55 degrees C. The anode solid electrolyte interphase (SEI), preventing the loss of Li+ and e(-) in anode, is the key factor affecting the storage life. The formation and aging of SEI on the graphite anode with and without additives are investigated. It is found that the SEI formed with the addition of LiBF4 is thick and loose due to LiF crystals produced by the decomposition of LiBF4 and the SEI cannot prevent the Li+ and e(-) loss in anode and the decomposition of the electrolyte solvent, resulting in shorter storage life of the battery. On the contrary, the SEI formed with the addition of LDFOB is thick and compact due to formation of the lithium oxalate in the SEI, produced by the decomposition of LDFOB. The SEI efficiently inhibits decomposition of the electrolyte solvent on anode and makes a longer storage life of the battery.</t>
  </si>
  <si>
    <t>Luo, yujie/KGK-3881-2024</t>
  </si>
  <si>
    <t>10.1007/s11581-017-2350-0</t>
  </si>
  <si>
    <t>WOS:000432348300008</t>
  </si>
  <si>
    <t>Liu, Y; Qiao, Y; Zhang, Y; Yang, Z; Gao, TT; Kirsch, D; Liu, BY; Song, JW; Yang, B; Hu, LB</t>
  </si>
  <si>
    <t>Liu, Yang; Qiao, Yun; Zhang, Ying; Yang, Zhi; Gao, Tingting; Kirsch, Dylan; Liu, Boyang; Song, Jianwei; Yang, Bao; Hu, Liangbing</t>
  </si>
  <si>
    <t>3D printed separator for the thermal management of high-performance Li metal anodes</t>
  </si>
  <si>
    <t>Lithium (Li) metal anodes with a high theoretical gravimetric capacity and a low redox potential have attracted considerable attention for Li-ion based batteries, including Li-sulfur (Li-S) and Li-oxygen (Li-O-2) batteries. The elimination of safety concerns and long cycling stability issues are the main challenges that must be solved to apply Li metal anodes in any application. Herein, we design a novel and safe separator for Li metal batteries by integrating thermally management boron nitride (BN) nanosheets into poly vinylidene fluoride-hexafluoropropene (PVDF-HFP) via an advanced extrusion based 3D printing technique. The BN-separator offers a uniform thermal distribution interface, which enables homogeneous Li nucleation, enhanced suppression of Li dendrite growth, and further improves the overall electrochemical performance. A stable Coulombic efficiency of 92% is maintained after 90 cycles at 1 mA cm(-2) by using this novel separator in Li/Cu cells. In contrast, the Coulombic efficiency of the control cells decreases to 70% after 30 cycles at a current density of 1 mA cm(-2). In addition, in a Li/Li symmetric configuration, the cells using the 3D printed BN-separator exhibit improved cycling stability with lower voltage polarization over 500 h. Our findings on 3D printing for a thermally managing BN-separator can serve as a general strategy for further advanced rechargeable batteries.</t>
  </si>
  <si>
    <t>Gao, tingting/IVH-4488-2023; Song, Jianwei/LMN-0844-2024; Yang, Fuhua/IVV-2913-2023; Hu, Liangbing/N-6660-2013; yang, liu/N-8925-2018</t>
  </si>
  <si>
    <t>Liu, Boyang/0000-0003-1815-5687; Song, Jianwei/0000-0001-6314-7171; Hu, Liangbing/0000-0002-9456-9315; Kirsch, Dylan J./0000-0001-5132-3457;</t>
  </si>
  <si>
    <t>10.1016/j.ensm.2017.12.019</t>
  </si>
  <si>
    <t>WOS:000428083400025</t>
  </si>
  <si>
    <t>Yu, SY; Yang, NJ; Vogel, M; Mandal, S; Williams, OA; Jiang, SY; Schönherr, H; Yang, B; Jiang, X</t>
  </si>
  <si>
    <t>Yu, Siyu; Yang, Nianjun; Vogel, Michael; Mandal, Soumen; Williams, Oliver A.; Jiang, Siyu; Schoenherr, Holger; Yang, Bing; Jiang, Xin</t>
  </si>
  <si>
    <t>Battery-like Supercapacitors from Vertically Aligned Carbon Nanofiber Coated Diamond: Design and Demonstrator</t>
  </si>
  <si>
    <t>To fabricate battery-like supercapacitors with high power and energy densities, big capacitances, as well as long-term capacitance retention, vertically aligned carbon nanofibers (CNFs) grown on boron doped diamond (BDD) films are employed as the capacitor electrodes. They possess large surface areas, high conductivity, high stability, and importantly are free of binder. The large surface areas result from their porous structures. The containment of graphene layers and copper metal catalysts inside CNFs leads to their high conductivity. Both electrical double layer capacitors (EDLCs) in inert solutions and pseudocapacitors (PCs) using Fe (CN)(6)(3-/4-) redox-active electrolytes are constructed with three-and two-electrode systems. The assembled two-electrode symmetrical supercapacitor devices exhibit capacitances of 30 and 48 mF cm(-2) at 10 mV s(-1) for EDLC and PC devices, respectively. They remain constant even after 10 000 charging/discharging cycles. The power densities are 27.3 and 25.3 kW kg(-1) for EDLC and PC devices, together with their energy densities of 22.9 and 44.1 W h kg(-1), respectively. The performance of these devices is superior to most of the reported supercapacitors and batteries. Vertically aligned CNF/BDD hybrid films are thus useful to construct high-performance battery-like and industry-orientated supercapacitors for future power devices.</t>
  </si>
  <si>
    <t>; Mandal, Soumen/C-6880-2011; Jiang, siyu/KJK-9483-2024; Jiang, Xin/H-9759-2016; Schönherr, Holger/D-5878-2014; Schonherr, Holger/D-5878-2014; Williams, Oliver/A-5079-2008; Yang, Bing/AAR-8126-2021</t>
  </si>
  <si>
    <t>Yang, Bing/0000-0002-8966-9565; Mandal, Soumen/0000-0001-8912-1439; Schonherr, Holger/0000-0002-5836-5569; Yang, Nianjun/0000-0002-5558-2314; Williams, Oliver/0000-0002-7210-3004;</t>
  </si>
  <si>
    <t>10.1002/aenm.201702947</t>
  </si>
  <si>
    <t>WOS:000433706700026</t>
  </si>
  <si>
    <t>Rodríguez-García, J; Cameán, I; Ramos, A; Rodríguez, E; García, AB</t>
  </si>
  <si>
    <t>Rodriguez-Garcia, Jorge; Camean, Ignacio; Ramos, Alberto; Rodriguez, Elena; Garcia, Ana B.</t>
  </si>
  <si>
    <t>Graphitic carbon foams as anodes for sodium-ion batteries in glyme-based electrolytes</t>
  </si>
  <si>
    <t>The electrochemical performance as potential anodes for sodium-ion batteries of boron-doped and non-doped graphitic carbon foams is investigated by galvanostic cycling versus Na/Na+ at different electrical current densities, in glyme-based electrolytes which are known to allow the intercalation of the Na+ ions into graphite. The influence of materials composition and graphitic degree on battery parameters is firstly determined and further discussed by analyzing the mechanism of the electrochemical storage of Na+ ions into these materials which was found to occur through different combinations of pseudocapacitive intercalation and diffusion-controlled intercalation processes. In summary, the results of this study have demonstrated that graphitic carbon foams match a very acceptable capacity with excellent cycle stability as well as performance at high electrical current densities (up to similar to 90 mAh g(-1) after 300 cycles at 1.9 A g(-1) with coulombic efficiency similar to 100%) which make them suitable for sodium-ion battery applications. Overall, the increase of the interlayer spacing between the graphene layers and the presence of boron promote the pseudocapacitive intercalation which is responsible for the remarkable rate performance of these materials, whereas the improvement of diffusion-controlled intercalation capacity is mainly related to larger boron content. (c) 2018 Elsevier Ltd. All rights reserved.</t>
  </si>
  <si>
    <t>Rodriguez, Elena/K-5231-2014; Ramos, Alberto/A-7208-2014; Garcia Suarez, Ana Beatriz/M-2934-2015</t>
  </si>
  <si>
    <t>Rodriguez, Elena/0000-0001-6835-0371; Garcia Suarez, Ana Beatriz/0000-0003-0935-334X</t>
  </si>
  <si>
    <t>10.1016/j.electacta.2018.03.084</t>
  </si>
  <si>
    <t>WOS:000429262900028</t>
  </si>
  <si>
    <t>Deng, BW; Sun, DM; Wan, Q; Wang, H; Chen, T; Li, X; Qu, MZ; Peng, GC</t>
  </si>
  <si>
    <t>Deng Bangwei; Sun Daming; Wan Qi; Wang Hao; Chen Tao; Li Xuan; Qu Meizhen; Peng Gongchang</t>
  </si>
  <si>
    <t>Review of Electrolyte Additives for Ternary Cathode Lithium-ion Battery</t>
  </si>
  <si>
    <t>Ternary layered oxides {Li[NixCoyMz]O-2 (0</t>
  </si>
  <si>
    <t>10.6023/A17110517</t>
  </si>
  <si>
    <t>WOS:000442405200003</t>
  </si>
  <si>
    <t>Zhang, JF; Ma, C; Hou, H; Li, XF; Chen, LB; Ivey, DG; Wei, WF</t>
  </si>
  <si>
    <t>Zhang, Jinfang; Ma, Cheng; Hou, Hua; Li, Xiaofeng; Chen, Libao; Ivey, Douglas G.; Wei, Weifeng</t>
  </si>
  <si>
    <t>A star-shaped solid composite electrolyte containing multifunctional moieties with enhanced electrochemical properties for all solid-state lithium batteries</t>
  </si>
  <si>
    <t>Limited ionic conduction and poor solid/solid interfacial stability are crucial characteristics that impede the practical application of solid polymeric electrolytes. Herein, a star-shaped solid composite electrolyte (SCE) containing multifunctional components, including anion-trapping boron moieties (B-PEGMA), poly(ethylene glycol) methyl ether methacrylate (PEGMEM) and octavinyl octasilsesquioxane (OV-POSS) nanofiller, was developed via a simple free radical polymerization method. The unique star-shaped structure induced by OV-POSS is beneficial to increasing the movement of polymer chains and forming continuously interconnected ion-conducting channels and the boron moieties can promote lithium salt dissociation and increase the effective transmission of Li+ in the electrolyte. This SCE exhibits an extremely high ionic conductivity of 3.44 x 10(-4) S cm(-1) and a high Li ion transference number of 0.58 at 25 degrees C, as well as excellent interfacial compatibility with the Li electrode leading to excellent rate performance and good cyclic stability in all-solid-state Li batteries.</t>
  </si>
  <si>
    <t>; Li, Xiaofeng/LIC-9574-2024; Wei, Weifeng/B-4613-2011</t>
  </si>
  <si>
    <t>Li, Xiaofeng/0000-0003-4285-6950; Wei, Weifeng/0000-0002-3088-6549</t>
  </si>
  <si>
    <t>10.1016/j.memsci.2018.01.063</t>
  </si>
  <si>
    <t>WOS:000427491600012</t>
  </si>
  <si>
    <t>Pan, ZH; Zhi, HZ; Qiu, YC; Yang, J; Xing, LD; Zhang, QC; Ding, XY; Wang, XS; Xu, GG; Yuan, H; Chen, M; Li, WF; Yao, YG; Motta, N; Liu, MN; Zhang, YG</t>
  </si>
  <si>
    <t>Pan, Zhenghui; Zhi, Huozhen; Qiu, Yongcai; Yang, Jie; Xing, Lidan; Zhang, Qichong; Ding, Xiaoyu; Wang, Xianshu; Xu, Guoguang; Yuan, Hua; Chen, Min; Li, Wanfei; Yao, Yagang; Motta, Nunzio; Liu, Meinan; Zhang, Yuegang</t>
  </si>
  <si>
    <t>Achieving commercial-level mass loading in ternary-doped holey graphene hydrogel electrodes for ultrahigh energy density supercapacitors</t>
  </si>
  <si>
    <t>Enabling fast ion diffusion in thick electrodes (100-200 mu m, similar to 10 mg cm(-2)) is critical for their practical application in state-of-the-art supercapacitors (SCs). We developed a three-dimensional (3D) boron, nitrogen, and phosphorus ternary-doped holey graphene hydrogel (BNP-HGH) film to achieve an optimized porous structure with a high electrical conductivity, large ion accessible surface area, efficient electron and ion transport pathways, as well as high ion adsorption capacity. The binder-free BNP-HGH electrode can deliver a specific capacitance of 350 F g(-1) and a volumetric capacity of 234 F cm(-3), which are the best performance reported so far for graphene-based SCs using an organic electrolyte. Fully packaged SCs using the BNP-HGH electrodes with a commercial level graphene mass loading (150 mu m, similar to 10 mg cm(-2)) can deliver ultrahigh stack gravimetric and volumetric energy densities of 38.5 Wh kg(-1) and 57.4 Wh L-1, respectively, which are comparable to those of lead-acid batteries (35-40 Wh kg(-1) and 50-90 Wh L-1) while maintaining an ultrahigh power density of 83 kW kg(-1) (similar to 55 kW L-1) as well as a long cycle life (81.3% capacitance retention over 50,000 cycles). The high energy and power densities bridge the gap between traditional SCs and batteries, and should be very useful in practical applications.</t>
  </si>
  <si>
    <t>Motta, Nunzio/J-1008-2012; li, wanfei/N-4145-2013; Wang, Xianshu/ISS-3880-2023; Wang, Ziqi/F-7535-2011; Zhang, Y/E-6600-2011; Qiu, Yongcai/J-6562-2012; ZHANG, YUEGANG/E-6600-2011</t>
  </si>
  <si>
    <t>li, wanfei/0000-0002-6776-1416; Motta, Nunzio/0000-0002-3857-1031; Qiu, Yongcai/0000-0002-7843-6811; Wang, Xianshu/0000-0003-0581-6677; ZHANG, YUEGANG/0000-0003-0344-8399</t>
  </si>
  <si>
    <t>10.1016/j.nanoen.2018.02.007</t>
  </si>
  <si>
    <t>WOS:000427924000032</t>
  </si>
  <si>
    <t>Zhang, YF; Pan, MZ; Liu, XP; Li, CC; Dong, JM; Sun, YB; Zeng, DL; Yang, ZH; Cheng, HS</t>
  </si>
  <si>
    <t>Zhang, Yunfeng; Pan, Meize; Liu, Xupo; Li, Cuicui; Dong, Jiaming; Sun, Yubao; Zeng, Danli; Yang, Zehui; Cheng, Hansong</t>
  </si>
  <si>
    <t>Overcoming the Ambient-Temperature Operation Limitation in Lithium-Ion Batteries by using a Single-Ion Polymer Electrolyte Fabricated by Controllable Molecular Design</t>
  </si>
  <si>
    <t>A polymer electrolyte with a particular molecular architecture plays a critical role in the improvement of the performances of both a polymer electrolyte and a battery device. Here, we present the design and synthesis of a sp(3)-boron-based single-ion polymer electrolyte (SIPE), lithium poly(bisphenol AF borate) (LiPFB), by using partially aromatic bisphenol AF as a linker. As a result of the torsional, flexible, and strong electron-withdrawing properties of the bistrifluoromethyl methylene group (-C(CF3)(2)-), the prepared poly(vinylidene fluoride-co-hexafluoropropene (PVDF-HFP)/LiPFB membrane displays an enhanced ionic conductivity and a remarkable compatibility with electrodes compared to that of the PVDF-HFP/lithium poly(4,4'-biphenol borate) membrane, in which a linear and fully aromatic 4,4'-biphenol is used as a linker. Consequently, an excellent battery performance both at room temperature and high charge/discharge rates was demonstrated. This study underscores the fundamental importance of the molecular structure of SIPE materials in battery performance enhancement and suggests ways to design new SIPE materials to enhance battery devices with improved electrochemical performance.</t>
  </si>
  <si>
    <t>Cheng, Hansong/G-3928-2012; ZHANG, Yunfeng/F-6147-2010; yang, zhang/ABE-4264-2021; pan, meize/LVR-1163-2024; zeng, dan/HJJ-1301-2023</t>
  </si>
  <si>
    <t>ZHANG, Yunfeng/0000-0001-6928-1742;</t>
  </si>
  <si>
    <t>10.1002/ente.201700410</t>
  </si>
  <si>
    <t>WOS:000424795100012</t>
  </si>
  <si>
    <t>Wang, CJ; Wu, DP; Wang, HJ; Gao, ZY; Xu, F; Jiang, K</t>
  </si>
  <si>
    <t>Wang, Cunjing; Wu, Dapeng; Wang, Hongju; Gao, Zhiyong; Xu, Fang; Jiang, Kai</t>
  </si>
  <si>
    <t>A green and scalable route to yield porous carbon sheets from biomass for supercapacitors with high capacity</t>
  </si>
  <si>
    <t>A green and scalable route is developed to prepare hierarchical porous carbon sheets (HPCS) from biomass (cornstalk) directly under an air atmosphere instead of inert gas protection. In addition, the method adopts non-toxic NaCl and KCl mixed salt as reaction media to regulate the activation process, which avoids the corrosive and poisonous KOH and ZnCl2 reagents. Meanwhile, the porous structures of HPCS can be well-manipulated by the salt templates and the etching effects of the oxygen atom as well as the high energy molten salt media. The as-obtained HPCS consist of an ultra-thin sheet structure (similar to 4.6 nm in thickness) and abundant hierarchical pores, which facilitates electrolyte diffusion and ion transfer. In addition, the high specific surface area of 1588 m(2) g(-1) provides sufficient active sites and the rich O doping introduces pseudocapacitance. Therefore, the as-prepared HPCS exhibit a high specific capacitance of 407 F g(-1) at 1 A g(-1) in a three-electrode system. Moreover, the assembled symmetric supercapacitor in a two-electrode system also exhibits an outstanding specific capacitance of 413 F g(-1) at 0.5 A g(-1), an excellent rate capacity and a long-term cycling stability with 92.6% of initial capacitance retention after 20 000 cycles at 5 A g(-1), which are comparable to those of the porous carbons activated with traditional methods. It is expected that this green and facile technique could serve as an effective and scalable method to prepare optimized HPCS with tunable porous structures from biomass for electrochemical energy storage applications.</t>
  </si>
  <si>
    <t>Wu, Dapeng/0000-0002-3993-8587</t>
  </si>
  <si>
    <t>10.1039/c7ta07579k</t>
  </si>
  <si>
    <t>WOS:000422949700056</t>
  </si>
  <si>
    <t>Allu, AR; Balaji, S; Illath, K; Hareendran, C; Ajithkumar, TG; Biswas, K; Annapurna, K</t>
  </si>
  <si>
    <t>Allu, Amarnath R.; Balaji, Sathravada; Illath, Kavya; Hareendran, Chaithanya; Ajithkumar, T. G.; Biswas, Kaushik; Annapurna, K.</t>
  </si>
  <si>
    <t>Structural elucidation of NASICON (Na3Al2P3O12) based glass electrolyte materials: effective influence of boron and gallium</t>
  </si>
  <si>
    <t>Understanding the conductivity variations induced by compositional changes in sodium super ionic conducting (NASICON) glass materials is highly relevant for applications such as solid electrolytes for sodium (Na) ion batteries. In the research reported in this paper, NASICON-based NCAP glass (Na2.8Ca0.1Al2P3O12) was selected as the parent glass. The present study demonstrates the changes in the Na+ ion conductivity of NCAP bulk glass with the substitution of boron (NCABP: Na2.8Ca0.1Al2B0.5P2.7O12) and gallium (NCAGP: Na2.8Ca0.1Al2Ga0.5P2.7O12) for phosphorus and the resulting structural variations found in the glass network. For a detailed structural analysis of NCAP, NCABP and NCAGP glasses, micro-Raman and magic angle spinning-nuclear magnetic resonance (MAS-NMR) spectroscopic techniques (for P-31, Al-27, Na-23, B-11 and Ga-71 nuclei) were used. The Raman spectrum revealed that the NCAP glass structure is more analogous to the AlPO4 mesoporous glass structure. The P-31 MAS-NMR spectrum illustrated that the NCAP glass structure consists of a high concentration of Q(0) (3Al) units, followed by Q(0) (2Al) units. The Al-27 MAS-NMR spectrum indicates that alumina exists at five different sites, which include AlO4 units surrounded by AlO6 units, Al(OP)(4), Al(OP)(5), Al(OAl)(6) and Al(OP)(6), in the NCAP glass structure. The P-31, Al-27 and B-11 MAS-NMR spectra of the NCABP glass revealed the absence of B-O-Al linkages and the presence of B-3-O-B-4-O-P-4 linkages which further leads to the formation of borate and borophosphate domains. The Ga-71 MAS-NMR spectrum suggests that gallium cations in the NCAGP glass compete with the alumina cations and occupy four (GaO4), five (GaO5) and six (GaO6) coordinated sites. The Raman spectrum of NCAGP glass indicates that sodium cations have also been substituted by gallium cations in the NCAP glass structure. From impedance analysis, the dc conductivity of the NCAP glass (approximate to 3.13 x 10(-8) S cm(-1)) is slightly decreased with the substitution of gallium (approximate to 2.27 x 10(-8) S cm(-1)) but considerably decreased with the substitution of boron (approximate to 1.46 x 10(-8) S cm(-1)). The variation in the conductivity values are described based on the structural changes of NCAP glass with the substitution of gallium and boron.</t>
  </si>
  <si>
    <t>; Balaji, Sathravada/F-9441-2012; R Allu, Amarnath/H-5014-2018; Allu, Amarnath/M-5060-2016; BISWAS, KAUSHIK/F-7054-2010</t>
  </si>
  <si>
    <t>Illath, Kavya/0000-0002-1935-0516; Balaji, Sathravada/0000-0003-0820-6444; R Allu, Amarnath/0000-0003-0450-0929;</t>
  </si>
  <si>
    <t>10.1039/c8ra01676c</t>
  </si>
  <si>
    <t>WOS:000430536600031</t>
  </si>
  <si>
    <t>Demirci, ÜB</t>
  </si>
  <si>
    <t>Demirci, Umit Bilge</t>
  </si>
  <si>
    <t>Sodium borohydride for the near-future energy: a rough diamond for Turkey</t>
  </si>
  <si>
    <t>Boron-based materials are potential solutions in the field of energy. They have been regarded as hydrogen storage materials, liquid fuels of direct liquid-fed fuel cells (DLFCs), electrolytes of battery, and/or energetic substances. A typical example is sodium borohydride (NaBH4). In sodium hydroxide-stabilized aqueous solutions, it is seen as an efficient H-2 generator or a performing fuel of DLFCs. Actually, it plays a wider role; it is also the precursor of several boron-based materials of interest in the field of energy. In other words, it is indirectly considered for other energy applications, i.e. solid electrolytes of all solid-state batteries and hypergolic fuel. De facto sodium borohydride has become a key material in the field of energy. This is discussed in the present article, and it is highlighted that sodium borohydride may be clearly seen as a rough diamond for Turkey.</t>
  </si>
  <si>
    <t>DEMIRCI, Umit/AAJ-4026-2020; DEMIRCI, Umit Bilge/AAJ-4026-2020</t>
  </si>
  <si>
    <t>DEMIRCI, Umit Bilge/0000-0003-3616-1810</t>
  </si>
  <si>
    <t>10.3906/kim-1712-6</t>
  </si>
  <si>
    <t>WOS:000431245300001</t>
  </si>
  <si>
    <t>Joshi, P; Iwai, K; Patnaik, SG; Vedarajan, R; Matsumi, N</t>
  </si>
  <si>
    <t>Joshi, Prerna; Iwai, Katsuhito; Patnaik, Sai Gourang; Vedarajan, Raman; Matsumi, Noriyoshi</t>
  </si>
  <si>
    <t>Reduction of Charge-Transfer Resistance via Artificial SEI Formation Using Electropolymerization of Borylated Thiophene Monomer on Graphite Anodes</t>
  </si>
  <si>
    <t>Modification of electrode surface using borylated-thiophene monomer resulted in the formation of a pre-formed solid electrolyte interface (SEI). The obtained ready-to use anodes did not show any loss in capacity during the first few cycles of charging and discharging. Herein, we report the synthesis and utilization of boron containing monomer to form an artificial SEI to reduce the interfacial resistance at SEI. Electropolymerization was performed via two methods, i) pre-modification and ii) in-situ modification. After the modification of the anodes, modified electrodes showed increased capacities, reduced capacity fading effect, and reduced interfacial resistance. Charge-discharge characteristics of half-cell with borylated thiophene polymer over graphite was studied and compared with graphite without any modification and polythiophene coated graphite. (C) 2018 The Electrochemical Society.</t>
  </si>
  <si>
    <t>; Matsumi, Noriyoshi/E-9496-2011; Patnaik, Sai Gourang/AAD-4804-2022; Vedarajan, Raman/AAI-1577-2019; Joshi, Prerna/AHC-1721-2022; Vedarajan, Raman/E-7267-2016</t>
  </si>
  <si>
    <t>Patnaik, Sai Gourang/0000-0002-1606-9024; Joshi, Prerna/0000-0002-3157-1821; Vedarajan, Raman/0000-0002-0178-6987</t>
  </si>
  <si>
    <t>A493</t>
  </si>
  <si>
    <t>A500</t>
  </si>
  <si>
    <t>10.1149/2.0141803jes</t>
  </si>
  <si>
    <t>WOS:000431790700010</t>
  </si>
  <si>
    <t>Li, WJ; Tosaka, M; Yamago, S</t>
  </si>
  <si>
    <t>Matyjaszewski, K; Gao, H; Sumerlin, BS; Tsarevsky, NV</t>
  </si>
  <si>
    <t>Li, Wenjuan; Tosaka, Masatoshi; Yamago, Shigeru</t>
  </si>
  <si>
    <t>Synthesis of a Structurally Controlled Polyacrylonitrile Gel for Energy-Storage Devices by an Organotellerium-Mediated Radical Copolymerization and Subsequent Cross-Linking Reaction</t>
  </si>
  <si>
    <t>REVERSIBLE DEACTIVATION RADICAL POLYMERIZATION, VOL 1: MATERIALS AND APPLICATIONS</t>
  </si>
  <si>
    <t>ACS Symposium Series</t>
  </si>
  <si>
    <t>American-Chemical-Society Symposium on Controlled Radical Polymerization / 254th ACS National Meeting</t>
  </si>
  <si>
    <t>AUG 20-24, 2017</t>
  </si>
  <si>
    <t>Washington, DC</t>
  </si>
  <si>
    <t>Amer Chem Soc, Div Polymer Chem Inc,Army Res Off,Anton Parr,Boron Mol,Kaneka,Natl Sci Fdn,PPG,Royal Soc Chem,Sigma Aldrich,Tosoh,Wiley VCH</t>
  </si>
  <si>
    <t>A new polyacrylonitrile (PAN)-based chemically cross linked gel swollen with adiponitrile was prepared for the first time. The host polymer, PAN-copolymer, was prepared by copolymerization of acrylonitrile (AN) and a methacrylamide-bearing amine functional group under organotellurium-mediated radical polymerization (TERP). Excellent control over the molecular weight and dispersity was observed. Then, the copolymers were cross-linked with a bifunctional crosslinker, hexamethylene diisocyanate (HDI), in adiponitrile to obtain the corresponding gel. The rheological study strongly supported the quantitative formation of cross-linking points and a homogeneous gel network. Alkyl dinitriles, such as adiponitrile, have wide electrochemical stability windows, which are suitable for increasing the energy density in energy-storage devices, i.e., Li-ion batteries and super capacitors. In addition, a polymer-gel electrolyte has significant advantages over liquid electrolytes due to its high safety and deformability. Therefore, the current work opens the potential for the development of new energy-storage devices.</t>
  </si>
  <si>
    <t>Yamago, Shigeru/G-4668-2013; Li, Wenjuan/I-4969-2017; Masatoshi, Tosaka/P-4933-2018</t>
  </si>
  <si>
    <t>0097-6156</t>
  </si>
  <si>
    <t>1947-5918</t>
  </si>
  <si>
    <t>978-0-8412-3318-8</t>
  </si>
  <si>
    <t>WOS:000456766400007</t>
  </si>
  <si>
    <t>Shariaty, DA; Qian, D; Cheng, YT; Odom, SA</t>
  </si>
  <si>
    <t>Shariaty, Darius A.; Qian, Dali; Cheng, Yang-Tse; Odom, Susan A.</t>
  </si>
  <si>
    <t>Application of Cross-Linked Polyborosiloxanes and Organically Modified Boron Silicate Binders in Silicon-Containing Anodes for Lithium-Ion Batteries</t>
  </si>
  <si>
    <t>To determine the effect of cross-linking in polymer binders on gravimetric capacity and retention in charge/discharge cycling of lithium-ion batteries containing silicon anodes, polymers with a varied chemiophysical characters have been studied as electrode binders. Here we report the utilization of cross-linked polyborosiloxanes and a boron-modified organosilicate as binders for nanoparticulate silicon-containing anodes for lithium-ion batteries. We show that highly cross-linked binders enable a large degree of capacity to be accessed and that capacity retention is greater when the electrodes are cycled in half cells. More extensive analysis of the boron-modified organosilicate is further explored. (C) The Author(s) 2018. Published by ECS.</t>
  </si>
  <si>
    <t>Cheng, Yang-Tse/B-5424-2012; Odom, Susan/C-9898-2010</t>
  </si>
  <si>
    <t>Cheng, Yang-Tse/0000-0003-0737-9212; Odom, Susan/0000-0001-6708-5852</t>
  </si>
  <si>
    <t>A731</t>
  </si>
  <si>
    <t>A735</t>
  </si>
  <si>
    <t>10.1149/2.0801803jes</t>
  </si>
  <si>
    <t>WOS:000431803900001</t>
  </si>
  <si>
    <t>Zhang, XH; Chen, X; Chen, CG; Liu, T; Liu, MM; Zhang, CC; Huang, T; Yu, AS</t>
  </si>
  <si>
    <t>Zhang, Xiuhui; Chen, Xiang; Chen, Chunguang; Liu, Tie; Liu, Mengmeng; Zhang, Congcong; Huang, Tao; Yu, Aishui</t>
  </si>
  <si>
    <t>Ruthenium oxide modified hierarchically porous boron-doped graphene aerogels as oxygen electrodes for lithium-oxygen batteries</t>
  </si>
  <si>
    <t>Suitable catalysts and reasonable structures for oxygen electrodes can effectively improve the electrochemical performance of lithium-oxygen batteries. In this work, ruthenium oxide modified boron-doped hierarchically porous reduced graphene aerogels (RuO2-B-HRG) are prepared by a sol-gel and subsequent low temperature annealing method and used as oxygen electrodes. The RuO2 nanoparticles (5-10 nm) are uniformly anchored in the three-dimensional B-HRG continuous electric network. The RuO2-B-HRG aerogel possesses a large specific surface area (287.211 m(2) g(-1)) and numerous mesopores and micropores. The pores facilitate electrolyte impregnation and oxygen diffusion, and they provide greatly increased accommodation space for the discharge products. Electrochemical tests show that the RuO2-B-HRG/KB enables the electrode overpotential to decrease, and the rate capability and the cycling stability are enhanced compared with pure HRG. The enhanced performance is ascribed to the bifunctional catalytic activity of RuO2-B-HRG and its unique three-dimensional porous architecture. The method is proved to be an effective strategy to combine porous carbon materials and nanoscale catalysts as electrodes for Li-O-2 batteries.</t>
  </si>
  <si>
    <t>Zhang, Congcong/AAL-7032-2020; Huang, Tao/IQU-9175-2023</t>
  </si>
  <si>
    <t>10.1039/c8ra08763f</t>
  </si>
  <si>
    <t>WOS:000452778800005</t>
  </si>
  <si>
    <t>Castañeda, LF; Walsh, FC; Nava, JL; de León, CP</t>
  </si>
  <si>
    <t>Castaneda, Locksley F.; Walsh, Frank C.; Nava, Jose L.; de Leon, Carlos Ponce</t>
  </si>
  <si>
    <t>Graphite felt as a versatile electrode material: Properties, reaction environment, performance and applications</t>
  </si>
  <si>
    <t>Carbon electrode materials have been extensively studied due to their diverse structure and chemistry which has enabled diverse applications. The thermal synthesis of graphite felt (GF) from polymeric precursors and the physical and electrochemical properties of flexible graphite felts are summarised. In electrochemical flow cells, the three-dimensional structure of GF as an electrode material counteracts the limitations of the low conversion and space-time yield possible with two-dimensional electrodes. The high volumetric area of GF facilitates the treatment of dilute solutions. The physical structure of GF enables it to act as a turbulence promoter, enhancing the hydrodynamics and mass transport rates in electrochemical systems. The electrochemical applications of GF in electroanalysis, electrosynthesis, electrochemical advanced oxidation processes, redox flow batteries, fuel cells, and metal ion removal are illustrated by examples. The characterisation of reaction environment, including non-ideal electrolyte flow, mass transport rates, fluid pressure drop, current and potential distributions of GF in electrochemical reactors are also considered. (c) 2017 Elsevier Ltd. All rights reserved.</t>
  </si>
  <si>
    <t>Leon, Carlos/HTQ-8220-2023; Nava, Jose/N-3313-2014</t>
  </si>
  <si>
    <t>Ponce de Leon, Carlos/0000-0002-1907-5913; Nava, Jose/0000-0003-2239-9123; Castaneda, Locksley/0000-0003-0214-9282</t>
  </si>
  <si>
    <t>10.1016/j.electacta.2017.11.165</t>
  </si>
  <si>
    <t>WOS:000418324800126</t>
  </si>
  <si>
    <t>Duchêne, L; Kühnel, RS; Stilp, E; Reyes, EC; Remhof, A; Hagemann, H; Battaglia, C</t>
  </si>
  <si>
    <t>Duchene, L.; Kuhnel, R. -S.; Stilp, E.; Reyes, E. Cuervo; Remhof, A.; Hagemann, H.; Battaglia, C.</t>
  </si>
  <si>
    <t>A stable 3 V all-solid-state sodium-ion battery based on a closo-borate electrolyte</t>
  </si>
  <si>
    <t>We report on a particularly stable 3 V all-solid-state sodium-ion battery built using a closo-borate based electrolyte, namely Na-2(B12H12)(0.5)(B10H10)(0.5). Battery performance is enhanced through the creation of an intimate cathode-electrolyte interface resulting in reversible and stable cycling with a capacity of 85 mA h g(-1) at C/20 and 80 mA h g(-1) at C/5 with more than 90% capacity retention after 20 cycles at C/20 and 85% after 250 cycles at C/5. We also discuss the effect of cycling outside the electrochemical stability window and show that electrolyte decomposition leads to faster though not critical capacity fading. Our results demonstrate that owing to their high stability and conductivity closo-borate based electrolytes could play a significant role in the development of a competitive all-solid-state sodium-ion battery technology.</t>
  </si>
  <si>
    <t>; Remhof, Arndt/ABA-5731-2020</t>
  </si>
  <si>
    <t>Duchene, Leo/0000-0003-0309-4682; Kuhnel, Ruben-Simon/0000-0003-1542-2970; Remhof, Arndt/0000-0002-8394-9646;</t>
  </si>
  <si>
    <t>10.1039/c7ee02420g</t>
  </si>
  <si>
    <t>WOS:000417255900013</t>
  </si>
  <si>
    <t>Shah, FU; Gnezdilov, OI; Gusain, R; Filippov, A</t>
  </si>
  <si>
    <t>Shah, Faiz Ullah; Gnezdilov, Oleg I.; Gusain, Rashi; Filippov, Andrei</t>
  </si>
  <si>
    <t>Transport and Association of Ions in Lithium Battery Electrolytes Based on Glycol Ether Mixed with Halogen-Free Orthoborate Ionic Liquid</t>
  </si>
  <si>
    <t>SCIENTIFIC REPORTS</t>
  </si>
  <si>
    <t>Ion transport behaviour of halogen-free hybrid electrolytes for lithium-ion batteries based on phosphonium bis(salicylato)borate [P-4,P-4,P-4,P-8][BScB] ionic liquid mixed with diethylene glycol dibutyl ether (DEGDBE) is investigated. The Li[BScB] salt is dissolved at different concentrations in the range from 0.15 mol kg (1) to 1.0 mol kg (1) in a mixture of [P-4,P-4,P-4,P-8][BScB] and DEGDBE in 1:5 molar ratio. The ion transport properties of the resulting electrolytes are investigated using viscosity, electrical impedance spectroscopy and pulsed-Field Gradient (PFG) NMR. The apparent transfer numbers of ions are calculated from the diffusion coefficients measured by using PFG NMR. PFG NMR data suggested ion association upon addition of Li salt to the [P-4,P-4,P-4,P-8][BScB] in DEGDBE solution. This is further confirmed by liquid state Li-7 and B-11 NMR, and FTIR spectroscopic techniques, which suggest strong interactions between the lithium cation and oxygen atoms of the [BScB](-) anion in the hybrid electrolytes.</t>
  </si>
  <si>
    <t>; Shah, Faiz Ullah/K-2172-2019; Filippov, Andrei/A-1053-2013; Gusain, Rashi/H-6881-2015; Gnezdilov, Oleg/N-3075-2016</t>
  </si>
  <si>
    <t>Shah, Faiz Ullah/0000-0003-3652-7798; Filippov, Andrei/0000-0002-6810-1882; Gusain, Rashi/0000-0002-7340-7237;</t>
  </si>
  <si>
    <t>2045-2322</t>
  </si>
  <si>
    <t>NOV 27</t>
  </si>
  <si>
    <t>10.1038/s41598-017-16597-7</t>
  </si>
  <si>
    <t>WOS:000416307000015</t>
  </si>
  <si>
    <t>Lu, ZH; Ciucci, F</t>
  </si>
  <si>
    <t>Lu, Ziheng; Ciucci, Francesco</t>
  </si>
  <si>
    <t>Metal Borohydrides as Electrolytes for Solid-State Li, Na, Mg, and Ca Batteries: A First-Principles Study</t>
  </si>
  <si>
    <t>Metal borohydrides are a family of materials that were recently discovered to have extraordinary ionic conductivities, making them promising candidates as electrolytes for solid-state batteries (SSBs). In fact, various groups have measured the ionic conductivities and assembled batteries using specific borohydrides. However, there are no comprehensive studies assessing the thermodynamic properties or discussing the suitability of metal borohydrides as electrolytes in SSBs, especially for beyond-lithium applications. In this work, we investigate the electrochemical stability, interfacial characteristics, mechanical properties, and ionic conductivities of Li, Na, Ca, and Mg borohydrides using first-principles calculations. Our results suggest that Li and Na borohydrides are unstable at high voltages. However, the corresponding decomposition products, i.e., B12H122--containing phases, have wide electrochemical windows which protect the electrolyte, leading to large electrochemical windows as wide as 5 V. In addition, our simulations indicate that metal borohydrides are ductile, suggesting facile processing. However, their low shear moduli may result in metal dendrite formation. For Ca and Mg borohydrides, while they possess reasonably good electrochemical stability, the low cationic diffusivity may impede their practical use. Finally, the anion rotation barrier was shown to correlate with the superionic phase transition temperature, suggesting that anion mixing may be a potential approach to achieve room-temperature superionic conductivity.</t>
  </si>
  <si>
    <t>Ciucci, Francesco/H-4786-2012; LU, Ziheng/N-4349-2018</t>
  </si>
  <si>
    <t>Ciucci, Francesco/0000-0003-0614-5537;</t>
  </si>
  <si>
    <t>NOV 14</t>
  </si>
  <si>
    <t>10.1021/acs.chemmater.7b03284</t>
  </si>
  <si>
    <t>WOS:000415911600044</t>
  </si>
  <si>
    <t>Hamisu, A; Çelik, SÜ</t>
  </si>
  <si>
    <t>Hamisu, Abubakar; Celik, Sevim U.</t>
  </si>
  <si>
    <t>Poly(AN-co-PEGMA)/hBN/NaClO4 composite electrolytes for sodium ion battery</t>
  </si>
  <si>
    <t>E-POLYMERS</t>
  </si>
  <si>
    <t>Polymer electrolytes composed of an acrylonitrile and polyethylene glycol methacrylate copolymer poly(ANco- PEGMA) with addition of NaClO4 are studied by impedance spectroscopy, differential scanning calorimetry (DSC), fourier transform infrared (FTIR), X-ray diffraction (XRD), scanning electron microscopy (SEM) and thermogravimetric analysis (TGA). Hexagonal boron nitride (hBN) particles are having increasing interest owing to mechanical properties, thermal stability, chemical stability and good lubrication property. In this study, hBN was used as an inorganic filler. FTIR spectroscopy was used to examine the interactions between the host polymer and both NaClO4 salt and nano hBN particles. The thermal properties of the composites were studied using TGA and DSC tests. TGA results showed that all the composites membranes were thermally stable till 300 degrees C with one step degradation. Surface morphology of the films was examined with SEM which also reveals the homogeneous dispersion of nano hBN in the polymer matrix. Ionic conductivity was studied with impedance spectroscopy, the results showed that the ionic conductivity increases with increasing PEGMA ratio. ANcoPEGMA 11 20Na (EO: Na ratio = 20) sample showed maximum ion conductivity of approximately 3.6 x 10(-4) S cm(-1) at 100 degrees C. This is because ANcoPEGMA 11 20Na has highest percentage of PEGMA and highest number of Na+ ion per EO groups.</t>
  </si>
  <si>
    <t>1618-7229</t>
  </si>
  <si>
    <t>10.1515/epoly-2017-0022</t>
  </si>
  <si>
    <t>WOS:000414653200007</t>
  </si>
  <si>
    <t>Xie, J; Liao, L; Gong, YJ; Li, YB; Shi, FF; Pei, A; Sun, J; Zhang, RF; Kong, B; Subbaraman, R; Christensen, J; Cui, Y</t>
  </si>
  <si>
    <t>Xie, Jin; Liao, Lei; Gong, Yongji; Li, Yanbin; Shi, Feifei; Pei, Allen; Sun, Jie; Zhang, Rufan; Kong, Biao; Subbaraman, Ram; Christensen, Jake; Cui, Yi</t>
  </si>
  <si>
    <t>Stitching h-BN by atomic layer deposition of LiF as a stable interface for lithium metal anode</t>
  </si>
  <si>
    <t>SCIENCE ADVANCES</t>
  </si>
  <si>
    <t>Defects are important features in two-dimensional (2D) materials that have a strong influence on their chemical and physical properties. Through the enhanced chemical reactivity at defect sites (point defects, line defects, etc.), one can selectively functionalize 2D materials via chemical reactions and thereby tune their physical properties. We demonstrate the selective atomic layer deposition of LiF on defect sites of h-BN prepared by chemical vapor deposition. The LiF deposits primarily on the line and point defects of h-BN, thereby creating seams that hold the h-BN crystallites together. The chemically and mechanically stable hybrid LiF/h-BN film successfully suppresses lithium dendrite formation during both the initial electrochemical deposition onto a copper foil and the subsequent cycling. The protected lithium electrodes exhibit good cycling behavior with more than 300 cycles at relatively high coulombic efficiency (&gt;95%) in an additive-free carbonate electrolyte.</t>
  </si>
  <si>
    <t>Xie, Jin/C-9581-2017; Gong, Yongji/Y-5434-2019; Pei, Allen/G-6931-2013; Cui, Yi/L-5804-2013; Christensen, Jake/A-5481-2008; Sun, Jie/HCI-0999-2022</t>
  </si>
  <si>
    <t>Shi, Feifei/0000-0002-2598-1867; kong, biao/0000-0001-8224-118X; Li, Yanbin/0000-0002-5285-8602; Christensen, Jake/0000-0002-3188-6671; Pei, Allen/0000-0001-8930-2125</t>
  </si>
  <si>
    <t>2375-2548</t>
  </si>
  <si>
    <t>eaao3170</t>
  </si>
  <si>
    <t>10.1126/sciadv.aao3170</t>
  </si>
  <si>
    <t>WOS:000418002000051</t>
  </si>
  <si>
    <t>Aydin, H; Çelik, SÜ; Bozkurt, A</t>
  </si>
  <si>
    <t>Aydin, Hamide; Celik, Sevim Unugur; Bozkurt, Ayhan</t>
  </si>
  <si>
    <t>Electrolyte loaded hexagonal boron nitride/polyacrylonitrile nanofibers for lithium ion battery application</t>
  </si>
  <si>
    <t>In the present work, Novel hBN/polyacrylonitrile composite nanofibers were produced via electrospinning approach and loaded with electrolyte for rechargeable lithium-ion battery applications. The electrospun nanofibers comprising various hBN contents were characterized by using Fourier transform infrared spectroscopy (FT-IR), thermogravimetric analysis (TGA), X-ray diffraction (XRD) and scanning electron microscopy (SEM) techniques. The influence of hBN/PAN ratios onto the properties of the porous composite system, such as fiber diameter, porosity and the liquid electrolyte uptake capability were systematically studied. Ionic conductivities and electrochemical characterizations were evaluated after loading electrospun hBN/PAN composite nanofiber with liquid electrolyte, i.e., 1 M lithium hexafluorophosphate (LiPF6) in ethylene carbonate (EC)/ethyl methyl carbonate (EMC) (1:1 vol). The electrolyte loaded nanofiber has a highest ionic conductivity of 10(-3) S cm(-1) at room temperature. According to cyclic voltammetry (CV) results it exhibited a high electrochemical stability window up to 4.7 V versus Li+/Li. Li//10 wt% hBN/PAN//LiCO2 cell was produced which delivered high discharge capacity of 144 mAhg(-1) and capacity retention of 92.4%. Considering high safety and low cost properties of the resulting hBN/PAN fiber electrolytes, these materials can be suggested as potential separator materials for lithium ion batteries.</t>
  </si>
  <si>
    <t>Aydın, Hamide/AAX-1871-2020; Bozkurt, Ayhan/G-5963-2017; Bozkurt, Ayhan/AAH-4466-2021</t>
  </si>
  <si>
    <t>Bozkurt, Ayhan/0000-0003-4201-370X; Aydin, Hamide/0000-0002-8267-2040;</t>
  </si>
  <si>
    <t>10.1016/j.ssi.2017.07.004</t>
  </si>
  <si>
    <t>WOS:000412266100011</t>
  </si>
  <si>
    <t>Moller, KT; Sheppard, D; Ravnsbæk, DB; Buckley, CE; Akiba, E; Li, HW; Jensen, TR</t>
  </si>
  <si>
    <t>Moller, Kasper T.; Sheppard, Drew; Ravnsbaek, Dorthe B.; Buckley, Craig E.; Akiba, Etsuo; Li, Hai-Wen; Jensen, Torben R.</t>
  </si>
  <si>
    <t>Complex Metal Hydrides for Hydrogen, Thermal and Electrochemical Energy Storage</t>
  </si>
  <si>
    <t>Hydrogen has a very diverse chemistry and reacts with most other elements to form compounds, which have fascinating structures, compositions and properties. Complex metal hydrides are a rapidly expanding class of materials, approaching multi-functionality, in particular within the energy storage field. This review illustrates that complex metal hydrides may store hydrogen in the solid state, act as novel battery materials, both as electrolytes and electrode materials, or store solar heat in a more efficient manner as compared to traditional heat storage materials. Furthermore, it is highlighted how complex metal hydrides may act in an integrated setup with a fuel cell. This review focuses on the unique properties of light element complex metal hydrides mainly based on boron, nitrogen and aluminum, e.g., metal borohydrides and metal alanates. Our hope is that this review can provide new inspiration to solve the great challenge of our time: efficient conversion and large-scale storage of renewable energy.</t>
  </si>
  <si>
    <t>Møller, Kasper/P-1298-2019; Buckley, Craig/B-6753-2013; Sheppard, Drew/C-1964-2013; Li (李海文), Hai-Wen/B-9260-2009</t>
  </si>
  <si>
    <t>Buckley, Craig/0000-0002-3075-1863; Moller, Kasper/0000-0002-1970-6703; Jensen, Torben Rene/0000-0002-4278-3221; Sheppard, Drew/0000-0003-0329-094X; Li, Hai-Wen/0000-0001-7223-1754; Ravnsbaek, Dorthe Bomholdt/0000-0002-8172-3985</t>
  </si>
  <si>
    <t>10.3390/en10101645</t>
  </si>
  <si>
    <t>WOS:000414578400200</t>
  </si>
  <si>
    <t>Vaalma, C; Buchholz, D; Passerini, S</t>
  </si>
  <si>
    <t>Vaalma, Christoph; Buchholz, Daniel; Passerini, Stefano</t>
  </si>
  <si>
    <t>Beneficial effect of boron in layered sodium-ion cathode materials - The example of Na2/3B0.11Mn0.89O2</t>
  </si>
  <si>
    <t>Sodium-ion batteries are regarded as a complementary drop-in technology to lithium-ion batteries because they promise lower cost and a higher degree of environmental friendliness. Among other reasons, these benefits come from the use of manganese-based materials, whose stabilization via cation substitution is intensively studied to improve the electrochemical performance. Although multiple elements have been considered as substituent, surprisingly, boron has not been reported for layered sodium-ion cathode materials up to date. Our investigation of layered Na2/3B0.11Mn0.89O2 reveals an unexpectedly good electrochemical performance, with charge and discharge capacities of more than 175 mAh g(-1) at 10 mA g(-1) and 135 mAh g(-1) at 500 mA g(-1). The measured capacities are among the highest ever reported for sodium-based layered oxides in the potential range of 4.0-2.0 V vs. Na/Na+. (C) 2017 Elsevier B.V. All rights reserved.</t>
  </si>
  <si>
    <t>Passerini, Stefano/A-3859-2015</t>
  </si>
  <si>
    <t>Passerini, Stefano/0000-0002-6606-5304; , Daniel/0000-0002-6460-9005</t>
  </si>
  <si>
    <t>10.1016/j.jpowsour.2017.08.012</t>
  </si>
  <si>
    <t>WOS:000412250800005</t>
  </si>
  <si>
    <t>Xu, HM; Zhang, ZH; Cui, ZL; Du, AB; Lu, CL; Dong, SM; Ma, J; Zhou, XH; Cui, GL</t>
  </si>
  <si>
    <t>Xu, Huimin; Zhang, Zhonghua; Cui, Zili; Du, Aobing; Lu, Chenglong; Dong, Shanmu; Ma, Jun; Zhou, Xinhong; Cui, Guanglei</t>
  </si>
  <si>
    <t>Strong anion receptor-assisted boron-based Mg electrolyte with wide electrochemical window and non-nucleophilic characteristic</t>
  </si>
  <si>
    <t>Herein we present a strong anion receptor-assisted Mg-ion electrolyte, which is synthesized from tris(2H-hexafluoroisopropyl) borate (THFPB) and MgO in 1,2-dimethoxyethane (DME). The as-prepared borate magnesium oxide complex (BMOC) electrolyte delivers exceptional electrochemical performances, including extremely high anodic stability (up to 4.2 V vs. Mg), non-corrosivity to stainless steel and aluminium foils, and reasonable ionic conductivity of 1.74 x 10(-4) S cm(-1). In addition, by virtue of the non-nucleophilic characteristic of the BMOC electrolyte, S|| BMOC|| Mg cells have been assembled, which show a high stable discharge capacity of 1030 mAh g(-1) for 15 cycles and one well-defined voltage plateau of approximate to 1.1 V vs. Mg, yielding a desirable energy density beyond 1100 Wh kg(-1) based on the weight of sulfur in cathodes.</t>
  </si>
  <si>
    <t>chenglong, lu/HPI-0443-2023; Zhang, Zhonghua/HDO-2400-2022; Ma, Jun/D-2172-2017; Cui, Guanglei/D-4816-2011</t>
  </si>
  <si>
    <t>Ma, Jun/0000-0001-5016-8096;</t>
  </si>
  <si>
    <t>10.1016/j.elecom.2017.09.001</t>
  </si>
  <si>
    <t>WOS:000411349500016</t>
  </si>
  <si>
    <t>Zhou, AJ; Wang, WH; Liu, Q; Wang, Y; Yao, X; Qing, FZ; Li, EZ; Yang, TT; Zhang, L; Li, JZ</t>
  </si>
  <si>
    <t>Zhou, Aijun; Wang, Weihang; Liu, Qin; Wang, Yi; Yao, Xu; Qing, Fangzhu; Li, Enzhu; Yang, Tingting; Zhang, Long; Li, Jingze</t>
  </si>
  <si>
    <t>Stable, fast and high-energy-density LiCoO2 cathode at high operation voltage enabled by glassy B2O3 modification</t>
  </si>
  <si>
    <t>In this work, commercial LiCoO2 is modified with a glassy B2O3 by solution mixing with H3BO3 followed by post-calcination in order to enhance its high-voltage electrochemical performance. The glassy B2O3 coating/additive is believed to serve as an effective physiochemical buffer and protection between LiCoO2 and liquid electrolyte, which can suppress the high-voltage induced electrolyte decomposition and active material dissolution. During the early cycling and due to the electrochemical force, the as-coated B2O3 glasses which have 3D open frameworks tend to accommodate some mobile Li+ and form a more chemically-resistant and ion-conductive lithium boron oxide (LBO) interphase as a major component of the solid electrolyte interphase (SEI), which consequently enables much easier Li+ diffusion/transfer at the solid-liquid interfaces upon further cycling. Due to the synergetic effects of B2O3 coating/modification, the high-voltage capacity and energy density of the B2O3-modified LiCoO2 cathode are promisingly improved by 35% and 30% after 100 cycles at 1 C within 3.0-4.5 V vs. Li/Li+. Meanwhile, the high-rate performance of the B2O3-modified electrode is even more greatly improved, showing a capacity of 105 mAh g(-1) at 10 C while the bare electrode has dropped to no more than 30 mAh g-1 under this rate condition. (C) 2017 Elsevier B.V. All rights reserved.</t>
  </si>
  <si>
    <t>Zhou, Aijun/A-8111-2017; Yang, Tingting/M-1550-2017; Li, Jingze/R-9644-2017; Wang, Yan/KHD-9263-2024</t>
  </si>
  <si>
    <t>Zhou, Aijun/0000-0003-4142-8030; Li, Jingze/0000-0002-8455-7601;</t>
  </si>
  <si>
    <t>10.1016/j.jpowsour.2017.06.050</t>
  </si>
  <si>
    <t>WOS:000408288600016</t>
  </si>
  <si>
    <t>Lou, PL; Cui, ZH; Guo, XX</t>
  </si>
  <si>
    <t>Lou, Peili; Cui, Zhonghui; Guo, Xiangxin</t>
  </si>
  <si>
    <t>Achieving highly stable Li-O2 battery operation by designing a carbon nitride-based cathode towards a stable reaction interface</t>
  </si>
  <si>
    <t>Aprotic Li-O-2 batteries have attracted a great deal of attention because of their potential to offer much higher energy density than those provided by commercialized lithium-ion batteries. However, their reversible operation is plagued by serious side-reactions from liquid electrolytes and/or carbon-based materials. Recently, carbon-free materials have been proposed and utilized to construct stable cathodes for Li/O-2 chemistry. Different from most of the previously reported metal-based carbon-free cathodes, herein we report a non-metal-based carbon-free cathode support consisting of mesoporous borondoped carbon nitride (m-BCN) and demonstrate its excellent stability and activity for Li/O-2 chemistry. Benefiting from the introduction of evenly distributed RuO2 nanoparticles (1-2 nm) in the pores of the boron-doped carbon nitride support, excellent cycle stability with a low overpotential (141 cycles with a pristine Li anode which is extended to 227 cycles after replacing it with a new Li anode at 0.5 mA cm(-2)) and superior rate capability (1.28 mA h cm(-2) at 1 mA cm(-2)) are obtained. This impressive performance is ascribed to the enhanced stability and activity of such designed cathodes, which is supported by the fact that reversible formation and decomposition of Li2O2 with no accumulation of Li2CO3 is detected during cycling. These results demonstrate that manipulating cathode materials towards stable reaction interfaces is essential for alleviating the formation of by-products and improving the performance of LiO2 batteries.</t>
  </si>
  <si>
    <t>Cui, Zhonghui/A-7577-2015</t>
  </si>
  <si>
    <t>Cui, Zhonghui/0000-0002-5195-0263</t>
  </si>
  <si>
    <t>10.1039/c7ta05009g</t>
  </si>
  <si>
    <t>WOS:000408592900053</t>
  </si>
  <si>
    <t>Arthur, TS; Glans, PA; Singh, N; Tutusaus, O; Nie, KQ; Liu, YS; Mizuno, F; Guo, JH; Alsem, DH; Salmon, NJ; Mohtadi, R</t>
  </si>
  <si>
    <t>Arthur, Timothy S.; Glans, Per-Anders; Singh, Nikhilendra; Tutusaus, Oscar; Nie, Kaiqi; Liu, Yi-Sheng; Mizuno, Fuminori; Guo, Jinghua; Alsem, Daan Hein; Salmon, Norman J.; Mohtadi, Rana</t>
  </si>
  <si>
    <t>Interfacial Insight from Operando XAS/TEM for Magnesium Metal Deposition with Borohydride Electrolytes</t>
  </si>
  <si>
    <t>Operando soft X-ray absorption spectroscopy (sXAS) and transmission electron microscopy (TEM) of the electrochemical deposition of magnesium metal from borohydride electrolytes is presented. The analysis identifies the active component for the deposition of magnesium metal as the contact-ion pair [Mg(mu-H)(2)BH2](+). Additionally, the formation of boron clusters accompanied by H-2 -gas formation accompany the deposition of Mg metal, and play a vital role in the formation of a solid-electrolyte interphase (SEI) on the surface. To use Mg metal as a viable anode for future battery systems, understanding the interfacial components and chemistry is key.</t>
  </si>
  <si>
    <t>MOHTADI, RANA/AAF-7063-2021; Guo, Jinghua/AAZ-6492-2020; Tutusaus, Oscar/G-4218-2012; Nie, Kaiqi/W-1010-2017; Glans, Per-Anders/G-8674-2016</t>
  </si>
  <si>
    <t>Tutusaus, Oscar/0000-0002-9839-8795; Nie, Kaiqi/0000-0002-1150-8024;</t>
  </si>
  <si>
    <t>10.1021/acs.chemmater.7b01189</t>
  </si>
  <si>
    <t>WOS:000410868600019</t>
  </si>
  <si>
    <t>Shim, J; Kim, HJ; Kim, BG; Kim, YS; Kim, DG; Lee, JC</t>
  </si>
  <si>
    <t>Shim, Jimin; Kim, Hee Joong; Kim, Byoung Gak; Kim, Yong Seok; Kim, Dong-Gyun; Lee, Jong-Chan</t>
  </si>
  <si>
    <t>2D boron nitride nanoflakes as a multifunctional additive in gel polymer electrolytes for safe, long cycle life and high rate lithium metal batteries</t>
  </si>
  <si>
    <t>The multifunctional properties of 2D boron nitride nanoflakes (BNNFs) in gel polymer electrolytes (GPEs) are presented. A small addition (0.5 wt%) of BNNFs into the GPE substantially improves all the advantageous properties of the GPE including ionic conductivity, Li+ transference number, mechanical modulus, and dendrite-suppressing capability, thereby enabling high performance lithium metal batteries.</t>
  </si>
  <si>
    <t>; Kim, Hee/ABD-2031-2020; Lee, Jong-Chan/AAG-8833-2020; Kim, YongDeok/JLM-4590-2023; Shim, Jimin/KIH-0364-2024; , Do Jin Kim/I-7675-2014</t>
  </si>
  <si>
    <t>Shim, Jimin/0000-0001-6147-921X; Kim, Hee Joong/0000-0001-6297-1636; Kim, Yong Seok/0000-0001-6342-9179;</t>
  </si>
  <si>
    <t>10.1039/c7ee01095h</t>
  </si>
  <si>
    <t>WOS:000410594300003</t>
  </si>
  <si>
    <t>Deng, KR; Wang, SJ; Ren, S; Han, DM; Xiao, M; Meng, YZ</t>
  </si>
  <si>
    <t>Deng, Kuirong; Wang, Shuanjin; Ren, Shan; Han, Dongmei; Xiao, Min; Meng, Yuezhong</t>
  </si>
  <si>
    <t>Network type sp3 boron-based single-ion conducting polymer electrolytes for lithium ion batteries</t>
  </si>
  <si>
    <t>Electrolytes play a vital role in modulating lithium ion battery performance. An outstanding electrolyte should possess both high ionic conductivity and unity lithium ion transference number. Here, we present a facile method to fabricate a network type sp(3) boron-based single-ion conducting polymer electrolyte (SIPE) with high ionic conductivity and lithium ion transference number approaching unity. The SIPE was synthesized by coupling of lithium bis(allylmalonato)borate (LiBAMB) and pentaerythritol tetrakis(2-mercaptoacetate) (PETMP) via one-step photoinitiated in situ thiol-ene click reaction in plasticizers. Influence of kinds and content of plasticizers was investigated and the optimized electrolytes show both outstanding ionic conductivity (1.47 x 10(-3) S cm(-1) at 25 degrees C) and high lithium transference number of 0.89. This ionic conductivity is among the highest ionic conductivity exhibited by SIPEs reported to date. Its electrochemical stability window is up to 5.2 V. More importantly, Li/LiFePO4 cells with the prepared single-ion conducting electrolytes as the electrolyte as well as the separator display highly reversible capacity and excellent rate capacity under room temperature. It also demonstrates excellent long-term stability and reliability as it maintains capacity of 124 mA h g(-1) at 1 C rate even after 500 cycles without obvious decay. (C) 2017 Elsevier B.V. All rights reserved.</t>
  </si>
  <si>
    <t>han, dongmei/D-5222-2015; Xiao, Min/D-5218-2015; Zhang, Jiahui/ISU-9234-2023; 邓, 魁荣/LIA-8485-2024</t>
  </si>
  <si>
    <t>Deng, Kuirong/0000-0003-4282-4510; Han, Dong mei/0000-0003-1557-0789;</t>
  </si>
  <si>
    <t>10.1016/j.jpowsour.2017.06.006</t>
  </si>
  <si>
    <t>WOS:000406818600011</t>
  </si>
  <si>
    <t>Deng, CJ; Lau, ML; Barkholtz, HM; Xu, HP; Parrish, R; Xu, M; Xu, T; Liu, YZ; Wang, H; Connell, JG; Smith, KA; Xiong, H</t>
  </si>
  <si>
    <t>Deng, Changjian; Lau, Miu Lun; Barkholtz, Heather M.; Xu, Haiping; Parrish, Riley; Xu, Meiyue (Olivia); Xu, Tao; Liu, Yuzi; Wang, Hao; Connell, Justin G.; Smith, Kassiopeia A.; Xiong, Hui</t>
  </si>
  <si>
    <t>Amorphous boron nanorod as an anode material for lithium-ion batteries at room temperature</t>
  </si>
  <si>
    <t>We report an amorphous boron nanorod anode material for lithium-ion batteries prepared through smelting non-toxic boron oxide in liquid lithium. Boron in theory can provide capacity as high as 3099 mA h g(-1) by alloying with Li to form B4Li5. However, experimental studies of the boron anode have been rarely reported for room temperature lithium-ion batteries. Among the reported studies the electrochemical activity and cycling performance of the bulk crystalline boron anode material are poor at room temperature. In this work, we utilized an amorphous nanostructured one-dimensional (1D) boron material aiming at improving the electrochemical reactivity between boron and lithium ions at room temperature. The amorphous boron nanorod anode exhibited, at room temperature, a reversible capacity of 170 mA h g(-1) at a current rate of 10 mA g(-1) between 0.01 and 2 V. The anode also demonstrated good rate capability and cycling stability. The lithium storage mechanism was investigated by both sweep voltammetry measurements and galvanostatic intermittent titration techniques (GITTs). The sweep voltammetric analysis suggested that the contributions from lithium ion diffusion into boron and the capacitive process to the overall lithium charge storage are 57% and 43%, respectively. The results from GITT indicated that the discharge capacity at higher potentials (&gt;similar to 0.2 V vs. Li/Li+) could be ascribed to a capacitive process and at lower potentials (</t>
  </si>
  <si>
    <t>Xiong, Hui/AAS-5943-2021; Connell, Justin/AAZ-9638-2020; Liu, Yuzi/C-6849-2011; xu, haiping/GSJ-1374-2022; Smith, Kassiopeia/JNF-0566-2023</t>
  </si>
  <si>
    <t>Connell, Justin/0000-0002-2979-2131; Liu, Yuzi/0000-0002-8733-1683; , Riley/0000-0002-3064-3862; Xiong, Hui/0000-0003-3126-1476; Barkholtz, Heather/0000-0001-7997-7567; XU, HAIPING/0000-0003-1930-0401</t>
  </si>
  <si>
    <t>10.1039/c7nr03017g</t>
  </si>
  <si>
    <t>WOS:000406847800025</t>
  </si>
  <si>
    <t>Ikonen, T; Nissinen, T; Pohjalainen, E; Sorsa, O; Kallio, T; Lehto, VP</t>
  </si>
  <si>
    <t>Ikonen, T.; Nissinen, T.; Pohjalainen, E.; Sorsa, O.; Kallio, T.; Lehto, V. -P.</t>
  </si>
  <si>
    <t>Electrochemically anodized porous silicon: Towards simple and affordable anode material for Li-ion batteries</t>
  </si>
  <si>
    <t>Silicon is being increasingly studied as the next-generation anode material for Li-ion batteries because of its ten times higher gravimetric capacity compared with the widely-used graphite. While nanoparticles and other nanostructured silicon materials often exhibit good cyclability, their volumetric capacity tends to be worse or similar than that of graphite. Furthermore, these materials are commonly complicated and expensive to produce. An effortless way to produce nanostructured silicon is electrochemical anodization. However, there is no systematic study how various material properties affect its performance in LIBs. In the present study, the effects of particle size, surface passivation and boron doping degree were evaluated for the mesoporous silicon with relatively low porosity of 50%. This porosity value was estimated to be the lowest value for the silicon material that still can accommodate the substantial volume change during the charge/discharge cycling. The optimal particle size was between 10-20 mu m, the carbide layer enhanced the rate capability by improving the lithiation kinetics, and higher levels of boron doping were beneficial for obtaining higher specific capacity at lower rates. Comparison of pristine and cycled electrodes revealed the loss of electrical contact and electrolyte decay to be the major contributors to the capacity decay.</t>
  </si>
  <si>
    <t>Lehto, Vesa-Pekka/MCX-7583-2025; Kallio, Tanja/F-3391-2012</t>
  </si>
  <si>
    <t>Sorsa, Olli/0000-0001-8747-7861; Ikonen, Timo/0000-0002-7137-4259; Kallio, Tanja/0000-0001-6671-8582</t>
  </si>
  <si>
    <t>AUG 11</t>
  </si>
  <si>
    <t>10.1038/s41598-017-08285-3</t>
  </si>
  <si>
    <t>WOS:000407442500020</t>
  </si>
  <si>
    <t>Gladka, D; Krajewski, M; Mlynarska, S; Galinska, J; Zygadlo-Monikowska, E</t>
  </si>
  <si>
    <t>Gladka, Dorota; Krajewski, Mariusz; Mlynarska, Sandra; Galinska, Justyna; Zygadlo-Monikowska, Ewa</t>
  </si>
  <si>
    <t>Synthesis and properties of new carboxyborate lithium salts as electrolytes for lithium-ion batteries</t>
  </si>
  <si>
    <t>Bis(carboxytrifluoroborate lithium) salts [R(CH2COOBF3Li)(2)] with oxyethylene groups R of oligomeric molar masses [R = O(CH2CH2O)(n), where n = 3 or 11, BCB3 and BCB11, respectively] were synthesized via reaction of carboxylates salts with boron fluoride. The new salts were characterized by spectroscopic analysis. The physical properties of the salts were determined by oxyethylene chain length. For n = 3 the salt was crystalline with m(p) = 197 degrees C and for n = 11 it showed properties of an ionic liquid at ambient temperature. Their thermal stability was at least 250 degrees C. The values of lithium-ion transference numbers (T+) of the solutions in polar aprotic solvents, determined by a well established steady-state technique, were in the range of 0.2-0.6. Electrochemical impedance spectroscopy analysis of solid polymer electrolytes (SPEs) based on PEO and studied salts with different concentration (from 24 to 94 wt %) was carried out. The ionic conductivity of SPEs was in the order of 10(-8)-10(-7) S cm(-1) at room temperature and 10(-4) S cm(-1) at 80 degrees C. A distinguishing feature of SPEs with the studied new salts is the high immobilization of anions, which causes almost a monoconducting character of charge transport. Lithium transference numbers (T+) exceed 0.9. (C) 2017 Elsevier Ltd. All rights reserved.</t>
  </si>
  <si>
    <t>Zygadlo-Monikowska, Ewa/0000-0003-0478-9160; Monikowska, Dorota/0000-0001-6914-3702</t>
  </si>
  <si>
    <t>10.1016/j.electacta.2017.05.170</t>
  </si>
  <si>
    <t>WOS:000406762700070</t>
  </si>
  <si>
    <t>Vedarajan, R; Matsui, K; Tamaru, E; Dhankhar, J; Takekawa, T; Matsumi, N</t>
  </si>
  <si>
    <t>Vedarajan, Raman; Matsui, Kento; Tamaru, Emari; Dhankhar, Jyoti; Takekawa, Toshihiro; Matsumi, Noriyoshi</t>
  </si>
  <si>
    <t>Ionic liquid/boric ester binary electrolytes with unusually high lithium transference number</t>
  </si>
  <si>
    <t>Binary electrolytes composed of ionic liquids and boric esters were prepared by studying compatibility between various combinations of such systems. The study showed that out of various combinations of ionic liquids/boric esters, only TFSI anion (or FSI anion) based ionic liquids/mesityldimethoxyborane (MDMB) systems were found to be miscible. After equimolar amount of lithium salts was added to ionic liquids, the resulting solution showed high ionic conductivity that was comparable to those for ionic liquids. The lithium transference number (t(Li+)) of these systems at room temperature was found to be very high. A maximum t(Li+) of 0.93 was observed for a binary mixture of AMImFSI [1-allyl-3-methylimidazolium bis(fluorosulfonyl) imide]/MDMB. Further, this binary mixture as electrolyte in Li/electrolyte/Si cell showed good reversible lithiation-delithiation with &gt; 2500 mAh/g of delithiation specific capacity.</t>
  </si>
  <si>
    <t>Vedarajan, Raman/AAI-1577-2019; Matsumi, Noriyoshi/E-9496-2011; Dhankhar, Jyoti/KIC-4259-2024; Vedarajan, Raman/E-7267-2016</t>
  </si>
  <si>
    <t>Dhankhar, Jyoti/0000-0002-7088-6201; Vedarajan, Raman/0000-0002-0178-6987</t>
  </si>
  <si>
    <t>10.1016/j.elecom.2017.06.019</t>
  </si>
  <si>
    <t>WOS:000406947200030</t>
  </si>
  <si>
    <t>Cha, J; Han, JG; Hwang, J; Cho, J; Choi, NS</t>
  </si>
  <si>
    <t>Cha, Jiho; Han, Jung-Gu; Hwang, Jaeseong; Cho, Jaephil; Choi, Nam-Soon</t>
  </si>
  <si>
    <t>Mechanisms for electrochemical performance enhancement by the salt-type electrolyte additive, lithium difluoro(oxalato)borate, in high-voltage lithium-ion batteries</t>
  </si>
  <si>
    <t>Lithium difluoro(oxalato) borate (LiDFOB) with one oxalate moiety bonded to a central boron core was employed as a salt-type additive to enhance the interfacial stabilities of high-voltage Li-rich cathodes and graphite anodes. Our investigation revealed that the LiDFOB additive modified the surface film on the electrodes and effectively restrained degradation of the cycling performance of the electrodes. Investigation of the surface chemistries of the electrodes confirmed that LiDFOB produces a LiF-less surface film on the Li-rich cathode and a LiF-rich surface film on the graphite anode. Moreover, the use of 1% LiDFOB drastically improved the rate capabilities of Li-rich cathodes and graphite anodes. Within 100 cycles at a rate of C/2 at 25 degrees C, only 45.8% of the initial discharge capacity of a high-voltage Li-rich/graphite full cell was delivered in the baseline electrolyte, while the LiDFOB-containing electrolyte retained 82.7%. (C) 2017 Elsevier B. V. All rights reserved.</t>
  </si>
  <si>
    <t>Han, Jung-Gu/AAC-7992-2022; Cho, Jaephil/E-4265-2010</t>
  </si>
  <si>
    <t>10.1016/j.jpowsour.2017.04.094</t>
  </si>
  <si>
    <t>WOS:000403457000012</t>
  </si>
  <si>
    <t>Hu, WQ; Zhang, CH; Jiang, H; Zheng, MS; Wu, QH; Dong, QF</t>
  </si>
  <si>
    <t>Hu, Weiqiang; Zhang, Chuanhui; Jiang, Heng; Zheng, Mingsen; Wu, Qi-Hui; Dong, Quanfeng</t>
  </si>
  <si>
    <t>Improving the electrochemistry performance of layer LiNi0.5Mn0.3Co0.2O2 material at 4.5 V cutoff potential using lithium metaborate</t>
  </si>
  <si>
    <t>LiNi0.5Mn0.3Co0.2O2 (NMC) cathode material is surface treated by Li active boron oxide (LBO) via a two-step process. The surface morphology, crystal structure, surface composition, and electrochemical properties were characterized based on SEM, XRD, XPS, charge-discharge tests, cyclic voltammetry (CV), and electrochemical impedance spectroscopy (EIS) measurements. XPS results showed that the coating layer was composed of LiBO2. The 2 wt% LBO-coated NMC exhibited the best electrochemical performance at high voltage (4.5 V). It was achieved a high capacity retention of 91.23% after 50 cycle which was 53.19% for the uncoated one. The rate capability of the coated electrode was improved obviously, exhibiting 114.71 mAh.g(-1) discharge capacity at 10 C. The interfacial resistance and charge transfer resistance was also decreased owning to the fact that the coating layer played a firewall between the electrolyte and the NMC electrode. (C) 2017 Elsevier Ltd. All rights reserved.</t>
  </si>
  <si>
    <t>jiang, heng/KVY-8058-2024; Zhang, ChuanHui/MYS-2258-2025</t>
  </si>
  <si>
    <t>JUL 20</t>
  </si>
  <si>
    <t>10.1016/j.electacta.2017.05.075</t>
  </si>
  <si>
    <t>WOS:000404196900013</t>
  </si>
  <si>
    <t>Shah, FU; Gnezdilov, OI; Filippov, A</t>
  </si>
  <si>
    <t>Shah, Faiz Ullah; Gnezdilov, Oleg I.; Filippov, Andrei</t>
  </si>
  <si>
    <t>Ion dynamics in halogen-free phosphonium bis(salicylato)borate ionic liquid electrolytes for lithium-ion batteries</t>
  </si>
  <si>
    <t>This study was focused on the investigation of ion dynamics in halogen-free, hydrophobic, and hydrolytically stable phosphonium bis(salicylato) borate [P-4,P-4,P-4,P-8][BScB] ionic liquid electrolytes for lithium-ion batteries. The structure and purity of the synthesized ionic liquid and lithium bis(salicylato) borate Li[BScB] salt were characterized using H-1, C-13, P-31, and B-11 NMR spectroscopy. The Li[BScB] salt was mixed with an ionic liquid at the concentrations ranging from 2.5 mol% to 20 mol%. The physicochemical properties of the resulting electrolytes were characterized using thermal analysis (TGA and DSC), electrical impedance spectroscopy, and pulsed-field gradient (PFG) NMR and ATR-FTIR spectroscopy. The apparent transfer numbers of the individual ions were calculated from the diffusion coefficients of the cation and anion as determined via the PFG NMR spectroscopy. NMR and ATR-FTIR spectroscopic techniques revealed dynamic interactions between the lithium cation and bis(salicylato) borate anion in the electrolytes. The ion-ion interactions were found to increase with the increasing concentration of the Li[BScB] salt, which resulted in ionic clustering at the concentrations higher than 15 mol% of Li salt in the ionic liquid.</t>
  </si>
  <si>
    <t>Gnezdilov, Oleg/N-3075-2016; Filippov, Andrei/A-1053-2013; Shah, Faiz Ullah/K-2172-2019</t>
  </si>
  <si>
    <t>Filippov, Andrei/0000-0002-6810-1882; Shah, Faiz Ullah/0000-0003-3652-7798;</t>
  </si>
  <si>
    <t>10.1039/c7cp02722b</t>
  </si>
  <si>
    <t>WOS:000404530600045</t>
  </si>
  <si>
    <t>Fuentes, I; Andrio, A; Teixidor, F; Viñas, C; Compañ, V</t>
  </si>
  <si>
    <t>Fuentes, Isabel; Andrio, Andreu; Teixidor, Francesc; Vinas, Clara; Compan, Vicente</t>
  </si>
  <si>
    <t>Enhanced conductivity of sodium versus lithium salts measured by impedance spectroscopy. Sodium cobaltacarboranes as electrolytes of choice</t>
  </si>
  <si>
    <t>The development of new types of ion conducting materials is one of the most important challenges in the field of energy. Lithium salt polymer electrolytes have been the most convenient, and thus the most widely used in the design of the new generation of batteries. However, in this work, we have observed that Na+ ions provide a higher conductivity, or at least a comparable conductivity to that of Li+ ions in the same basic material. This provides an excellent possibility to use Na+ ions in the design of a new generation of batteries, instead of lithium, to enhance conductivity and ensure wide supply. Our results indicate that the dc-conductivity is larger when the anion is [Co(C2B9H11)(2)](-), [COSANE](-), compared to tetraphenylborate, [TPB](-). Our data also prove that the dc-conductivity behavior of Li+ and Na+ salts is opposite with the two anions. At 40 C-omicron, the conductivity values change from 1.05 x 10(-2) S cm(-1) (Li[COSANE]) and 1.75 x 10(-2) S cm(-1) (Na[COSANE]) to 2.8 x 10(-3) S cm(-1) (Li[TPB]) and 1.5 x 10(-3) S cm(-1) (Na[TPB]). These findings indicate that metallacarboranes can be useful components of mixed matrix membranes (MMMs), providing excellent conductivity when the medium contains sufficient amounts of ionic components and a certain degree of humidity.</t>
  </si>
  <si>
    <t>Viñas, Clara/H-7278-2012; Andrio, Andreu/H-6149-2015; Fuentes, Isabel/M-2133-2016; Vicente, Compañ/I-4523-2017; Teixidor, francesc/O-2376-2014</t>
  </si>
  <si>
    <t>Andrio, Andreu/0000-0003-2805-103X; Compan, Vicente/0000-0001-8233-7472; Fuentes, Isabel/0000-0003-1051-127X;</t>
  </si>
  <si>
    <t>JUN 21</t>
  </si>
  <si>
    <t>10.1039/c7cp02526b</t>
  </si>
  <si>
    <t>WOS:000403561200032</t>
  </si>
  <si>
    <t>Mauger, A; Armand, M; Julien, CM; Zaghib, K</t>
  </si>
  <si>
    <t>Mauger, A.; Armand, M.; Julien, C. M.; Zaghib, K.</t>
  </si>
  <si>
    <t>Challenges and issues facing lithium metal for solid-state rechargeable batteries</t>
  </si>
  <si>
    <t>The commercial use of lithium metal batteries was delayed because of dendrite formation on the surface of the lithium electrode, and the difficulty finding a suitable electrolyte that has both the mechanical strength and ionic conductivity required for solid electrolytes. Recently, strategies have developed to overcome these difficulties, so that these batteries are currently an option for different applications, including electric cars. In this work, we review these strategies, and discuss the different routes that are promising for progress in the near future.(C) 2017 Elsevier B.V. All rights reserved.</t>
  </si>
  <si>
    <t>Zaghib, Karim/AAJ-9070-2020; Armand, Michel/HMV-0633-2023; Julien, Christian/AEX-0293-2022</t>
  </si>
  <si>
    <t>10.1016/j.jpowsour.2017.04.018</t>
  </si>
  <si>
    <t>WOS:000401208100037</t>
  </si>
  <si>
    <t>Zhang, ZH; Cui, ZL; Qiao, LX; Guan, J; Xu, HM; Wang, XG; Hu, P; Du, HP; Li, SZ; Zhou, XH; Dong, SM; Liu, ZH; Cui, GL; Chen, LQ</t>
  </si>
  <si>
    <t>Zhang, Zhonghua; Cui, Zili; Qiao, Lixin; Guan, Jing; Xu, Huimin; Wang, Xiaogang; Hu, Pu; Du, Huiping; Li, Shizhen; Zhou, Xinhong; Dong, Shanmu; Liu, Zhihong; Cui, Guanglei; Chen, Liquan</t>
  </si>
  <si>
    <t>Novel Design Concepts of Efficient Mg-Ion Electrolytes toward High-Performance Magnesium-Selenium and Magnesium-Sulfur Batteries</t>
  </si>
  <si>
    <t>Developing high-voltage Mg-compatible electrolytes (&gt;3.0V vs Mg) still remains to be the biggest R&amp;D challenge in the area of nonaqueous rechargeable Mg batteries. Here, the key design concepts toward exploring new boron-based Mg salts in a specific way of highlighting the implications of anions are proposed for the first time. The well-defined boron-centered anion-based magnesium electrolyte (BCM electrolyte) is successfully presented by facile one-step mixing of tris(2H-hexafluoroisopropyl) borate and MgF2 in 1,2-dimethoxyethane, in which the structures of anions have been thoroughly investigated via mass spectrometry accompanied by NMR and Raman spectra. The first all-round practical BCM electrolyte fulfills all requirements of easy synthesis, high ionic conductivity, wide potential window (3.5 V vs Mg), compatibility with electrophilic sulfur, and simultaneously noncorrosivity to coin cell assemblies. When utilizing the BCM electrolyte, the fast-kinetics selenium/carbon (Se/C) cathode achieves the best rate capability and the sulfur/carbon (S/C) cathode exhibits an impressive prolonged cycle life than previously published reports. The BCM electrolyte offers the most promising avenue to eliminate the major roadblocks on the way to high-voltage Mg batteries and the design concepts can shed light on future exploration directions toward high-voltage Mg-compatible electrolytes.</t>
  </si>
  <si>
    <t>Qiao, Lixin/LKN-4283-2024; Chen, Liquan/AAG-1527-2019; Cui, Guanglei/D-4816-2011; Liu, Zhe/ABE-1056-2020; liu, zhi hong/J-3894-2017; Zhang, Zhonghua/HDO-2400-2022</t>
  </si>
  <si>
    <t>Qiao, Lixin/0000-0003-1892-5477; Hu, Pu/0000-0003-3449-7767; liu, zhi hong/0000-0002-3554-7992;</t>
  </si>
  <si>
    <t>10.1002/aenm.201602055</t>
  </si>
  <si>
    <t>WOS:000402967200018</t>
  </si>
  <si>
    <t>Rehnlund, D; Lindgren, F; Böhme, S; Nordh, T; Zou, YM; Pettersson, J; Bexell, U; Boman, M; Edström, K; Nyholm, L</t>
  </si>
  <si>
    <t>Rehnlund, David; Lindgren, Fredrik; Bohme, Solveig; Nordh, Tim; Zou, Yiming; Pettersson, Jean; Bexell, Ulf; Boman, Mats; Edstrom, Kristina; Nyholm, Leif</t>
  </si>
  <si>
    <t>Lithium trapping in alloy forming electrodes and current collectors for lithium based batteries</t>
  </si>
  <si>
    <t>Significant capacity losses are generally seen for batteries containing high-capacity lithium alloy forming anode materials such as silicon, tin and aluminium. These losses are generally ascribed to a combination of volume expansion effects and irreversible electrolyte reduction reactions. Here, it is shown, based on e.g. elemental analyses of cycled electrodes, that the capacity losses for tin nanorod and silicon composite electrodes in fact involve diffusion controlled trapping of lithium in the electrodes. While an analogous effect is also demonstrated for copper, nickel and titanium current collectors, boron-doped diamond is shown to function as an effective lithium diffusion barrier. The present findings indicate that the durability of lithium based batteries can be improved significantly via proper electrode design or regeneration of the used electrodes.</t>
  </si>
  <si>
    <t>Rehnlund, David/J-3437-2019; Edstrom, Kristina/LRC-6790-2024; Nyholm, Leif/E-5360-2011</t>
  </si>
  <si>
    <t>Rehnlund Maibach, David/0000-0003-2394-287X; Boman, Mats/0000-0002-7018-9617; Nyholm, Leif/0000-0001-9292-016X</t>
  </si>
  <si>
    <t>10.1039/c7ee00244k</t>
  </si>
  <si>
    <t>WOS:000403320300006</t>
  </si>
  <si>
    <t>Scorsone, E; Gattout, N; Rousseau, L; Lissorgues, G</t>
  </si>
  <si>
    <t>Scorsone, Emmanuel; Gattout, Nouha; Rousseau, Lionel; Lissorgues, Gaelle</t>
  </si>
  <si>
    <t>Porous diamond pouch cell supercapacitors</t>
  </si>
  <si>
    <t>Supercapacitors are promising energy storage devices because of fast charge and discharge capacity, long lifetime and high power sources when compared to conventional batteries. Most carbon based supercapacitors nowadays use organic or ionic liquid based electrolytes in order to benefit from the large potential window in those solvents thus enabling more energy storage. However the devices suffer from low ionic mobility in such electrolytes, and also from economical, safety and environmental concerns associated with the use of organic solvents. Boron doped diamond (BDD) features a wide potential window in aqueous electrolytes and high stability toward oxidation in acidic or alkaline media, and therefore offers the possibility for BDD electrodes supercapacitor to operate in water. Here highly porous diamond electrodes fabricated by microwave plasma chemical vapor deposition of BDD over a conductive polypyrrole template with high double layer capacitance around 3 mF cm(-2) were mounted in symmetrical pouch cell supercapacitor using either 1M H2SO4 or 1M TEABF(4) in propylene carbonate electrolytes. The performances of both devices were investigated. Energy and power values close to 1 mu Wh cm(-2) and 700 mu W cm(-2) were recorded in water, thus surpassing by almost one order of magnitude the energy storage performances of the device using organic electrolyte.</t>
  </si>
  <si>
    <t>; Scorsone, Emmanuel/B-9993-2009</t>
  </si>
  <si>
    <t>Lissorgues, Gaelle/0000-0003-3371-8353; Scorsone, Emmanuel/0000-0001-9706-6564;</t>
  </si>
  <si>
    <t>10.1016/j.diamond.2017.04.004</t>
  </si>
  <si>
    <t>WOS:000403858500006</t>
  </si>
  <si>
    <t>Cekic-Laskovic, I; von Aspern, N; Imholt, L; Kaymaksiz, S; Oldiges, K; Rad, BR; Winter, M</t>
  </si>
  <si>
    <t>Cekic-Laskovic, Isidora; von Aspern, Natascha; Imholt, Laura; Kaymaksiz, Serife; Oldiges, Kristina; Rad, Babak Razaei; Winter, Martin</t>
  </si>
  <si>
    <t>Synergistic Effect of Blended Components in Nonaqueous Electrolytes for Lithium Ion Batteries</t>
  </si>
  <si>
    <t>TOPICS IN CURRENT CHEMISTRY</t>
  </si>
  <si>
    <t>Application of different electrolyte components as blends in nonaqueous electrolyte formulations represents a viable approach towards improving the overall performance and reliability of a lithium ion battery cell. By combining the advantages of different electrolyte constituents, cell chemistry can be optimized and tailored for a specific purpose. In this paper, the current progress on possibilities, advantages, as well as limitations of blended nonaqueous electrolyte formulations, including solvent, salt and additive blends is reviewed and discussed. Emphasis is set on the physicochemical, electrochemical, and safety aspects. In addition, the aim of this review is to provide perspective and possible strategy for further and future development of blended nonaqueous electrolytes with long life, high energy density, high power, and adequate safety at competitive manufacturing costs. The provided overview and perspective on blended nonaqueous electrolyte formulations should encourage researchers to proceed with further and deeper investigations in this promising field of advanced batteries.</t>
  </si>
  <si>
    <t>; Winter, Martin/AEY-7433-2022</t>
  </si>
  <si>
    <t>Oldiges, Kristina/0000-0001-8538-1276; Winter, Martin/0000-0003-4176-5811</t>
  </si>
  <si>
    <t>2365-0869</t>
  </si>
  <si>
    <t>2364-8961</t>
  </si>
  <si>
    <t>10.1007/s41061-017-0125-8</t>
  </si>
  <si>
    <t>WOS:000401323200018</t>
  </si>
  <si>
    <t>Ma, YL; Zhou, Y; Du, CY; Zuo, PJ; Cheng, XQ; Han, LL; Nordlund, D; Gao, YZ; Yin, GP; Xin, HLL; Doeff, MM; Lin, F; Chen, GY</t>
  </si>
  <si>
    <t>Ma, Yulin; Zhou, Yan; Du, Chunyu; Zuo, Pengjian; Cheng, Xinqun; Han, Lili; Nordlund, Dennis; Gao, Yunzhi; Yin, Geping; Xin, Huolin L.; Doeff, Marca M.; Lin, Feng; Chen, Guoying</t>
  </si>
  <si>
    <t>A New Anion Receptor for Improving the Interface between Lithium- and Manganese-Rich Layered Oxide Cathode and the Electrolyte</t>
  </si>
  <si>
    <t>Surface degradation on cycled lithium-ion battery cathode particles is governed not only by intrinsic thermodynamic properties of the material but also, oftentimes more predominantly, by the side reactions with the electrolytic solution. A superior electrolyte inhibits these undesired side reactions on the cathode and at the electrolyte interface, which consequently minimizes the deterioration of the cathode surface. The present study investigates a new boron-based anion receptor, tris(2,2,2-trifluoroethyl)-borate (TTFEB), as an electrolyte additive in cells containing a lithium- and manganese-rich layered oxide cathode, Li1.16Ni0.2Co0.1Mn0.54O2. Our electrochemical studies demonstrate that the cycling performance and Coulombic efficiency are significantly improved because of the additive, in particular, under elevated temperature conditions. Spectroscopic analyses revealed that the addition of 0.5 wt % TTFEB is capable of reducing the content of lithium-containing inorganic species within the cathode-electrolyte interphase layer and minimizing the reduction of tetravalent Mn4+ at the cathode surface. Our work introduces a novel additive highly effective in improving lithium-ion battery performance, highlights the importance in preserving the surface properties of cathode materials, and provides new insights on the working mechanism of electrolyte additives.</t>
  </si>
  <si>
    <t>; Xin, Huolin/E-2747-2010; Doeff, Marca/G-6722-2013; Chen, Guoying/JGM-1398-2023; han, lili/LUW-6774-2024; Nordlund, Dennis/A-8902-2008; Ma, Yulin/GRO-5114-2022; Lin, Feng/JGL-6784-2023</t>
  </si>
  <si>
    <t>Han, Lili/0000-0003-0817-7372; Xin, Huolin/0000-0002-6521-868X; Xinqun, Cheng/0000-0001-8041-7882; Chen, Guoying/0000-0002-3218-2609; Nordlund, Dennis/0000-0001-9524-6908;</t>
  </si>
  <si>
    <t>MAR 14</t>
  </si>
  <si>
    <t>10.1021/acs.chemmater.6b04784</t>
  </si>
  <si>
    <t>WOS:000396639400026</t>
  </si>
  <si>
    <t>Chen, L; Wul, CL; Du, P; Feng, XW; Wu, P; Cai, CM</t>
  </si>
  <si>
    <t>Chen, Li; Wul, Chuanli; Du, Pan; Feng, Xiaowei; Wu, Ping; Cai, Chenmin</t>
  </si>
  <si>
    <t>Electrolyzing synthesis of boron-doped graphene quantum dots for fluorescence determination of Fe3+ ions in water samples</t>
  </si>
  <si>
    <t>TALANTA</t>
  </si>
  <si>
    <t>This work reports a facile electrolyzing method to synthesize boron-doped graphene quantum dots (BGQDs) and uses the BGQDs as a fluorescent probe to determine Fe3+ ion levels in water samples. The BGQDs were produced by oxidizing graphite in an aqueous borax solution at pH 7; then, the borate solution was filtered with BGQDs, and the borate was dialyzed from the filtrate, leaving a solution of BGQDs in water. The amount of the B in the BGQDs can be adjusted by changing the concentration of borax used for the electrolyte. The excitation wavelength- and B amount-dependent fluorescence characteristics of BQGDs were studied. The fluorescence intensity of the BGQDs is measurable in real time, and its quenching is very sensitive to the concentration of Fe3+ ions in the system but not to other possible coexisting metal ions. The fluorescence quenching mechanism of Fe3+ ions to BGQDs is studied and explained based on electrochemical voltammetry and DFT simulations. The analytical signal, which is defined as F-0/F, where F-0 and F are the fluorescence intensities of the BGQDs before and after interaction with Fe3+ ions, respectively, displays a good linear relationship in the Fe3+ ion concentration range of 0.01-100 mu m with a correlation coefficient of 0.999 and a limit of detection (LOB) of similar to(0.005 +/- 0.001) mu M. The LOD value is much lower than the water quality standards for Fe3+ ions (0.3 ppm, similar to 5.36 mu m) in drinking water suggested by the WHO (World Health Organization) and EPA (U.S. Environmental Protection Agency), implying that this method has great potential for applications in real sample assays. For example, the determination of the Fe3+ ion levels in three water samples (tap water, groundwater, and lake water) gives approximately the same results as those determined by the EPA-recommended AAS (atomic adsorption spectroscopy) method.</t>
  </si>
  <si>
    <t>0039-9140</t>
  </si>
  <si>
    <t>1873-3573</t>
  </si>
  <si>
    <t>10.1016/j.talanta.2016.11.019</t>
  </si>
  <si>
    <t>WOS:000393244400015</t>
  </si>
  <si>
    <t>Meng, W; Wen, LN; Song, ZH; Cao, N; Qin, X</t>
  </si>
  <si>
    <t>Meng, Wei; Wen, Lina; Song, Zhonghai; Cao, Ning; Qin, Xue</t>
  </si>
  <si>
    <t>Metal-free boron-doped carbon microspheres as excellent cathode catalyst for rechargeable Li-O2 battery</t>
  </si>
  <si>
    <t>Rechargeable Li-O-2 batteries are attracting more and more interest due to their high energy density. Meanwhile, the replacement of high-cost and scarce precious-metal catalysts has attracted more and more attention. Currently, many academic researchers have paid attention to find highly efficient metal-free catalysts as air cathode material. Herein, the boron-doped carbon microspheres (B-CMs) were prepared through a novel and facile static calcination method and showed high electrocatalytic activity as a cathode material. The battery with a B-CM cathode delivered a high initial discharge capacity of 13,757.2 mAh g(-1) and outstanding coulombic efficiency of 90.1 % at 100 mA g(-1). In addition, stable cyclability (151 cycles with stable discharge voltage of similar to 2.60 V with a cutoff capacity of 1000 mAh g(-1) at 200 mA g(-1)) has been exhibited. These performances are due to three main points: boron carbide compound changed the surface area of the CMs and formed the mesopore architectures as well as the large surface area of 683.738 m(2) g(-1); the reduce of boron atom can slow down the oxidation of the CMs during the cyclings; and finally, the electron-deficient boron atom introduction greatly facilitated Li+ diffusion and electrolyte immersion and enhanced the oxygen reduction and evolution reaction kinetics.</t>
  </si>
  <si>
    <t>10.1007/s10008-016-3412-3</t>
  </si>
  <si>
    <t>WOS:000394379600005</t>
  </si>
  <si>
    <t>Song, SD; Xu, W; Cao, RG; Luo, LL; Engelhard, MH; Bowden, ME; Liu, B; Estevez, L; Wang, CM; Zhang, JG</t>
  </si>
  <si>
    <t>Song, Shidong; Xu, Wu; Cao, Ruiguo; Luo, Langli; Engelhard, Mark H.; Bowden, Mark E.; Liu, Bin; Estevez, Luis; Wang, Chong-Min; Zhang, Ji-Guang</t>
  </si>
  <si>
    <t>B4C as a stable non-carbon-based oxygen electrode material for lithium-oxygen batteries</t>
  </si>
  <si>
    <t>Lithium-oxygen (Li-O-2) batteries have extremely high theoretical specific capacities and energy densities when compared with Li-ion batteries. However, the instability of both electrolyte and carbon-based oxygen electrode related to the nucleophilic attack of reduced oxygen species during oxygen reduction reaction and the electrochemical oxidation during oxygen evolution reaction are recognized as the major challenges in this field. Here we report the application of boron carbide (B4C) as the non-carbon based oxygen electrode material for aprotic Li-O-2 batteries. B4C has high resistance to chemical attack, good conductivity, excellent catalytic activity and low density that are suitable for battery applications. The electrochemical activity and chemical stability of B4C are systematically investigated in an aprotic electrolyte. Li-O-2 cells using B4C-based air electrodes exhibit better cycling stability than those using carbon nanotube-and titanium carbide-based air electrodes in the electrolyte of 1 M lithium trifluoromethanesulfonate in tetraglyme. The performance degradation of B4C-based electrode is mainly due to the loss of active sites on B4C electrode during cycles as identified by the structure and composition characterizations. These results clearly demonstrate that B4C is a very promising alternative oxygen electrode material for aprotic Li-O-2 batteries. It can also be used as a standard electrode to investigate the stability of electrolytes.</t>
  </si>
  <si>
    <t>; Luo, Langli/B-5239-2013; Zhang, Ji-Guang/AGM-3942-2022; Engelhard, Mark/F-1317-2010; Wang, Chongmin/ABE-8457-2020; Luo, Langli/GLR-2460-2022; Xu, Wu/AGU-0925-2022; Liu, Bin/H-6780-2019</t>
  </si>
  <si>
    <t>estevez, luis/0000-0002-8057-1078; Luo, Langli/0000-0002-6311-051X; Xu, Wu/0000-0002-2685-8684;</t>
  </si>
  <si>
    <t>10.1016/j.nanoen.2017.01.042</t>
  </si>
  <si>
    <t>WOS:000397314200021</t>
  </si>
  <si>
    <t>Song, SD; Xu, W; Zheng, JM; Luo, LL; Engelhard, MH; Bowden, ME; Liu, B; Wang, CM; Zhang, JG</t>
  </si>
  <si>
    <t>Song, Shidong; Xu, Wu; Zheng, Jianming; Luo, Langli; Engelhard, Mark H.; Bowden, Mark E.; Liu, Bin; Wang, Chong-Min; Zhang, Ji-Guang</t>
  </si>
  <si>
    <t>Complete Decomposition of Li2CO3 in Li-O2 Batteries Using Ir/B4C as Noncarbon-Based Oxygen Electrode</t>
  </si>
  <si>
    <t>Instability of carbon-based oxygen electrodes and incomplete decomposition of Li2CO3 during charge process are critical barriers for rechargeable Li-O-2 batteries. Here we report the complete decomposition of Li2CO3 in Li-O-2 batteries using the ultrafine iridium-decorated boron carbide (Ir/B4C) nanocomposite as a noncarbon based oxygen electrode. The systematic investigation on charging the Li2CO3 preloaded Ir/B4C electrode in an ether-based electrolyte demonstrates that the Ir/B4C electrode can decompose Li2CO3 with an efficiency close to 100% at a voltage below 4.37 V. In contrast, the bare B4C without Ir electrocatalyst can only decompose 4.7% of the preloaded Li2CO3. Theoretical analysis indicates that the high efficiency decomposition of Li2CO3 can be attributed to the synergistic effects of Ir and B4C. Ir has a high affinity for oxygen species, which could lower the energy barrier for electrochemical oxidation of Li2CO3. B4C exhibits much higher chemical and electrochemical stability than carbon-based electrodes and high catalytic activity for Li-O-2 reactions. A Li-O-2 battery using Ir/B4C as the oxygen electrode material shows highly enhanced cycling stability than those using the bare B4C oxygen electrode. Further development of these stable oxygen-electrodes could accelerate practical applications of Li-O-2 batteries.</t>
  </si>
  <si>
    <t>Wang, Chongmin/ABE-8457-2020; Engelhard, Mark/F-1317-2010; Zheng, Jianming/AGL-9640-2022; Luo, Langli/B-5239-2013; Luo, Langli/GLR-2460-2022; Liu, Bin/H-6780-2019; Zhang, Ji-Guang/AGM-3942-2022; Xu, Wu/AGU-0925-2022</t>
  </si>
  <si>
    <t>Luo, Langli/0000-0002-6311-051X;</t>
  </si>
  <si>
    <t>10.1021/acs.nanolett.6b04371</t>
  </si>
  <si>
    <t>WOS:000396185800015</t>
  </si>
  <si>
    <t>Zhang, YQ; Zhang, XL; Ma, XX; Guo, WH; Wang, CC; Asefa, T; He, XQ</t>
  </si>
  <si>
    <t>Zhang, Yaqing; Zhang, Xianlei; Ma, Xiuxiu; Guo, Wenhui; Wang, Chunchi; Asefa, Tewodros; He, Xingquan</t>
  </si>
  <si>
    <t>A Facile Synthesis of Nitrogen-Doped Highly Porous Carbon Nanoplatelets: Efficient Catalysts for Oxygen Electroreduction</t>
  </si>
  <si>
    <t>The oxygen reduction reaction (ORR) is of great importance for various renewable energy conversion technologies such as fuel cells and metal-air batteries. Heteroatom-doped carbon nanomaterials have proven to be robust metal-free electrocatalysts for ORR in the above-mentioned energy devices. Herein, we demonstrate the synthesis of novel highly porous N-doped carbon nanoplatelets (N-HPCNPs) derived from oatmeal (or a biological material) and we show the materials' high-efficiency as electrocatalyst for ORR. The obtained N-HPCNPs hybrid materials exhibit superior electrocatalytic activities towards ORR, besides excellent stability and good methanol tolerance in both basic and acidic electrolytes. The unique nanoarchitectures with rich micropores and mesopores, as well as the high surface area-to-volume ratios, present in the materials significantly increase the density of accessible catalytically active sites in them and facilitate the transport of electrons and electrolyte within the materials. Consequently, the N-HPCNPs catalysts hold a great potential to serve as low-cost and highly efficient cathode materials in direct methanol fuel cells (DMFCs).</t>
  </si>
  <si>
    <t>Asefa, Tewodros/Q-2957-2018; Guo, Wenhui/KVB-4479-2024</t>
  </si>
  <si>
    <t>FEB 27</t>
  </si>
  <si>
    <t>10.1038/srep43366</t>
  </si>
  <si>
    <t>WOS:000394768100001</t>
  </si>
  <si>
    <t>Kobayashi, Y; Shono, K; Kobayashi, T; Ohno, Y; Tabuchi, M; Oka, Y; Nakamura, T; Miyashiro, H</t>
  </si>
  <si>
    <t>Kobayashi, Yo; Shono, Kumi; Kobayashi, Takeshi; Ohno, Yasutaka; Tabuchi, Masato; Oka, Yoshihiro; Nakamura, Tatsuya; Miyashiro, Hajime</t>
  </si>
  <si>
    <t>A long life 4 V class lithium-ion polymer battery with liquid-free polymer electrolyte</t>
  </si>
  <si>
    <t>Ether-based solid polymer electrolyte (SPE) is one of the most well-known lithium ion conductors. Unlike the other inorganic electrolytes, SPE exhibits advantages of flexibility and large-area production, enabling low cost production of large size batteries. However, because the ether group is oxidized at 4 V versus Li/Li+ cathode, and due to its high irreversibility with the carbon anode, ether-based SPE was believed to be inapplicable to 4 V class lithium-ion batteries with carbon anode. Here we report a remarkably stable SPE in combination with a 4 V class cathode and carbon anode achieved by the proper design at the interface. The introduced boron-based lithium salt prohibits further oxidation of SPE at the cathode interface. The surface modification of graphite by the annealing of polyvinyl chloride mostly prohibits the continuous consumption of lithium at the graphite anode. Using above interface design, we achieved 60% capacity retention after 5400 cycles. The proposed battery provides a possible approach for realizing flammable electrolyte-free lithium-ion batteries, which achieve innovative safety improvements of large format battery systems for stationary use. (C) 2016 Elsevier B.V. All rights reserved.</t>
  </si>
  <si>
    <t>; Kobayashi, Takeshi/N-8670-2014</t>
  </si>
  <si>
    <t>Oka, Yoshihiro/0000-0002-6969-9978; Kobayashi, Yo/0000-0003-4049-3930</t>
  </si>
  <si>
    <t>10.1016/j.jpowsour.2016.12.009</t>
  </si>
  <si>
    <t>WOS:000393003400030</t>
  </si>
  <si>
    <t>Hu, JZ; Xie, KY; Liu, XY; Guo, SH; Shen, C; Liu, XR; Li, XH; Wang, JG; Wei, BQ</t>
  </si>
  <si>
    <t>Hu, Jingzhi; Xie, Keyu; Liu, Xiaoyan; Guo, Shaohui; Shen, Chao; Liu, Xingrui; Li, Xuanhua; Wang, Jian-gan; Wei, Bingqing</t>
  </si>
  <si>
    <t>Dramatically Enhanced Ion Conductivity of Gel Polymer Electrolyte for Supercapacitor via h-BN Nanosheets Doping</t>
  </si>
  <si>
    <t>A novel hexagonal boron nitride nanosheets (h-BN)-doped poly (vinyl alcohol)-sulfuric acid (PVA-H2SO4) gel polymer electrolyte (GPE) is first fabricated through a facile freeze-thaw method. The ionic conductivities of the h-BN-doped PVA-H2SO4 GPEs with various h-BN nanosheet contents are evaluated. With the optimal content of h-BN nanosheets (0.025 mg ml(-1)), the ionic conductivity of the GPE can reach up to 29 mS cm(-1), three times higher than that of GPE without the h-BN nanosheets (9 mS cm(-1)). The h-BN nanosheets are considered as a super-highway for ion transport in PVA-H2SO4 GPE. Moreover, a symmetric qusai-solid-state supercapacitor, with activated carbon as electrodes and the h-BN nanosheets-doped PVA-H2SO4 gel polymer as an electrolyte and separator, delivers a high specific capacitance, good rate capability, and excellent cycle stability. At the current density of 0.5 A g(-1), the symmetry qusai-solid-state supercapacitor can deliver an electrode specific capacitance of 124.5 Fg(-1), and remain 99.2% capacitance after 5000 charge-discharge cycles. The h-BN nanosheets-doped GPE, with superior performance and facile synthesis method, appears to be a promising candidate for high-performance qusai-solid-state supercapacitors and other electrochemical devices, such as rechargeable batteries, fuel cells. This work also sheds light on the possibility to use 2D materials in advanced GPE. (C) 2017 Elsevier Ltd. All rights reserved.</t>
  </si>
  <si>
    <t>chao, shen/M-1619-2019; Wei, Bingqing/A-4525-2008; Wang, Jian-Gan/P-6611-2019; xie, keyu/F-8076-2012; Li, Xuanhua/J-4262-2013</t>
  </si>
  <si>
    <t>Hu, Jingzhi/0000-0001-8044-9841; Shen, Chao/0000-0003-0386-6689; Xie, Keyu/0000-0001-7719-9095; Guo, Shaohui/0000-0002-0223-7162</t>
  </si>
  <si>
    <t>FEB 10</t>
  </si>
  <si>
    <t>10.1016/j.electacta.2017.01.045</t>
  </si>
  <si>
    <t>WOS:000394399600049</t>
  </si>
  <si>
    <t>Yang, XR; Li, JH; Xing, LD; Liao, YH; Xu, MQ; Huang, QM; Li, WS</t>
  </si>
  <si>
    <t>Yang, Xuerui; Li, Jianhui; Xing, Lidan; Liao, Youhao; Xu, Mengqing; Huang, Qiming; Li, Weishan</t>
  </si>
  <si>
    <t>Stabilizing lithium manganese oxide/organic carbonate electrolyte interface with a simple boron-containing additive</t>
  </si>
  <si>
    <t>A simple boron -containing molecule, tripropyl borate (TPB), is used as an electrolyte additive to stabilize the interface between spinel lithium manganese oxide (LiMn2O4) and carbonate -based electrolyte under elevated temperature. Electrochemical measurements indicate that the cyclic stability of LiMn2O4 electrode can be significantly improved by TPB. The capacity retention of LiMn2O4 at 1C after 200 cycles under 55 degrees C is improved from 47% to 74% by adding 3% TPB into a standard electrolyte (1.0 mol L-1 LiPF6-EC/EMC/DEC (3/5/2, in weight)). Most importantly, the self-discharge of LiMn2O4 under 55 degrees C, which takes place dramatically in the standard electrolyte, is effectively suppressed in 3% TPB-containing electrolyte. Theoretical calculations and physical characterizations demonstrate that a protective cathode electrolyte interface (CEI) film is formed on LiMn2O4 from the preferential oxidation of TPB, which suppresses the oxidation decomposition of the standard electrolyte. Due to the incorporation of boron, the CEI film formed from TPB is beneficial to the rate capability of LiMn2O4. (C) 2017 Elsevier Ltd. All rights reserved.</t>
  </si>
  <si>
    <t>Yang, Xuerui/IUO-6732-2023; Xu, Meng/HJY-7139-2023</t>
  </si>
  <si>
    <t>Yang, Xuerui/0000-0003-3289-0004;</t>
  </si>
  <si>
    <t>10.1016/j.electacta.2017.01.005</t>
  </si>
  <si>
    <t>WOS:000394399600005</t>
  </si>
  <si>
    <t>Schmitz, P; Jakelski, R; Jalkanen, K; Winter, M; Bieker, P</t>
  </si>
  <si>
    <t>Schmitz, Paulo; Jakelski, Rene; Jalkanen, Kirsi; Winter, Martin; Bieker, Peter</t>
  </si>
  <si>
    <t>Synthesis of High-Purity Imidazolium Tetrafluoroborates and Bis(oxalato)borates</t>
  </si>
  <si>
    <t>The synthesis and purification of imidazolium-based ionic liquids (ILs) with boron-containing anions is reported. The scope was the optimization of the meta thesis reaction and on the purification of the synthesized ILs. It was possible to reduce the reaction and purification times, to avoid the use of acetonitrile as processing solvent, and to increase the yield compared to the known procedure for [BOB](-) anion-containing ILs. Furthermore, to the best of our knowledge the flashpoints of the ILs could be determined for the first time by the continuously closed-cup flashpoint (CCCFP) method.</t>
  </si>
  <si>
    <t>Winter, Martin/AEY-7433-2022</t>
  </si>
  <si>
    <t>Winter, Martin/0000-0003-4176-5811</t>
  </si>
  <si>
    <t>10.1002/chem.201604461</t>
  </si>
  <si>
    <t>WOS:000395583200004</t>
  </si>
  <si>
    <t>Ma, L; Glazier, SL; Petibon, R; Xia, J; Peters, JM; Liu, Q; Allen, J; Doig, RNC; Dahn, JR</t>
  </si>
  <si>
    <t>Ma, Lin; Glazier, S. L.; Petibon, R.; Xia, Jian; Peters, Jeremy M.; Liu, Q.; Allen, J.; Doig, R. N. C.; Dahn, J. R.</t>
  </si>
  <si>
    <t>A Guide to Ethylene Carbonate-Free Electrolyte Making for Li-Ion Cells</t>
  </si>
  <si>
    <t>International Meeting on Lithium Batteries (IMLB)</t>
  </si>
  <si>
    <t>JUN, 2016</t>
  </si>
  <si>
    <t>Chicago, IL</t>
  </si>
  <si>
    <t>Li[Ni0.42Mn0.42Co0.16]O-2 (NMC442)/graphite pouch cells demonstrate superb performance at high voltage when ethylene carbonate (EC)-free electrolytes, using a solvent mixture that is &gt;95% ethyl methyl carbonate (EMC) and between 2 and 5% of an enabler, are used. The enablers, required to passivate graphite during formation, can be vinylene carbonate (VC), methylene-ethylene carbonate (MEC), fluoroethylene carbonate (FEC) or difluoro ethylene carbonate (DiFEC), among others. In order to optimize the amount of enabler added to EMC, gas chromatography coupled with mass spectrometry (GC-MS) was used to track the consumption of enabler during the formation step. Storage tests, electrochemical impedance spectroscopy (EIS), ultrahigh precision coulometry (UHPC), long-term cycling, differential voltage analysis and isothermal microcalorimetry were used to determine the optimum amount of enabler to add to the cells. It was found that the graphite negative electrode cannot be fully passivated when the amount of enabler is too low resulting in gas production and capacity fade. Using excess enabler can cause large impedance and gas production in most cases. The choice of enabler also impacts cell performance. A solvent blend of 5% FEC with 95% EMC (by weight) provides the best combination of properties in NMC442/graphite cells operated to 4.4 V. It is our opinion that the experiments and their interpretation presented here represent a primer for the design of EC-free electrolytes. (C) The Author(s) 2016. Published by ECS. This is an open access article distributed under the terms of the Creative Commons Attribution 4.0 License (CC BY, http://creativecommons.org/licenses/by/4.0/), which permits unrestricted reuse of the work in any medium, provided the original work is properly cited. All rights reserved.</t>
  </si>
  <si>
    <t>Glazier, Stephen/KHU-3207-2024; Ma, Lin/CAH-3689-2022</t>
  </si>
  <si>
    <t>Ma, Lin/0000-0003-1183-1347</t>
  </si>
  <si>
    <t>A5008</t>
  </si>
  <si>
    <t>A5018</t>
  </si>
  <si>
    <t>10.1149/2.0191701jes</t>
  </si>
  <si>
    <t>WOS:000394508400002</t>
  </si>
  <si>
    <t>Romann, T; Anderson, E; Pikma, P; Tamme, H; Möller, P; Lust, E</t>
  </si>
  <si>
    <t>Romann, T.; Anderson, E.; Pikma, P.; Tamme, H.; Moller, P.; Lust, E.</t>
  </si>
  <si>
    <t>Reactions at graphene|tetracyanoborate ionic liquid interface - New safety mechanisms for supercapacitors and batteries</t>
  </si>
  <si>
    <t>If an electrochemical energy storage device, which contains tetracyanoborate anions in the electrolyte, is accidentally charged with much higher voltage, it won't explode, because of a self-blocking mechanism. Firstly, voltage (E) more positive than 2.2 V (vs. Ag vertical bar AgCl reference electrode) kills the conductivity of single layer graphene and electrochemical reactions stop. Secondly, at E &gt; 2.2 V tetracyanoborate anion polymerizes to a dielectric polymer polycyanoborani, which electrically isolates graphite or porous carbon grains from current collectors. (C) 2016 Elsevier B.V. All rights reserved.</t>
  </si>
  <si>
    <t>; Romann, Tavo/IQT-4292-2023; Pikma, Piret/AAB-2918-2022; Möller, Priit/E-5021-2015</t>
  </si>
  <si>
    <t>Romann, Tavo/0000-0003-2218-8609; Pikma, Piret/0000-0003-0168-0581; Moller, Priit/0000-0002-6704-7183;</t>
  </si>
  <si>
    <t>10.1016/j.elecom.2016.11.016</t>
  </si>
  <si>
    <t>WOS:000391422400009</t>
  </si>
  <si>
    <t>Saaidia, S; Delimi, R; Benredjem, Z; Mehellou, A; Djemel, A; Barbari, K</t>
  </si>
  <si>
    <t>Saaidia, Samia; Delimi, Rachid; Benredjem, Zahia; Mehellou, Ahmed; Djemel, Abdelhak; Barbari, Karima</t>
  </si>
  <si>
    <t>Use of a PbO2 electrode of a lead-acid battery for the electrochemical degradation of methylene blue</t>
  </si>
  <si>
    <t>SEPARATION SCIENCE AND TECHNOLOGY</t>
  </si>
  <si>
    <t>In this work, the electrochemical degradation efficiency of synthetic azo dye, methylene blue, at positive electrode PbO2 of lead-acid battery was investigated. The structure and morphology of the electrode was investigated by X-ray diffraction, scanning electron microscopy, and energy dispersive X-ray spectrometry. The influence of several operating parameters on electro-oxidation of 100 mL of methylene blue solution 100 mg/L was studied. Results indicated that lead-acid battery electrode is effective for removing color and chemical oxygen demand (COD). It is found that current density, the stirring speed, and the supporting electrolyte concentration have a positive effect on decolorization and mineralization, and no significant effect of the distance between the electrodes on methylene blue degradation and COD removal was observed. By contrast, the percentage of color and COD removal decreases with increasing of pH. Kinetic analysis of the results revealed that the COD removal follows a pseudo-first-order kinetics.</t>
  </si>
  <si>
    <t>; Delimi, Rachid/AAQ-3217-2021; Mehellou, Ahmed/AFV-8397-2022</t>
  </si>
  <si>
    <t>BENREDJEM, Zahia/0000-0003-4135-7682; Djemel, Abdelhak/0000-0001-6442-4687;</t>
  </si>
  <si>
    <t>0149-6395</t>
  </si>
  <si>
    <t>1520-5754</t>
  </si>
  <si>
    <t>10.1080/01496395.2017.1291681</t>
  </si>
  <si>
    <t>WOS:000401197000011</t>
  </si>
  <si>
    <t>Soydan, AM; Akdeniz, R</t>
  </si>
  <si>
    <t>Soydan, Ali Murat; Akdeniz, Recep</t>
  </si>
  <si>
    <t>Polymer Electrolytes Based on Borane/Poly(ethylene glycol) Methyl Ether for Lithium Batteries</t>
  </si>
  <si>
    <t>JOURNAL OF CHEMISTRY</t>
  </si>
  <si>
    <t>This work presents a different approach to preparing polymer electrolytes having borate ester groups for lithium ion batteries. The polymers were synthesized by reaction between poly(ethylene glycol) methyl ether (PEGME) and BH 3-THF complex. Molecular weight of PEGMEs was changed with different chain lengths. Then the polymer electrolytes comprising boron were prepared by doping of the matrices with CF3 SO3 Li at various molar ratios with respect to EO to Li and they are abbreviated as PEGMEXB-B-Y The identification of the PEGME-borate esters was carried out by FTIR and 1H NMR spectroscopy. Thermal properties of these electrolytes were investigated via thermogravimetric analysis (TGA) and differential scanning calorimetry (DSC). The ionic conductivity of these novel polymer electrolytes was studied by dielectric-impedance spectroscopy. Lithium ion conductivity of these electrolytes was changed by the length of PEGME as well as the doping ratios. They exhibit approximate conductivities of 10(-4) S.cm(-1) at 30 degrees C and 10-3 S.cm(-1) at 100 degrees C.</t>
  </si>
  <si>
    <t>Akdeniz, Recep/JRZ-1258-2023</t>
  </si>
  <si>
    <t>Akdeniz, Recep/0000-0002-8072-0862</t>
  </si>
  <si>
    <t>2090-9063</t>
  </si>
  <si>
    <t>2090-9071</t>
  </si>
  <si>
    <t>10.1155/2017/4839410</t>
  </si>
  <si>
    <t>WOS:000413046700001</t>
  </si>
  <si>
    <t>Xiong, DJ; Ellis, LD; Petibon, R; Hynes, T; Liu, QQ; Dahn, JR</t>
  </si>
  <si>
    <t>Xiong, D. J.; Ellis, L. D.; Petibon, Remi; Hynes, Toren; Liu, Q. Q.; Dahn, J. R.</t>
  </si>
  <si>
    <t>Studies of Gas Generation, Gas Consumption and Impedance Growth in Li-Ion Cells with Carbonate or Fluorinated Electrolytes Using the Pouch Bag Method</t>
  </si>
  <si>
    <t>Li[Ni0.42Mn0.42Co0.16]O-2 (NMC442)/graphite pouch cells with an ethylene carbonate-containing or a fluorinated electrolyte were used to prepare charged electrodes for studies using pouch bags. Sealed pouch bags containing either lithiated graphite or delithiated NMC442 electrodes taken from pouch cells, and also sister pouch cells, were subjected to 500 h storage at elevated temperature. The electrodes recovered from the pouch bags and pouch cells after storage were studied using electrochemical impedance spectroscopy and X-ray photoelectron spectroscopy while the gases generated were quantified using gas chromatography. The fluorinated electrolyte suppressed impedance growth of the positive electrode during storage but caused a large initial negative electrode impedance compared to the carbonate electrolyte. The solid electrolyte interface (SEI) formed by the fluorinated electrolyte at the graphite electrode hinders the consumption of CO2 generated at the delithiated NMC442 electrode, leading to more CO2 in pouch cells with fluorinated electrolyte than in cells with carbonate electrolyte. Hydrogen gas was only observed in pouch cells after storage and not in pouch bags which contained either a single negative electrode plus electrolyte or a single positive electrode plus electrolyte, suggesting the H-2 results from a species created at one electrode which reacts at the other in a pouch cell. (C) The Author(s) 2016. Published by ECS.</t>
  </si>
  <si>
    <t>A340</t>
  </si>
  <si>
    <t>A347</t>
  </si>
  <si>
    <t>10.1149/2.1091702jes</t>
  </si>
  <si>
    <t>WOS:000397850800133</t>
  </si>
  <si>
    <t>Zottnick, SH; Sorg, JR; Sprenger, JAP; Finze, M; Müller-Buschbaum, K</t>
  </si>
  <si>
    <t>Zottnick, Sven H.; Sorg, Jens R.; Sprenger, Jan A. P.; Finze, Maik; Mueller-Buschbaum, Klaus</t>
  </si>
  <si>
    <t>Unexpected Dimeric Spiro-Borate Complexes from Lewis-Acid Induced Transformation of Oxalatoborates</t>
  </si>
  <si>
    <t>ZEITSCHRIFT FUR ANORGANISCHE UND ALLGEMEINE CHEMIE</t>
  </si>
  <si>
    <t>Oxalatoborates were transformed into dimeric spiro-borate complexes by abstraction of oxalate ligands by Lewis acidic lanthanide trichlorides. Oxalatoborates with different anions and cations were investigated containing either bis-oxalatoborate or catecholato-oxalatoborate anions and lithium as well as EMIM (1-ethyl-3-methyl-imidazolium) and BMIM cations (1-n-butyl-3-methyl-imidazolium) from the respective ionic liquids (ILs). Depending on the amount of oxalate groups and the different cations, the oxalate groups are partly or fully abstracted and transferred to the lanthanides. The reaction of anhydrous PrCl3 with Li[B(C6H4O2)(C2O4)] (lithium catecholato-oxalatoborate = Li[Catbox]) in pyridine (py) led to a conversion of the borate anion to the complex [B2O(C6H4O2)(py)(4)][PrCl5(py)] (1). The use of the ILs [EMIM][Catbox] and [BMIM][Catbox] indicates complete transfer of the oxalate groups to the lanthanide ions in reactions with lanthanide chlorides and nitrates yielding the well-known lanthanide oxalates Ln(2)(C2O4)(3)10H(2)O (Ln = La, Eu). In contrast, the reaction of anhydrous YCl3 with Li[B(C2O4)(2)] (lithium bis-oxalatoborate = Li[BOB]) in N,N-dimethylformamide (dmf) results in the formation of [B2O(C2O4)(2)(dmf)(2)] (2). Transfer of one oxalate group per boron onto the yttrium ion is revealed by the formation of the one-dimensional coordination polymer (1)[LiYCl2(C2O4)(dmf)(3)] (3) as additional product. The products were characterized by single-crystal X-ray diffraction as well as powder X-ray diffraction, IR spectroscopy and elemental analysis.</t>
  </si>
  <si>
    <t>Finze, Maik/0000-0002-6098-7148</t>
  </si>
  <si>
    <t>0044-2313</t>
  </si>
  <si>
    <t>1521-3749</t>
  </si>
  <si>
    <t>10.1002/zaac.201600319</t>
  </si>
  <si>
    <t>WOS:000394225100008</t>
  </si>
  <si>
    <t>Kosswattaarachchi, AM; Friedman, AE; Cook, TR</t>
  </si>
  <si>
    <t>Kosswattaarachchi, Anjula M.; Friedman, Alan E.; Cook, Timothy R.</t>
  </si>
  <si>
    <t>Characterization of a BODIPY Dye as an Active Species for Redox Flow Batteries</t>
  </si>
  <si>
    <t>An all-organic redox flow battery (RFB) employing a fluorescent boron-dipyrromethene (BODIPY) dye (PM567) was investigated. In a RFB, the stability of the electrolyte in all charged states is critically linked to coulombic efficiency. To evaluate stability, bulk electrolysis and cyclic voltammetry (CV) experiments were performed. Oxidized and reduced, PM567 does not remain intact; however, the products of bulk electrolysis evolve over time to show stable redox behavior, making the dye a precursor for the active species of an RFB. A theoretical cell potential of 2.32 V was predicted from CV experiments with a working discharge voltage of approximately 1.6 V in a static test cell. Mass spectrometry was used to identify the products of bulk electrolysis. Related experiments were carried out using ferrocene and cobaltocenium hexafluorophosphate as redox-stable benchmarks to further explain the stability results. The coulombic efficiency of a model cell using PM567 as a precursor for charge carriers stabilized around 73%.</t>
  </si>
  <si>
    <t>Friedman, Alan/Q-4858-2018</t>
  </si>
  <si>
    <t>Friedman, Alan/0000-0002-4764-8168; Cook, Timothy/0000-0002-7668-8089; Kosswattaarachchi, Anjula/0000-0001-5784-734X</t>
  </si>
  <si>
    <t>DEC 8</t>
  </si>
  <si>
    <t>10.1002/cssc.201601104</t>
  </si>
  <si>
    <t>WOS:000394571400009</t>
  </si>
  <si>
    <t>Li, FQ; Shangguan, XH; Jia, GF; Wang, QL; Gong, Y; Bai, B; Fan, W</t>
  </si>
  <si>
    <t>Li, Faqiang; Shangguan, Xuehui; Jia, Guofeng; Wang, Qinglei; Gong, Yan; Bai, Bin; Fan, Wei</t>
  </si>
  <si>
    <t>Dual-salts of LiTFSI and LiODFB for high voltage cathode LiNi0.5Mn1.5O4</t>
  </si>
  <si>
    <t>The LiNi0.5Mn1.5O4 has been investigated as promising because of its high operating voltage (4.7 V vs. Li+/Li) and decent specific capacity. Despite these advantages, however, the market penetration of this material was significantly hindered by the lack of proper electrolytes that can work stably up to 5 V. To achieve better cycling stability, mixed salts of lithium bis (trifluoromethanesulfonylimide) (LiTFSI) and lithium difluoro (oxalate) borate (LiODFB) are used in LiNi0.5Mn1.5O4-based batteries to replace the lithium hexafluoride phosphate (LiPF6) salt in non-aqueous electrolytes. The SEM and CV data indicate that the corrosion to Al current collector caused by LiTFSI-based electrolytes under high voltage (similar to 5 V vs. Li+/Li) can be largely reduced by adding LiODFB into LiTFSI-based electrolytes. And a boron-based passivation layer from the oxidative decomposition of LiODFB to suppress the corrosion based on the XPS tests results. In addition, the LiTFSI0.5-LiODFB0.5-based electrolyte has better cycling stability and rate capability for LiNi0.5Mn1.5O4-based cells than LiPF6-based electrolyte.</t>
  </si>
  <si>
    <t>; Li, Faqiang/H-2043-2011; Wang, Qinglei/AAA-5305-2019</t>
  </si>
  <si>
    <t>Wang, Qinglei/0000-0001-6300-439X;</t>
  </si>
  <si>
    <t>10.1007/s10008-016-3313-5</t>
  </si>
  <si>
    <t>WOS:000388506300029</t>
  </si>
  <si>
    <t>Li, JH; Zhang, LP; Yu, L; Fan, WZ; Wang, ZS; Yang, XR; Lin, YL; Xing, LD; Xu, MQ; Li, WS</t>
  </si>
  <si>
    <t>Li, Jianhui; Zhang, Liping; Yu, Le; Fan, Weizhen; Wang, Zaisheng; Yang, Xuerui; Lin, Yilong; Xing, Lidan; Xu, Mengqing; Li, Weishan</t>
  </si>
  <si>
    <t>Understanding Interfacial Properties between Li-Rich Layered Oxide and Electrolyte Containing Triethyl Borate</t>
  </si>
  <si>
    <t>Boron-containing electrolyte additives have been successfully used to improve the cyclability for Li-rich layered oxide, a hopeful cathode of high energy density lithium ion battery, but available mechanisms on their contribution are diversified. In this paper, we provide evidence to confirm the mechanism that Li-rich layered oxide is protected by a solid electrolyte interface (SEI) layer derived from boron-containing electrolyte additives. Triethyl borate (TEB), a simple boron-containing molecule, is selected as the electrolyte additive, and a representative Li-rich layered oxide, Li[Li0.2Mn0.54Ni0.13Co0.13]O-2, is synthesized for understanding the interfacial properties between the oxide and the electrolyte through physical and electrochemical characterizations. Cyclability tests display that the as-prepared oxide exhibits a fast capacity decrease in the standard electrolyte, 1.0 M LiPF6, in a mixed carbonate solvent of ethyl methyl carbonate (EMC), dimethyl carbonate (DMC), and ethylene carbonate (EC) (EMC/DMC/EC = 5/2/3, in weight), with only 30% capacity retention after 150 cycles at 0.5 C (1 C = 250 mAh g(-1)), which can be improved to 79% when 3% TEB is introduced. Physical characterizations demonstrate that the as-prepared oxide suffers a severe structural destruction accompanied by thick deposits from electrolyte decomposition products, but the crystal structure of the oxide is well protected by a uniform solid electrolyte interface (SEI) layer formed from the preferential oxidation of TEB.</t>
  </si>
  <si>
    <t>Xu, Meng/HJY-7139-2023; YU, Le/ABC-8617-2020; Yang, Xuerui/IUO-6732-2023</t>
  </si>
  <si>
    <t>Yang, Xuerui/0000-0003-3289-0004</t>
  </si>
  <si>
    <t>10.1021/acs.jpcc.6b09097</t>
  </si>
  <si>
    <t>WOS:000389161300033</t>
  </si>
  <si>
    <t>Sun, F; Wu, HB; Liu, X; Liu, F; Zhou, HH; Gao, JH; Lu, YF</t>
  </si>
  <si>
    <t>Sun, Fei; Wu, Haobin; Liu, Xin; Liu, Fang; Zhou, Huihui; Gao, Jihui; Lu, Yunfeng</t>
  </si>
  <si>
    <t>Nitrogen-rich carbon spheres made by a continuous spraying process for high-performance supercapacitors</t>
  </si>
  <si>
    <t>Supercapacitors have high power densities, high efficiencies, and long cycling lifetimes; however, to enable their wider use, their energy densities must be significantly improved. The design and synthesis of improved carbon materials with better capacitance, rate performance, and cycling stability has emerged as the main theme of supercapacitor research. Herein, we report a facile synthetic method to prepare nitrogen-rich carbon particles based on a continuous aerosol-spraying process. The method yields particles that have high surface areas, a uniform microporous structure, and are highly N-doped, resulting in a synergism that enables the construction of supercapacitors with high energy and power density for use in both aqueous and commercial organic electrolytes. Furthermore, we have used density functional theory calculations to show that the improved performance is due to the enhanced wettability and ion adsorption interactions at the carbon/electrolyte interface that result from nitrogen doping. These findings provide new insights into the role of heteroatom doping in the capacitance enhancement of carbon materials; in addition, our method offers an efficient route for large-scale production of doped carbon.</t>
  </si>
  <si>
    <t>Liu, Xin/GRS-6976-2022; Liu, Fang/MTF-3202-2025; Wu, Haobin/D-1572-2014; Sun, Fei/M-4258-2019</t>
  </si>
  <si>
    <t>Liu, Fang/0000-0003-0885-5604; Liu, Xin/0000-0003-1871-9323;</t>
  </si>
  <si>
    <t>10.1007/s12274-016-1199-2</t>
  </si>
  <si>
    <t>WOS:000386770300002</t>
  </si>
  <si>
    <t>Xia, J; Petibon, R; Xiao, A; Lamanna, WM; Dahn, JR</t>
  </si>
  <si>
    <t>Xia, Jian; Petibon, R.; Xiao, A.; Lamanna, W. M.; Dahn, J. R.</t>
  </si>
  <si>
    <t>The effectiveness of electrolyte additives in fluorinated electrolytes for high voltage Li[Ni0.4Mn0.4Co0.2]O2/graphite pouch Li-ion cells</t>
  </si>
  <si>
    <t>The effectiveness of electrolyte additives in fluorinated electrolytes containing 1 M LiPF6/fluoroethylene carbonate:bis (2,2,2-trifluoroethyl) carbonate (1:1 w:w) were studied in high voltage Li(Ni0.4Mn0.4Co0.2) O-2/graphite pouch cells tested to 4.5 V. The results showed that fluorinated electrolytes containing prop-1-ene-1,3-sultone alone or in combination with other additives exhibited significant improvements in terms of coulombic efficiency and charge endpoint capacity slippage during UHPC cycling, voltage drop during storage, as well as capacity retention during long-term cycling compared with state-of-the-art ethylene carbonate-based (ethylene carbonate: ethylmethyl carbonate 3:7) or sulfolane-based electrolytes (sulfolane: ethylmethyl carbonate 3:7) with some promising additive blends. These results indicate that fluorinated electrolytes offer an interesting alternative for high voltage Li-ion batteries. (C) 2016 Elsevier B.V. All rights reserved.</t>
  </si>
  <si>
    <t>10.1016/j.jpowsour.2016.09.012</t>
  </si>
  <si>
    <t>WOS:000385329400022</t>
  </si>
  <si>
    <t>Shim, J; Lee, JS; Lee, JH; Kim, HJ; Lee, JC</t>
  </si>
  <si>
    <t>Shim, Jimin; Lee, Ji Su; Lee, Jin Hong; Kim, Hee Joong; Lee, Jong-Chan</t>
  </si>
  <si>
    <t>Gel Polymer Electrolytes Containing Anion-Trapping Boron Moieties for Lithium-Ion Battery Applications</t>
  </si>
  <si>
    <t>Gel polymer electrolytes (GPEs) based on semi-interpenetrating polymer network (IPN) structure for lithium-ion batteries were prepared by mixing boron-containing cross-linker (BC) composed of ethylene oxide (EO) chains, cross-linkable methacrylate group, and anion-trapping boron moiety with poly(vinylidene fluoride) (PVDF) followed by ultraviolet light-induced curing process. Various physical and electrochemical properties of the GPEs were systematically investigated by varying the EO chain length and boron content. Dimensional stability at high temperature without thermal shrinkage, if any, was observed due to the presence of thermally stable PVDF in the GPEs. GPE having 80 wt % of BC and 20 wt % of PVDF exhibited an ionic conductivity of 4.2 mS cm(-1) at 30 degrees C which is 1 order of magnitude larger than that of the liquid electrolyte system containing the commercial Celgard separator (0.4 mS cm(-1)) owing to the facile electrolyte uptake ability of EO chain and anion-trapping ability of the boron moiety. As a result, the lithium-ion battery cell prepared using the GPE with BC showed an excellent cycle performance at 1.0 C maintaining 87% of capacity during 100 cycles.</t>
  </si>
  <si>
    <t>Lee, Won-Jong/C-1960-2011; Lee, Jong-Chan/AAG-8833-2020; Kim, Hee/ABD-2031-2020; Shim, Jimin/KIH-0364-2024</t>
  </si>
  <si>
    <t>Kim, Hee Joong/0000-0001-6297-1636; Shim, Jimin/0000-0001-6147-921X; Lee, Jin Hong/0000-0001-6800-5543;</t>
  </si>
  <si>
    <t>10.1021/acsami.6b09601</t>
  </si>
  <si>
    <t>WOS:000385992400037</t>
  </si>
  <si>
    <t>Aslam, M; Kong, XY</t>
  </si>
  <si>
    <t>Aslam, Mahreen; Kong, Xiang Yang</t>
  </si>
  <si>
    <t>A lithium ion conductor in Li4SiO4-Li3PO4-LiBO2 ternary system</t>
  </si>
  <si>
    <t>We developed a lithium ion conductor in Li4SiO4-Li3PO4-LiBO2 ternary ceramic system comprising of the mole ratio as Li4SiO4:Li3PO4:LiBO2 = 60:40:20 (termed as 40LP + 20B), exhibiting the ion conductivity of 5.7 x 10(-6) s/cm at room temperature. From the X-ray diffraction patterns, the ternary solid solution has the orthorhombic phase structure with the increased unit cell volume due to the substitution of boron in lattice. The SEM images show that the high densification of the 40LP + 20B samples sintered at 900 degrees C for 6 h, and EDS mappings illustrate that the incorporating boron is distributed homogenously in the grains and no precipitated impurity was observed on grain surface or around grain boundaries. The data of electrochemical impedance spectroscopy (EIS) reveal the low resistance from grain boundary, giving rise to the high bulk ion conductivity. The lithium ion conductor in Li4SiO4-Li3PO4-LiBO2 system is of great potential as practical solid electrolyte for all-solid-state battery. (C) 2016 Elsevier B.V. All rights reserved.</t>
  </si>
  <si>
    <t>Kong, Xiang Yang/E-1593-2012; Kong, Xiang/E-1593-2012</t>
  </si>
  <si>
    <t>Kong, Xiang Yang/0000-0003-0659-4084;</t>
  </si>
  <si>
    <t>10.1016/j.ssi.2016.06.010</t>
  </si>
  <si>
    <t>WOS:000380602200011</t>
  </si>
  <si>
    <t>Lee, AS; Lee, JH; Hong, SM; Lee, JC; Hwang, SS; Koo, CM</t>
  </si>
  <si>
    <t>Lee, Albert S.; Lee, Jin Hong; Hong, Soon Man; Lee, Jong-Chan; Hwang, Seung Sang; Koo, Chong Min</t>
  </si>
  <si>
    <t>Boronic ionogel electrolytes to improve lithium transport for Li-ion batteries</t>
  </si>
  <si>
    <t>Boron containing ionogels were fabricated through chemical crosslinking of boron allyloxide with polyethylene glycol dimethacrylate in an ionic liquid electrolyte solution to obtain mechanically robust gels. Because of the relatively small concentration of crosslinking agent required to fully solidify the ionic liquid electrolyte, good characters of high ionic conductivity, high thermal stability, and good electrochemical stability were observed. A spectroscopic investigation of the boronic ionogels revealed that the lithium mobility was noticeably enhanced compared with ionogels fabricated without the boronic crosslinker, leading to promising Li-ion battery performance at elevated temperatures. (C) 2016 Elsevier Ltd. All rights reserved.</t>
  </si>
  <si>
    <t>Koo, Chong/AAQ-6540-2020; Lee, Jong-Chan/AAG-8833-2020; Lee, Albert/ADE-7764-2022; Lee, Won-Jong/C-1960-2011</t>
  </si>
  <si>
    <t>Lee, Albert/0000-0002-1396-1244; Koo, Chong Min/0000-0002-8674-9236; Lee, Jin Hong/0000-0001-6800-5543</t>
  </si>
  <si>
    <t>10.1016/j.electacta.2016.08.084</t>
  </si>
  <si>
    <t>WOS:000384008900005</t>
  </si>
  <si>
    <t>Nie, M; Madec, L; Xia, J; Hall, DS; Dahn, JR</t>
  </si>
  <si>
    <t>Nie, Mengyun; Madec, L.; Xia, J.; Hall, D. S.; Dahn, J. R.</t>
  </si>
  <si>
    <t>Some Lewis acid-base adducts involving boron trifluoride as electrolyte additives for lithium ion cells</t>
  </si>
  <si>
    <t>Three complexes with boron trifluoride (BF3) as the Lewis acid and different Lewis bases were synthesized and used as electrolyte additives in Li[Ni1/3Mn1/3Co1/3]O-2/graphite and Li[Ni0.42Mn0.42Co0.16]O-2/graphite pouch cells. Lewis acid-base adducts with a boron-oxygen (B-O) bond were trimethyl phosphate boron trifluoride (TMP-BF) and triphenyl phosphine oxide boron trifluoride (TPPO-BF). These were compared to pyridine boron trifluoride (PBF) which has a boron-nitrogen (B-N) bond. The experimental results showed that cells with PBF had the least voltage drop during storage at 4.2 V, 4.4 V and 4.7 V at 40 degrees C and the best capacity retention during long-term cycling at 55 degrees C compared to cells with the other additives. Charge-hold-discharge cycling combined with simultaneous electrochemical impedance spectroscopy measurements showed that impedance growth in TMP-BF and TPPO-BF containing cells was faster than cells containing 2%PBF, suggesting that PBF is useful for impedance control at high voltages (&gt;4.4 V). XPS analysis of the SEI films highlighted a specific reactivity of the PBF-derived SEI species that apparently hinders the degradation of both LiPF6 and solvent during formation and charge hold-discharge cycling. The modified SEI films may explain the improved impedance, the smaller voltage drop during storage and the improved capacity retention during cycling of cells containing the PBF additive. (C) 2016 Elsevier B.V. All rights reserved.</t>
  </si>
  <si>
    <t>Hall, David/L-1681-2013; Hall, David/JDV-6238-2023; Madec, Lénaïc/E-3489-2017</t>
  </si>
  <si>
    <t>Hall, David/0000-0001-9632-0399;</t>
  </si>
  <si>
    <t>10.1016/j.jpowsour.2016.08.048</t>
  </si>
  <si>
    <t>WOS:000383293400048</t>
  </si>
  <si>
    <t>Song, SW; Lee, KC; Park, HY</t>
  </si>
  <si>
    <t>Song, Seung-Wan; Lee, Ki-Chang; Park, Ho-Young</t>
  </si>
  <si>
    <t>High-performance flexible all-solid-state microbatteries based on solid electrolyte of lithium boron oxynitride</t>
  </si>
  <si>
    <t>Rapidly growing interest and demand for wearable electronics require the development of flexible and lightweight all-solid-state batteries as power sources that guarantee high performance and safety with the absence of the risk of fire or explosion that can occur with traditional liquid electrolyte systems. Herein, we successfully fabricate new flexible all-solid-state microbatteries integrating a solid electrolyte film of lithium boron oxynitride (LiBON) on a flexible substrate using sophisticated thin-film fabrication technology. The new microbattery of Li/LiBON/LiCoO2 exhibits excellent mechanical integrity even under severe bending and twisting test conditions, enabling the realization of flexible microbatteries. The microbatteries demonstrate superior electrochemical cycling stability relative to conventional batteries, delivering an outstanding capacity retention of 90% on the 1000th cycle. Furthermore, operation at various temperatures from -10 degrees C to +60 degrees C and fast charging within 3-6 min are achieved. With various types of flexible substrates, the microbatteries can provide diverse opportunities for flexible and wearable electronics. (C) 2016 Elsevier B.V. All rights reserved.</t>
  </si>
  <si>
    <t>Song, Seung-Wan/0000-0003-4208-206X</t>
  </si>
  <si>
    <t>10.1016/j.jpowsour.2016.07.114</t>
  </si>
  <si>
    <t>WOS:000383293400035</t>
  </si>
  <si>
    <t>Xia, J; Petibon, R; Xiong, DJ; Ma, L; Dahn, JR</t>
  </si>
  <si>
    <t>Xia, Jian; Petibon, Remi; Xiong, Deijun; Ma, Lin; Dahn, J. R.</t>
  </si>
  <si>
    <t>Enabling linear alkyl carbonate electrolytes for high voltage Li-ion cells</t>
  </si>
  <si>
    <t>Some of the problems of current electrolytes for high voltage Li-ion cells originate from ethylene carbonate (EC) which is thought to be an essential electrolyte component for Li-ion cells. Ethylene carbonate-free electrolytes containing 1 M LiPF6 in ethylmethyl carbonate (EMC) with small loadings of vinylene carbonate, fluoroethylene carbonate, or (4R,5S)-4,5-Difluoro-1,3-dioxolan-2-one acting as enablers were developed. These electrolytes used in Li(Ni0.4Mn0.4Co0.2)O(2)(/)graphite pouch type Li-ion cells tested at 4.2 V and 4.5 V yielded excellent charge-discharge cycling and storage properties. The results for cells containing linear alkyl carbonate electrolytes with no EC were compared to those of cells with EC-containing electrolytes incorporating additives proven to enhance cyclability of cells. The combination of EMC with appropriate amounts of these enablers yields cells with better performance than cells with EC-containing electrolytes incorporating additives tested to 4.5 V. Further optimizing these linear alkyl carbonate electrolytes with appropriate co-additives may represent a viable path to the successful commercial utilization of NMC/graphite Li-ion cells operated to 4.5 V and above. (C) 2016 Elsevier B.V. All rights reserved.</t>
  </si>
  <si>
    <t>Ma, Lin/CAH-3689-2022</t>
  </si>
  <si>
    <t>10.1016/j.jpowsour.2016.08.015</t>
  </si>
  <si>
    <t>WOS:000383293400014</t>
  </si>
  <si>
    <t>Wu, F; Xing, Y; Li, L; Qian, J; Qu, WJ; Wen, JG; Miller, D; Ye, YS; Chen, RJ; Amine, K; Lu, J</t>
  </si>
  <si>
    <t>Wu, Feng; Xing, Yi; Li, Li; Qian, Ji; Qu, Wenjie; Wen, Jianguo; Miller, Dean; Ye, Yusheng; Chen, Renjie; Amine, Khalil; Lu, Jun</t>
  </si>
  <si>
    <t>Facile Synthesis of Boron-Doped rGO as Cathode Material for High Energy Li-O2 Batteries</t>
  </si>
  <si>
    <t>To improve the electrochemical performance of the high energy Li-O-2 batteries, it is important to design and construct a suitable and effective oxygen-breathing cathode. Herein, a three-dimensional (3D) porous boron-doped reduction graphite oxide (B-rGO) material with a hierarchical structure has been prepared by a facile freeze-drying method. In this design, boric acid as the boron source helps to form the 3D porous structure, owing to its cross-linking and pore-forming function. This architecture facilitates the rapid oxygen diffusion and electrolyte penetration in the electrode. Meanwhile, the boron-oxygen functional groups linking to the carbon surface or edge serve as additional reaction sites to activate the ORR process. It is vital that boron atoms have been doped into the carbon lattices to greatly activate the electrons in the carbon p system, which is beneficial for fast charge under large current densities. Density functional theory calculation demonstrates that B-rGO exhibits much stronger interactions with Li5O6 clusters, so that B-rGO more effectively activates Li-O bonds to decompose Li2O(2) during charge than rGO does. With B-rGO as a catalytic substrate, the Li-O-2 battery achieves a high discharge capacity and excellent rate capability. Moreover, catalysts could be added into the B-rGO substrate to further lower the overpotential and enhance the cycling performance in future.</t>
  </si>
  <si>
    <t>Wen, Jian/P-3185-2014; Ye, Yusheng/ABE-2770-2020; Li, Li/ABF-1706-2020; Qian, Ji/C-3134-2017; Lu, Jun/G-2224-2012; Chen, Renjie/R-2416-2018; Wu, Feng/KCY-3017-2024; Amine, Khalil/K-9344-2013</t>
  </si>
  <si>
    <t>Ye, Yusheng/0000-0001-9832-2478; Amine, Khalil/0000-0001-9206-3719; Qian, Ji/0000-0001-5788-1302; Wen, Jianguo/0000-0002-3755-0044;</t>
  </si>
  <si>
    <t>10.1021/acsami.6b05403</t>
  </si>
  <si>
    <t>WOS:000383412000022</t>
  </si>
  <si>
    <t>Bai, MH; Wang, ZX; Li, XH; Guo, HJ; He, ZJ; Zhao, JK</t>
  </si>
  <si>
    <t>Bai, Maohui; Wang, Zhixing; Li, Xinhai; Guo, Huajun; He, Zhenjiang; Zhao, Junkai</t>
  </si>
  <si>
    <t>Enhanced electrochemical properties of Li[Li0.2Mn0.54Ni0.13Co0.13]O2 via lithium boron oxide glass surface treatment</t>
  </si>
  <si>
    <t>A Li2O center dot 2B(2)O(3) layer is successfully coated on the surface. of Li-rich layered cathode Li[Lia(2)Mn(0.54)Ni(0.13)Co(0.13)]O-2, which is demonstrated by X-ray diffraction (XRD), scanning electron microscopy (SEM) and transmission electron microscopy (TEM). The electrochemical performance of the pristine and LBO-coated materials have been investigated by galvanostatic charge/discharge. The experiment results indicate that the electrochemical performances of Li-rich cathode materials are obviously improved by LBO surface modification. Particularly, the sample with 3 wt.% LBO-coating shows the best cycling performance, with capacity retention of 92% after 100 cycles, which is much better than the pristine one. Electrochemical impedance spectroscopy (EIS) reveals that the enhanced electrochemical performances of the LBO-coated sample are due to the enhancement of surface electronic conductivity and the suppression of the decomposition of electrolyte. (C) 2016 Elsevier B.V. All rights reserved.</t>
  </si>
  <si>
    <t>Li, Xinhai/A-6436-2017; bai, maohui/L-9522-2019; Zhao, Junkai/LMQ-4541-2024</t>
  </si>
  <si>
    <t>10.1016/j.ssi.2016.05.013</t>
  </si>
  <si>
    <t>WOS:000379633100011</t>
  </si>
  <si>
    <t>Li, JH; Xing, LD; Zhang, LP; Yu, L; Fan, WZ; Xu, MQ; Li, WS</t>
  </si>
  <si>
    <t>Li, Jianhui; Xing, Lidan; Zhang, Liping; Yu, Le; Fan, Weizhen; Xu, Mengqing; Li, Weishan</t>
  </si>
  <si>
    <t>Insight into self-discharge of layered lithium-rich oxide cathode in carbonate-based electrolytes with and without additive</t>
  </si>
  <si>
    <t>Self-discharge behavior of layered lithium-rich oxide as cathode of lithium ion battery in a carbonated-based electrolyte is understood, and a simple boron-containing compound, trimethyl borate (TMB), is used as an electrolyte additive to suppress this self-discharge. It is found that layered lithium-rich oxide charged under 4.8 V in additive-free electrolyte suffers severe self-discharge and TMB is an effective electrolyte additive for self-discharge suppression. Physical characterizations from XRD, SEM, TEM, XPS and ICP-MS demonstrate that the crystal structure of the layered lithium-rich oxide collapses due to the chemical interaction between the charged oxide and electrolyte. When TMB is applied, the structural integrity of the oxide is maintained due to the protective cathode film generated from the preferential oxidation of TMB. (C) 2016 Elsevier B.V. All rights reserved.</t>
  </si>
  <si>
    <t>Xu, Meng/HJY-7139-2023; YU, Le/ABC-8617-2020</t>
  </si>
  <si>
    <t>10.1016/j.jpowsour.2016.05.074</t>
  </si>
  <si>
    <t>WOS:000380076700003</t>
  </si>
  <si>
    <t>He, YP; Wang, X; Huang, WM; Chen, RL; Lin, HB; Li, HD</t>
  </si>
  <si>
    <t>He, Yapeng; Wang, Xue; Huang, Weimin; Chen, Rongling; Lin, Haibo; Li, Hongdong</t>
  </si>
  <si>
    <t>Application of porous boron-doped diamond electrode towards electrochemical mineralization of triphenylmethane dye</t>
  </si>
  <si>
    <t>The aim of this study is to investigate the electrochemical degradation and decolorization of triphenylmethane dyexylenol orange (XO) on boron-doped diamond (BDD) electrodes. A series of parameters, including electrode materials, current density, initial dye concentration and electrolyte composition, are examined to discuss the effect of these factors in terms of chemical oxygen demand (COD) removal, current efficiency and decolorization rate. Complete decolorization and mineralization of XO could be realized on BDD electrodes while the oxidation is mass transfer controlled, and the degradation progress performs better performance in case of porous BDD electrode comparing with flat BDD electrode. The enhancement of effectiveness is highly correlated to the structure of electrode material, where porous BDD film provides more active sites for hydroxyl radicals. The presence of Cl- in the solution promotes the COD and color removal due to the formation of active chlorine. Porous Ti/BDD electrode presents the excellent potential in electrochemical decolorization and mineralization of triphenylmethane dye. (C) 2016 Elsevier B.V. All rights reserved.</t>
  </si>
  <si>
    <t>Lin, Haibo/D-9483-2015; Li, Hongdong/B-4476-2015</t>
  </si>
  <si>
    <t>He, Yapeng/0000-0002-1394-2860;</t>
  </si>
  <si>
    <t>10.1016/j.jelechem.2016.06.023</t>
  </si>
  <si>
    <t>WOS:000381323100038</t>
  </si>
  <si>
    <t>Li, MT; Zhu, WS; Zhang, PF; Chao, YH; He, Q; Yang, BL; Li, HM; Borisevich, A; Dai, S</t>
  </si>
  <si>
    <t>Li, Mingtao; Zhu, Wenshuai; Zhang, Pengfei; Chao, Yanhong; He, Qian; Yang, Bolun; Li, Huaming; Borisevich, Albinab; Dai, Sheng</t>
  </si>
  <si>
    <t>Graphene-Analogues Boron Nitride Nanosheets Confining Ionic Liquids: A High-Performance Quasi-Liquid Solid Electrolyte</t>
  </si>
  <si>
    <t>Solid electrolytes are one of the most promising electrolyte systems for safe lithium batteries, but the low ionic conductivity of these electrolytes seriously hinders the development of efficient lithium batteries. Here, a novel class of graphene-analogues boron nitride (g-BN) nanosheets confining an ultrahigh concentration of ionic liquids (ILs) in an interlayer and out-of-layer chamber to give rise to a quasi-liquid solid electrolyte (QLSE) is reported. The electron-insulated g-BN nanosheet host with a large specific surface area can confine ILs as much as 10 times of the host's weight to afford high ionic conductivity (3.85 x 10(-3) S cm(-1) at 25 degrees C, even 2.32 x 10(-4) S cm(-1) at -20 degrees C), which is close to that of the corresponding bulk IL electrolytes. The high ionic conductivity of QLSE is attributed to the enormous absorption for ILs and the confi ning effect of g-BN to form the ordered lithium ion transport channels in an interlayer and out-of-layer of g-BN. Furthermore, the electrolyte displays outstanding electrochemical properties and battery performance. In principle, this work enables a wider tunability, further opening up a new field for the fabrication of the next-generation QLSE based on layered nanomaterials in energy conversion devices.</t>
  </si>
  <si>
    <t>; huaming, li/S-1885-2016; Borisevich, Albina/IXD-1380-2023; He, Qian/AAK-8732-2020; Borisevich, Albina/B-1624-2009; Dai, Sheng/K-8411-2015; Zhang, Pengfei/I-5484-2013</t>
  </si>
  <si>
    <t>Zhang, Pengfei/0000-0001-7559-7348; He, Qian/0000-0003-4891-3581; Borisevich, Albina/0000-0002-3953-8460; Chao, Yanhong/0000-0001-7075-6944;</t>
  </si>
  <si>
    <t>JUL 13</t>
  </si>
  <si>
    <t>10.1002/smll.201600358</t>
  </si>
  <si>
    <t>WOS:000383374600007</t>
  </si>
  <si>
    <t>Jankowski, P; Wieczorek, W; Johansson, P</t>
  </si>
  <si>
    <t>Jankowski, P.; Wieczorek, W.; Johansson, P.</t>
  </si>
  <si>
    <t>New boron based salts for lithium-ion batteries using conjugated ligands</t>
  </si>
  <si>
    <t>A new anion design concept, based on combining a boron atom as the central atom and conjugated systems as ligands, is presented as a route for finding alternative Li-salts for lithium-ion batteries. The properties of a wide range of novel anions designed in this way have been evaluated by DFT calculations focusing on three different fundamental success factors/measures: the strength of the cation-anion interaction, ultimately determining both the solubility and the ionic conductivity, the oxidation limit, determining their possible use vs. high voltage cathodes, and the reduction stability, revealing a possible role of the anion in the SEI-formation at the anode. For a few anions superior properties vs. today's existing or suggested anions are predicted, especially the very low cation-anion interaction strengths are promising features. The design route itself is shown to be versatile in determining the correlation between different choices of ligands and the resulting overall properties - where the most striking feature is the decreased lithium cation interaction energy upon using the (1Z,3Z)-buta-1,3-diene-1,2,3,4-tetracarbonitrile ligands. This also opens avenues for the further design of novel anions beyond those with a boron central atom.</t>
  </si>
  <si>
    <t>Jankowski, Piotr/AAD-4598-2020; Johansson, Patrik/A-7660-2010</t>
  </si>
  <si>
    <t>Johansson, Patrik/0000-0002-9907-117X; Wieczorek, Wladyslaw/0000-0002-3881-3838; Jankowski, Piotr/0000-0003-0178-8955</t>
  </si>
  <si>
    <t>JUN 28</t>
  </si>
  <si>
    <t>10.1039/c6cp02409b</t>
  </si>
  <si>
    <t>WOS:000381056500026</t>
  </si>
  <si>
    <t>Rodrigues, MTF; Kalaga, K; Gullapalli, H; Babu, G; Reddy, ALM; Ajayan, PM</t>
  </si>
  <si>
    <t>Rodrigues, Marco-Tulio F.; Kalaga, Kaushik; Gullapalli, Hemtej; Babu, Ganguli; Reddy, Arava Leela Mohana; Ajayan, Pulickel M.</t>
  </si>
  <si>
    <t>Hexagonal Boron Nitride-Based Electrolyte Composite for Li-Ion Battery Operation from Room Temperature to 150 °C</t>
  </si>
  <si>
    <t>Batteries for high temperature applications capable of withstanding over 60 degrees C are still dominated by primary cells. Conventional rechargeable energy storage technologies which have exceptional performance at ambient temperatures employ volatile electrolytes and soft separators, resulting in catastrophic failure under heat. A composite electrolyte/separator is reported that holds the key to extend the capability of Li-ion batteries to high temperatures. A stoichiometric mixture of hexagonal boron nitride, piperidinium-based ionic liquid, and a lithium salt is formulated, with ionic conductivity reaching 3 mS cm(-1), electrochemical stability up to 5 V and extended thermal stability. The composite is used in combination with conventional electrodes and demonstrates to be stable for over 600 cycles at 120 degrees C, with a total capacity fade of less than 3%. The ease of formulation along with superior thermal and electrochemical stability of this system extends the use of Li-ion chemistries to applications beyond consumer electronics and electric vehicles.</t>
  </si>
  <si>
    <t>Gullapalli, Hemtej/P-7247-2014; Rodrigues, Marco-Tulio F./K-7376-2018; Rodrigues, Marco-Tulio/K-7376-2018; ganguli, babu/O-5676-2019; Kalaga, K/U-6646-2018</t>
  </si>
  <si>
    <t>Rodrigues, Marco-Tulio F./0000-0003-0833-6556;</t>
  </si>
  <si>
    <t>JUN 22</t>
  </si>
  <si>
    <t>10.1002/aenm.201600218</t>
  </si>
  <si>
    <t>WOS:000379313400015</t>
  </si>
  <si>
    <t>Hu, XF; Sun, JC; Li, ZF; Zhao, Q; Chen, CC; Chen, J</t>
  </si>
  <si>
    <t>Hu, Xiaofei; Sun, Jianchao; Li, Zifan; Zhao, Qing; Chen, Chengcheng; Chen, Jun</t>
  </si>
  <si>
    <t>Rechargeable Room-Temperature Na-CO2 Batteries</t>
  </si>
  <si>
    <t>Developing rechargeable Na-CO2 batteries is significant for energy conversion and utilization of CO2. However, the reported batteries in pure CO2 atmosphere are non-rechargeable with limited discharge capacity of 200 mAhg(-1). Herein, we realized the rechargeability of a Na-CO2 battery, with the proposed and demonstrated reversible reaction of 3CO(2) + 4Na &lt;-&gt; 2Na(2)CO(3) + C. The battery consists of a Na anode, an ether-based electrolyte, and a designed cathode with electrolyte-treated multi-wall carbon nanotubes, and shows reversible capacity of 60000 mAhg(-1) at 1 Ag-1 (approximate to 1000 Whkg(-1)) and runs for 200 cycles with controlled capacity of 2000 mAhg(-1) at charge voltage &lt; 3.7 V. The porous structure, high electro-conductivity, and good wettability of electrolyte to cathode lead to reduced electrochemical polarization of the battery and further result in high performance. Our work provides an alternative approach towards clean recycling and utilization of CO2.</t>
  </si>
  <si>
    <t>; Zhao, Qing/AAM-8427-2020; Li, ZiFan/HJH-1806-2023; Hu, Xiaofei/AAB-6959-2021; Chen, Jun/D-4873-2016; chen, cheng/AAE-4460-2019</t>
  </si>
  <si>
    <t>Sun, Jianchao/0000-0003-2051-6365; Hu, Xiaofei/0000-0002-9924-2776; Zhao, Qing/0000-0003-0625-9892</t>
  </si>
  <si>
    <t>MAY 23</t>
  </si>
  <si>
    <t>10.1002/anie.201602504</t>
  </si>
  <si>
    <t>WOS:000377921200021</t>
  </si>
  <si>
    <t>Carry, B; Zhang, L; Nishiura, M; Hou, ZM</t>
  </si>
  <si>
    <t>Carry, Beatrice; Zhang, Liang; Nishiura, Masayoshi; Hou, Zhaomin</t>
  </si>
  <si>
    <t>Synthesis of Lithium Boracarbonate Ion Pairs by Copper-Catalyzed Multi-Component Coupling of Carbon Dioxide, Diboron, and Aldehydes</t>
  </si>
  <si>
    <t>The catalytic selective multi-component coupling of CO2, bis(pinacolato) diboron, LiOtBu, and a wide range of aldehydes has been achieved for the first time by using an NHC-copper catalyst. This transformation has efficiently afforded a series of novel lithium cyclic boracarbonate ion pair compounds in high yields from readily available starting materials. This protocol has not only provided a new catalytic process for the utilization of CO2, but it has also constituted a novel route for the efficient synthesis of a new class of lithium borate compounds that might be of interest as potential electrolyte candidates for lithium ion batteries.</t>
  </si>
  <si>
    <t>Hou, Zhaomin/I-5981-2014; Nishiura, Masayoshi/F-2919-2016; Zhang, Liang/DCH-8472-2022</t>
  </si>
  <si>
    <t>Hou, Zhaomin/0000-0003-2841-5120; Zhang, Liang/0000-0002-5661-3557</t>
  </si>
  <si>
    <t>MAY 17</t>
  </si>
  <si>
    <t>10.1002/anie.201602278</t>
  </si>
  <si>
    <t>WOS:000377918400022</t>
  </si>
  <si>
    <t>Hall, DS; Glazier, SL; Dahn, JR</t>
  </si>
  <si>
    <t>Hall, David S.; Glazier, Stephen L.; Dahn, J. R.</t>
  </si>
  <si>
    <t>Isothermal microcalorimetry as a tool to study solid-electrolyte interphase formation in lithium-ion cells</t>
  </si>
  <si>
    <t>Isothermal microcalorimetry can be used in conjunction with electrochemical measurements to study solid-electrolyte interphase (SEI) formation reactions as they occur in a Li-ion cell. The heat flow was measured in wound cells that contained no electrolyte additives and in cells prepared with four additives that are known to produce an SEI at the negative electrode surface: vinylene carbonate (VC), fluoroethylene carbonate (FEC), pyridine boron trifluoride (PBF), and prop-1-ene-1,3-sultone (PES). For VC, two distinct features in the differential capacity (dQ/dV vs. Q) plot that align with overlapping peaks in the heat flow plot do not agree with a simple one-electron reduction followed by anionic polymerization. For FEC, three distinct differential capacity and calorimetric peaks are observed. Heat flow measurements at multiple PBF concentrations show that PBF reduction does not significantly affect the reduction of EC at higher cell voltage. The total heat flow during SEI formation in PBF- and PES-containing cells match the calculated energies in recently published reaction pathways. It is concluded that IMC may be used to study the underlying chemistry of SEI formation, especially when paired with computational studies.</t>
  </si>
  <si>
    <t>Glazier, Stephen/KHU-3207-2024; Hall, David/JDV-6238-2023; Hall, David/L-1681-2013</t>
  </si>
  <si>
    <t>Hall, David/0000-0001-9632-0399</t>
  </si>
  <si>
    <t>10.1039/c6cp01309k</t>
  </si>
  <si>
    <t>WOS:000374786300079</t>
  </si>
  <si>
    <t>Kumbhar, HS; Deshpande, SS; Shankarling, GS</t>
  </si>
  <si>
    <t>Kumbhar, Haribhau S.; Deshpande, Saurabh S.; Shankarling, Ganapati S.</t>
  </si>
  <si>
    <t>Novel, solid-state, highly fluorescent β-ketoiminate spiroborates with aggregation induced emission</t>
  </si>
  <si>
    <t>DYES AND PIGMENTS</t>
  </si>
  <si>
    <t>Novel catechol and salicyl-spiroborates containing beta-ketoiminate ligand showing keto-enol tautomerism were synthesized. The fluorescent properties of the synthesized spiroborates were investigated. These spiroborates showed intense fluorescence in the solid-state and weak fluorescence in solution. These spiroborates showed prominent aggregation induced emission activity because of restricted intramolecular rotations of the aryl rings. The salicyl spiroborates showed better fluorescence property than the corresponding catechol spiroborates. The structural, electronic and spectroscopic properties were evaluated by using density functional theory (DFT). (C) 2016 Elsevier Ltd. All rights reserved.</t>
  </si>
  <si>
    <t>Shankarling, Ganapati/ABA-7063-2020</t>
  </si>
  <si>
    <t>SHANKARLING, GANAPATI/0000-0003-3764-4240</t>
  </si>
  <si>
    <t>0143-7208</t>
  </si>
  <si>
    <t>1873-3743</t>
  </si>
  <si>
    <t>10.1016/j.dyepig.2016.01.006</t>
  </si>
  <si>
    <t>WOS:000370882600021</t>
  </si>
  <si>
    <t>Domi, Y; Usui, H; Shimizu, M; Kakimoto, Y; Sakaguchi, H</t>
  </si>
  <si>
    <t>Domi, Yasuhiro; Usui, Hiroyuki; Shimizu, Masahiro; Kakimoto, Yuta; Sakaguchi, Hiroki</t>
  </si>
  <si>
    <t>Effect of Phosphorus-Doping on Electrochemical Performance of Silicon Negative Electrodes in Lithium-Ion Batteries</t>
  </si>
  <si>
    <t>The effect of phosphorus (P)-doping On the electrochemical performance of Si negative electrodes in lithium ion batteries was investigated. Field-emission scanning electron microscopy was used to Observe changes in surface morphology. Surface crystallinity and the phase transition of Si negative electrodes before and after a charge-discharge cycle were investigated by Raman spectroscopy and X-ray diffraction. Li insertion energy into Si was also; calculated based on computational chemistry. The results showed that-a low P concentration of 124 ppm has a meaningful influence on the electrochemical properties of a Si negative electrode; the cycle performance is improved by 13,-doping of Si. P-doping suppresses the changes in the surface morphology of a Si negative electrode and the phase transition during a charge-discharge cycle. Li insertion energy increases with an increase in the P concentration; Li insertion into P-doped Si is energetically unfavorable, which indicates that the crystal lattice of Si shrinks as a result of the replacement of some Si atoms with smaller P atoms, and therefore, it is more difficult to insert Li into P-doped Si. These results reveal that suppression of the phase transition reduces the large change in the volume of Si and prevents a Si negative electrode from disintegrating, which helps to improve the otherwise poor cycle performance of a Si electrode.</t>
  </si>
  <si>
    <t>Usui, Hiroyuki/C-1168-2009; Sakaguchi, Hiroki/L-2192-2017; SHIMIZU, Masahiro/A-5059-2014; Domi, Yasuhiro/G-3664-2012</t>
  </si>
  <si>
    <t>Usui, Hiroyuki/0000-0002-1156-0340; Domi, Yasuhiro/0000-0003-3983-2202</t>
  </si>
  <si>
    <t>10.1021/acsami.6b00386</t>
  </si>
  <si>
    <t>WOS:000372946600041</t>
  </si>
  <si>
    <t>Yuan, SY; Bao, JL; Wang, LN; Xia, YY; Truhlar, DG; Wang, YG</t>
  </si>
  <si>
    <t>Yuan, Shouyi; Bao, Junwei Lucas; Wang, Lina; Xia, Yongyao; Truhlar, Donald G.; Wang, Yonggang</t>
  </si>
  <si>
    <t>Graphene-Supported Nitrogen and Boron Rich Carbon Layer for Improved Performance of Lithium-Sulfur Batteries Due to Enhanced Chemisorption of Lithium Polysulfides</t>
  </si>
  <si>
    <t>Truhlar, Donald/G-7076-2015; Xia, Yongyao/AGA-3126-2022; Wang, Yonggang/K-4767-2017; Bao, Junwei/T-7134-2017</t>
  </si>
  <si>
    <t>Truhlar, Donald/0000-0002-7742-7294; Wang, Yonggang/0000-0002-2447-4679; Bao, Junwei/0000-0002-4967-663X</t>
  </si>
  <si>
    <t>MAR 9</t>
  </si>
  <si>
    <t>10.1002/aenm.201501733</t>
  </si>
  <si>
    <t>WOS:000372525500003</t>
  </si>
  <si>
    <t>Xia, J; Nie, M; Burns, JC; Xiao, A; Lamanna, WM; Dahn, JR</t>
  </si>
  <si>
    <t>Xia, Jian; Nie, M.; Burns, J. C.; Xiao, A.; Lamanna, W. M.; Dahn, J. R.</t>
  </si>
  <si>
    <t>Fluorinated electrolyte for 4.5 V Li(Ni0.4Mn0.4Co0.2)O2/graphite Li-ion cells</t>
  </si>
  <si>
    <t>A fluorinated electrolyte mixture, containing 1 M LiPF6/fluoroethylene carbonate:bis (2,2,2-trifluoroethyl) carbonate (1:1 w:w) with prop-1-ene-1,3-sultone as an electrolyte additive exhibited promising cycling and storage performance in Li(Ni0.4Mn0.4Co0.2)O-2/graphite pouch type Li-ion cells tested to 4.5 V. The prop-1-ene-1,3-sultone additive was added to help control gas evolution in the fluorinated electrolyte cells, which was improved but still problematic even with the additive. Cells with the fluorinated electrolyte demonstrated higher impedance in early cycles compared to cells with carbonate solvents and state of the art additives. Symmetric cells were used to show this high impedance originated at the negative electrode/electrolyte interface. Nevertheless, in charge discharge cycling tests to 4.5 V, cells with the fluorinated electrolyte and 1, 2 or 3% prop-1-ene-1,3-sultone additive, outperformed all non-fluorinated electrolytes with all additives tested. With further work, these, or other fluorinated carbonates, coupled with appropriate additives, may represent a viable path to NMC/graphite cells that can operate to 4.5 V and above. (C) 2015 Elsevier B.V. All rights reserved.</t>
  </si>
  <si>
    <t>10.1016/j.jpowsour.2015.12.132</t>
  </si>
  <si>
    <t>WOS:000370884000041</t>
  </si>
  <si>
    <t>Zhang, YF; Cai, WW; Rohan, R; Pan, MZ; Liu, Y; Liu, XP; Li, CC; Sun, YB; Cheng, HS</t>
  </si>
  <si>
    <t>Zhang, Yunfeng; Cai, Weiwei; Rohan, Rupesh; Pan, Meize; Liu, Yuan; Liu, Xupo; Li, Cuicui; Sun, Yubao; Cheng, Hansong</t>
  </si>
  <si>
    <t>Toward ambient temperature operation with all-solid-state lithium metal batteries with a sp3 boron-based solid single ion conducting polymer electrolyte</t>
  </si>
  <si>
    <t>The ionic conductivity decay problem of poly(ethylene oxide) (PEO)-based solid polymer electrolytes (SPEs) when increase the lithium salt of the SPEs up to high concentration is here functionally overcome by the incorporation of a charge delocalized sp(3) boron based single ion conducting polymer electrolyte (SIPE) with poly(ethylene oxide) to fabricate solid-state sp(3) boron based SIPE membranes (S-BSMs). By characterizations, particularly differential scanning calorimeter (DSC) and ionic conductivity studies, the fabricated S-BSMs showed decreased melting points and increased ionic conductivity as steadily increase the content of sp(3) boron based SIPE, which significantly improved the low temperature performance of the all-solid-state lithium batteries. The fabricated Li vertical bar S-BSMs vertical bar LiFePO4 cells exhibit highly electrochemical stability and excellent cycling at temperature below melting point of PEO, which has never been reported so far for SIPEs based all-solid-state lithium batteries. (C) 2015 Elsevier B.V. All rights reserved.</t>
  </si>
  <si>
    <t>ZHANG, Yunfeng/F-6147-2010; Cheng, Hansong/G-3928-2012; pan, meize/LVR-1163-2024</t>
  </si>
  <si>
    <t>ZHANG, Yunfeng/0000-0001-6928-1742; Cai, Weiwei/0000-0002-7296-2730;</t>
  </si>
  <si>
    <t>FEB 29</t>
  </si>
  <si>
    <t>10.1016/j.jpowsour.2015.12.010</t>
  </si>
  <si>
    <t>WOS:000370309300018</t>
  </si>
  <si>
    <t>Zhou, H; Li, YS; Zhang, JL; Kang, WP; Yu, DYW</t>
  </si>
  <si>
    <t>Zhou, Hui; Li, Yingshun; Zhang, Jiaolong; Kang, Wenpei; Yu, Denis Y. W.</t>
  </si>
  <si>
    <t>Low-temperature direct synthesis of layered m-LiMnO2 for lithium-ion battery applications</t>
  </si>
  <si>
    <t>Layered monoclinic LiMnO2 is a potential low-cost alternative to LiCoO2 cathode for lithium-ion batteries. However, its application is limited partly because it cannot be synthesized easily. In this work, we successfully synthesized phase-pure layered LiMnO2 in a one-step low-temperature process using electrolytic manganese dioxide (EMD) as the manganese precursor at 450 degrees C in Ar atmosphere by a carbothermal reduction method. The initial carbon to manganese ratio has to be optimized to remove impurities. The particle size of the material is between 40 and 60 nm. The synthesized sample shows an initial reversible capacity of about 180 mAh g(-1). The synthesis method is further applied to make boron-doped samples, which significantly enhanced the stability of the material, especially at high temperature. The boron-doped samples maintain a capacity of 150 mAh g(-1) for 100 cycles and give a capacity of about 100 mAh g(-1) at a current of 1000 mA g(-1) (equivalent to 10C rate). The ability to directly synthesize the material at low temperature is crucial because it allows further improvement of material performances through methods such as surface coating and the use of electrolyte additives to reduce surface reaction and Mn-dissolution. (C) 2015 Elsevier B.V. All rights reserved.</t>
  </si>
  <si>
    <t>Zhang, Jiaolong/IUN-0188-2023; Yu, Denis/AAM-3875-2020; Zhou, Hui/B-9439-2014</t>
  </si>
  <si>
    <t>Yu, Denis/0000-0002-5883-7087; Zhou, Hui/0000-0001-8739-963X</t>
  </si>
  <si>
    <t>10.1016/j.jallcom.2015.11.038</t>
  </si>
  <si>
    <t>WOS:000366944100035</t>
  </si>
  <si>
    <t>Sun, YB; Li, G; Lai, YC; Zeng, DL; Cheng, HS</t>
  </si>
  <si>
    <t>Sun, Yubao; Li, Gai; Lai, Yuanchu; Zeng, Danli; Cheng, Hansong</t>
  </si>
  <si>
    <t>High rate lithium-sulfur battery enabled by sandwiched single ion conducting polymer electrolyte</t>
  </si>
  <si>
    <t>Lithium-sulfur batteries are highly promising for electric energy storage with high energy density, abundant resources and low cost. However, the battery technologies have often suffered from a short cycle life and poor rate stability arising from the well-known polysulfide shuttle effect. Here, we report a novel cell design by sandwiching a sp(3) boron based single ion conducting polymer electrolyte film between two carbon films to fabricate a composite separator for lithium-sulfur batteries. The dense negative charges uniformly distributed in the electrolyte membrane inherently prohibit transport of polysulfide anions formed in the cathode inside the polymer matrix and effectively blocks polysulfide shuttling. A battery assembled with the composite separator exhibits a remarkably long cycle life at high charge/discharge rates.</t>
  </si>
  <si>
    <t>Cheng, Hansong/G-3928-2012; zeng, dan/HJJ-1301-2023</t>
  </si>
  <si>
    <t>10.1038/srep22048</t>
  </si>
  <si>
    <t>WOS:000370518600001</t>
  </si>
  <si>
    <t>Yu, WJ; Zhang, LL; Hou, PX; Li, F; Liu, C; Cheng, HM</t>
  </si>
  <si>
    <t>Yu, Wan-Jing; Zhang, Lili; Hou, Peng-Xiang; Li, Feng; Liu, Chang; Cheng, Hui-Ming</t>
  </si>
  <si>
    <t>High Reversible Lithium Storage Capacity and Structural Changes of Fe2O3 Nanoparticles Confined inside Carbon Nanotubes</t>
  </si>
  <si>
    <t>The structural evolution of electrochemically prelithiated Fe2O3 nanoparticles confined in carbon nanotubes (CNTs) during lithium insertion/extraction is studied by in situ transmission electron microscopy. It is found that the aggregation and coarsening of Fe core-containing Li2O (Fe@Li2O) nanograins formed during the charge process are prevented by the spatial restriction of the CNTs. A high reversible capacity of 2071 mA h g(-1) for the encapsulated Fe2O3 nanoparticles in CNTs is demonstrated when the material is used as the anode of lithium ion batteries. This is the highest reversible capacity ever reported for an Fe2O3 electrode. The significantly improved lithium storage capacity of the Fe2O3 nanoparticles is attributed to the extra lithium storage due to the enhanced interfacial lithium storage and reversible reaction of LiOH to form LiH and solid-electrolyte-interphase conversion originating from the nanoconfinement of CNTs as well as the very small particle size of the Fe@Li2O nanograins and their good electrical contact with CNTs.</t>
  </si>
  <si>
    <t>Zhang, Lili/G-2365-2017; Li, Feng/C-9991-2010; Cheng, Hui-Ming/B-8682-2012; Liu, Chang/G-4667-2012; Zhang, lili/J-4905-2015</t>
  </si>
  <si>
    <t>Cheng, Hui-Ming/0000-0002-5387-4241;</t>
  </si>
  <si>
    <t>10.1002/aenm.201501755</t>
  </si>
  <si>
    <t>WOS:000370004900010</t>
  </si>
  <si>
    <t>Takano, A; Oikawa, I; Kamegawa, A; Takamura, H</t>
  </si>
  <si>
    <t>Takano, Akira; Oikawa, Itaru; Kamegawa, Atsunori; Takamura, Hitoshi</t>
  </si>
  <si>
    <t>Enhancement of the lithium-ion conductivity of LiBH4 by hydration</t>
  </si>
  <si>
    <t>40th Symposium on Solid State Ionics in Japan</t>
  </si>
  <si>
    <t>DEC 16-18, 2014</t>
  </si>
  <si>
    <t>Tokyo, JAPAN</t>
  </si>
  <si>
    <t>Solid State Ion Soc Japan</t>
  </si>
  <si>
    <t>Lithium borohydride (LiBH4) is a candidate material for a solid electrolyte of all-solid-state lithium secondary batteries. In this study, the hydration behavior and influences of hydration on the ionic conductivity of LiBH4 were investigated. LiBH4 was found to become hydrated without decomposing; structural water can dehydrate at 55 degrees C and then rehydrate at around 35 degrees C. Hydrated LiBH4 has a high lithium-ion conductivity of 4.89 x 10(-4) S . cm(-1) at 45 degrees C. The temperature dependence of conductivity and motional narrowing of the Li-7 NMR spectra at around dehydration temperature suggest that the enhanced lithium-ion conductivity is attributed to the motion of structural water molecules. (C) 2015 Elsevier B.V. All rights reserved.</t>
  </si>
  <si>
    <t>Oikawa, Itaru/GLR-9247-2022; Takamura, Hitoshi/B-9514-2014; Kamegawa, Atsunori/D-1562-2013</t>
  </si>
  <si>
    <t>Takamura, Hitoshi/0000-0002-4841-4582; Oikawa, Itaru/0000-0002-7869-9013;</t>
  </si>
  <si>
    <t>10.1016/j.ssi.2015.06.004</t>
  </si>
  <si>
    <t>WOS:000370901500010</t>
  </si>
  <si>
    <t>Du, Y; Yang, HS; Whiteley, JM; Wan, S; Jin, YH; Lee, SH; Zhang, W</t>
  </si>
  <si>
    <t>Du, Ya; Yang, Haishen; Whiteley, Justin Michael; Wan, Shun; Jin, Yinghua; Lee, Se-Hee; Zhang, Wei</t>
  </si>
  <si>
    <t>Ionic Covalent Organic Frameworks with Spiroborate Linkage</t>
  </si>
  <si>
    <t>A novel type of ionic covalent organic framework (ICOF), which contains sp(3) hybridized boron anionic centers and tunable countercations, was constructed by formation of spiroborate linkages. These ICOFs exhibit high BET surface areas up to 1259 m(2) g(-1) and adsorb a significant amount of H-2 (up to 3.11 wt%, 77 K, 1 bar) and CH4 (up to 4.62 wt%, 273 K, 1 bar). Importantly, the materials show good thermal stabilities and excellent resistance to hydrolysis, remaining nearly intact when immersed in water or basic solution for two days. The presence of permanently immobilized ion centers in ICOFs enables the transportation of lithium ions with room-temperature lithium-ion conductivity of 3.05 x 10(-5) S cm(-1) and an average Li+ transference number value of 0.80 +/- 0.02. Our approach thus provides a convenient route to highly stable COFs with ionic linkages, which can potentially serve as absorbents for alternative energy sources such as H-2, CH4, and also as solid lithium electrolytes/separators for the next-generation lithium batteries.</t>
  </si>
  <si>
    <t>Wan, Shun/E-8730-2011; jin, Yinghua/T-7461-2019; Zhang, Wei/ACB-1425-2022; yang, hessen/AAE-5922-2019; Lee, Sehee/A-5989-2011</t>
  </si>
  <si>
    <t>JAN 26</t>
  </si>
  <si>
    <t>10.1002/anie.201509014</t>
  </si>
  <si>
    <t>WOS:000369854000023</t>
  </si>
  <si>
    <t>Cai, CL; Yuan, P; Tang, JY; Guo, YH; Ma, XH</t>
  </si>
  <si>
    <t>Cai, Chuanlin; Yuan, Ping; Tang, Jiayong; Guo, Yanhui; Ma, Xiaohua</t>
  </si>
  <si>
    <t>Ultrathin paper-like boron-doped carbon nanosheet electrodes combined with boron-enriched gel polymer electrolytes for high-performance energy storage</t>
  </si>
  <si>
    <t>Flexible energy storage devices that can function under considerable physical deformation have shown great promise for applications in portable electronics. In this work, we report for the first time a novel design of all-solid-state symmetric supercapacitors (SCs) based on free-standing ultrathin boron-doped graphene paper (B-GP) electrodes with boron-enriched gel polymer electrolytes (GPEs). Specifically, the B-GP electrodes integrated with B-containing GPEs not only introduce more electrochemically active sites for absorption/desorption of electrolyte ions, but also facilitate diffusion of the electrolyte during charging/discharging processes. The novel design of B-GP with B-containing GPEs endows our symmetric SC with a voltage of 2.5 V, an unprecedented energy density of 39.31 W h kg(-1) (with a power density of 1.44 kW kg(-1)), a stable cycling performance (a capacity retention of 90% after 3000 continuous charge/discharge cycles), good rate capability, distinguished mechanical flexibility and temperature resistant stability. This work provides a promising candidate to design a new generation of electrochemical SCs for energy storage devices.</t>
  </si>
  <si>
    <t>ma, xiaohua/E-6417-2012</t>
  </si>
  <si>
    <t>10.1039/c6ta06317a</t>
  </si>
  <si>
    <t>WOS:000386310600037</t>
  </si>
  <si>
    <t>Hall, DS; Nie, M; Ellis, LD; Glazier, SL; Hyatt, S; Petibon, R; Xiao, A; Lamanna, WM; Smith, K; Hill, IG; Dahn, JR</t>
  </si>
  <si>
    <t>Hall, David S.; Nie, Mengyun; Ellis, Leah D.; Glazier, Stephen L.; Hyatt, Sarah; Petibon, Remi; Xiao, Ang; Lamanna, W. M.; Smith, Kiah; Hill, I. G.; Dahn, J. R.</t>
  </si>
  <si>
    <t>Surface-Electrolyte Interphase Formation in Lithium-Ion Cells Containing Pyridine Adduct Additives</t>
  </si>
  <si>
    <t>The use of electrolyte additives to form a passive solid-electrolyte interphase (SEI) at one or both electrodes is a common method for improving lithium-ion cell lifetime and performance. This work follows the chemical and electrochemical processes involved in SEI formation on graphite electrodes for two Lewis acid-base adducts, pyridine boron trifluoride (PBF) and pyridine phosphorus pentafluoride (PPF). The combination of experimental methods (electrochemistry, in situ volumetric measurements, gas chromatography, isothermal microcalorimetry, and X-ray photoelectron spectroscopy) with quantum chemistry models (density functional theory) provides new insight into the interfacial chemistry. PBF and PPF are reduced at similar to 1.3 V vs. Li/Li+ and similar to 1.4 V, respectively. This is followed by radical coupling to form 4,4'-bipyridine adducts, hydrogen transfer to ethylene carbonate solvent molecules, and reduction of the solvent to produce lithium ethyl carbonate. The reduced bipyridine adducts, Li-2(PBF)(2) and Li-2(PPF)(2), are shown to compose part of the SEI at the negative electrode surface. (C) The Author(s) 2016. Published by ECS. This is an open access article distributed under the terms of the Creative Commons Attribution 4.0 License (CC BY, http://creativecommons.org/licenses/by/4.0/), which permits unrestricted reuse of the work in any medium, provided the original work is properly cited. All rights reserved.</t>
  </si>
  <si>
    <t>Hill, Ian/L-9743-2018; Glazier, Stephen/KHU-3207-2024; Hall, David/JDV-6238-2023; Hall, David/L-1681-2013</t>
  </si>
  <si>
    <t>Hill, Ian/0000-0001-6180-9311; Hall, David/0000-0001-9632-0399</t>
  </si>
  <si>
    <t>A773</t>
  </si>
  <si>
    <t>A780</t>
  </si>
  <si>
    <t>10.1149/2.1091605jes</t>
  </si>
  <si>
    <t>WOS:000370866700026</t>
  </si>
  <si>
    <t>Kumagae, K; Okazaki, K; Matsui, K; Horino, H; Hirai, T; Yamaki, J; Ogumi, Z</t>
  </si>
  <si>
    <t>Kumagae, Kiyoshi; Okazaki, Ken-ichi; Matsui, Keitaro; Horino, Hideyuki; Hirai, Toshiro; Yamaki, Jun-ichi; Ogumi, Zempachi</t>
  </si>
  <si>
    <t>Improvement of Cycling Performance of FeF3-Based Lithium-Ion Battery by Boron-Based Additives</t>
  </si>
  <si>
    <t>Two boron-based additives, tris(pentafluorophenyl) borane (TPFPB) and tris(1H, 1H-heptafluorobutyl) borate (THFBuBO), are studied for their effects on the cycling performance of the FeF3/Li battery. When dissolved in the electrolyte consisting of LiPF6-ethylene carbonate/1,2-dimethyl carbonate, these compounds act as F-receptors to improve the electrochemical properties of the FeF3 cathode and cycling performance. The initial discharge capacity and voltage profile of FeF3/Li battery displayed little change with the additives. However, TPFPB and THFBuBO improved the capacity retention, with respective retention rates of 85.2% and 86.5% at the 10th cycle, while this value was 68.6% when no additive was used. Inductively coupled plasma atomic emission spectroscopy analysis showed that LiF was dissociated by TPFPB or THFBuBO in the electrolyte, and its solubility was higher with TPFPB. THFBuBO has the weak affinity for F- ions to allow reversible formation/dissociation of the [THFBuBO-F](-) complex. Therefore, THFBuBO maintained the capacity of the FeF3/Li battery better than TPFPB. (C) 2016 The Electrochemical Society. All rights reserved.</t>
  </si>
  <si>
    <t>Uchimoto, Yoshiharu/AAC-9311-2020; Okazaki, Ken-ichi/O-6237-2015</t>
  </si>
  <si>
    <t>Okazaki, Ken-ichi/0000-0003-0800-712X</t>
  </si>
  <si>
    <t>A1633</t>
  </si>
  <si>
    <t>A1636</t>
  </si>
  <si>
    <t>10.1149/2.0871608jes</t>
  </si>
  <si>
    <t>WOS:000379688000019</t>
  </si>
  <si>
    <t>Nie, M; Ma, L; Xia, J; Xiao, A; Lamanna, WM; Smith, K; Dahn, JR</t>
  </si>
  <si>
    <t>Nie, Mengyun; Ma, L.; Xia, J.; Xiao, A.; Lamanna, W. M.; Smith, K.; Dahn, J. R.</t>
  </si>
  <si>
    <t>A Comparative Study of Pyridine Containing Lewis Acid-Base Adducts as Additives for Li[Ni0.5Mn0.3Co0.2]O2/graphite Pouch Cells</t>
  </si>
  <si>
    <t>Three Lewis acid-base adducts including pyridine boron trifluoride (PBF), pyridine phosphorus pentafluoride (PPF) and pyridine sulfur trioxide (PSO) were used as electrolyte additives in Li[Ni0.5Mn0.3Co0.2]O-2/graphite pouch cells (NMC532/graphite). PBF, PPF and PSO have a common Lewis base (pyridine) but have different Lewis acids. Experiments included ultra-high precision coulometry (UHPC), electrochemical impedance spectroscopy (EIS), gas evolution, long-term continuous charge-discharge cycling and charge-hold-discharge cycling. The results showed that cells containing PBF and PPF had the smallest voltage drop during storage at 4.5 V and at 60 degrees C compared to cells with PSO and other additives such as triallyl phosphate (TAP) and vinylene carbonate (VC). UHPC results showed that the coulombic efficiency (CE) of the cells could be improved by using PBF or PPF either singly or in combination with other additives. The charge-hold-discharge cycling protocol can be used to distinguish the difference between additives relatively quickly compared to continuous cycling. Cells with 2% PBF had the best capacity retention compared to cells with the other additives at 40 degrees C. (C) The Author(s) 2016. Published by ECS. All rights reserved.</t>
  </si>
  <si>
    <t>A2124</t>
  </si>
  <si>
    <t>A2130</t>
  </si>
  <si>
    <t>10.1149/2.0041610jes</t>
  </si>
  <si>
    <t>WOS:000388988100044</t>
  </si>
  <si>
    <t>Petibon, R; Xia, J; Ma, L; Bauer, MKG; Nelson, KJ; Dahn, JR</t>
  </si>
  <si>
    <t>Petibon, Remi; Xia, Jian; Ma, Lin; Bauer, Michael K. G.; Nelson, Kathlyne J.; Dahn, J. R.</t>
  </si>
  <si>
    <t>Electrolyte System for High Voltage Li-Ion Cells</t>
  </si>
  <si>
    <t>Ethylene carbonate is a co-solvent used in virtually every lithium ion cell produced today because it enables operation of both the positive and negative electrodes. Most battery scientists believe ethylene carbonate is essential. Surprisingly, totally removing all ethylene carbonate from typical organic carbonate-based electrolytes and adding small amounts of electrolyte additives creates cells that are better than those containing ethylene carbonate. For example an electrolyte of only 2% vinylene carbonate and 98% ethyl methyl carbonate, with selected additives, provides excellent performance to Li[Ni0.4Mn0.4Co0.2]O-2/graphite cells cycled up to 4.4 V which increases their energy density by at least 10%. The cells have low impedance, low rates of electrolyte oxidation, good graphite passivation, low gas generation, acceptable conductivity and low cost. This discovery opens an entirely new space for electrolyte development. (C) The Author(s) 2016. Published by ECS. This is an open access article distributed under the terms of the Creative Commons Attribution 4.0 License (CC BY, http://creativecommons.org/licenses/by/4.0/), which permits unrestricted reuse of the work in any medium, provided the original work is properly cited. All rights reserved.</t>
  </si>
  <si>
    <t>A2571</t>
  </si>
  <si>
    <t>A2578</t>
  </si>
  <si>
    <t>10.1149/2.0321613jes</t>
  </si>
  <si>
    <t>WOS:000389155900012</t>
  </si>
  <si>
    <t>Su, JM; Cao, XC; Wu, J; Jin, C; Tian, JH; Yang, RZ</t>
  </si>
  <si>
    <t>Su, Jianmin; Cao, Xuecheng; Wu, Jiao; Jin, Chao; Tian, Jing-Hua; Yang, Ruizhi</t>
  </si>
  <si>
    <t>One-pot synthesis of boron-doped ordered mesoporous carbons as efficient electrocatalysts for the oxygen reduction reaction</t>
  </si>
  <si>
    <t>Boron-doped ordered mesoporous carbons (B-OMCs) with a tunable and high level of doping content (&gt;1 wt%) have been synthesized via a one-pot solvent evaporation induced self-assembly (EISA) process. The as-prepared B-OMCs show a highly ordered 2D hexagonal mesostructure with an average pore size of 3.4-4.0 nm, which could facilitate an efficient mass transport of O-2 and electrolyte during the oxygen reduciton reaction (ORR) process. The electrochemical investigations demonstrate that B-doping could significantly enhance the electrocatalytic activity of the carbon materials for the ORR in alkaline media. Specifically, the B-OMCs with a boron doping content of 1.17 wt% show the highest electrocatalytic activity and best long-term durability for ORR as compared to the non-doped OMCs and the B-OMCs with other doping contents. Combined with various physical characetrizations including X-ray diffraction, small angle X-ray scattering, N-2 physisorption, Raman spectroscopy and X-ray photoelectron spectroscopy, the enhanced catalytic performance of the B-OMCs could be ascribed to the synergistic effects of the ordered mesostructure, specific surface area and moderate boron doping. This work not only helps the fundamental understanding of the correlation between the catalytic performance and the morphology, structure of the OMCs and the doping extent of heteroatoms, but also shows the promising potential applications of the B-OMCs as efficient, low-cost catalysts in metal-air batteries and fuel cells.</t>
  </si>
  <si>
    <t>Yang, Ruizhi/E-5419-2013; Jin, Chao/J-2256-2012; Tian, Jing-Hua/F-1958-2011</t>
  </si>
  <si>
    <t>Yang, Ruizhi/0000-0002-9025-7496; Tian, Jing-Hua/0000-0003-4531-9878;</t>
  </si>
  <si>
    <t>10.1039/c6ra01296e</t>
  </si>
  <si>
    <t>WOS:000372256800090</t>
  </si>
  <si>
    <t>Unemoto, A; Yoshida, K; Ikeshoji, T; Orimo, S</t>
  </si>
  <si>
    <t>Unemoto, Atsushi; Yoshida, Koji; Ikeshoji, Tamio; Orimo, Shin-ichi</t>
  </si>
  <si>
    <t>Bulk-Type All-Solid-State Lithium Batteries Using Complex Hydrides Containing Cluster-Anions</t>
  </si>
  <si>
    <t>MATERIALS TRANSACTIONS</t>
  </si>
  <si>
    <t>In this study, we incorporated fast lithium ion conducting complex hydrides containing cluster anions, namely icosahedral dodecahydro-closo-dodecaborate anions, [B12H12](2-), into a bulk-type all-solid-state battery. Li2B12H12, TiS2 and Li were used as an electrolyte, a positive electrode active material and a negative electrolyte, respectively, for a battery assembly to investigate its battery performance. Bulk-type battery contains high quantity of electrode active materials in the electrode layer, and thereby the enhanced energy-storage density is expected. In addition, nonflammable solid-state electrolyte would ensure the safety, which is currently problematic for the conventional lithium rechargeable battery that uses organic liquid electrolyte. Li2B12H12 has a high lithium ionic conductivity of log(sigma/S cm(-1))= -2.6 at 393 K. It exhibits a relatively higher conductivity of log(sigma/S cm(-1)) = -3.5 at reduced temperatures such as 333 K. These high lithium ionic conductivity allows for the repeated operation of the bulk-type all-solid-state TiS2/Li battery for at least 10 cycles at not only 393 K but also 333 K with the discharge capacities higher than 190 mAh g(-1). Li2B12H12 exhibits higher oxidative stability. Thus, our battery realized high coulombic efficiencies of over 92% during the battery operation. This information will be beneficial for the further development of novel complex hydride-based electrolyte to have high-performance bulk-type all-solid-state batteries.</t>
  </si>
  <si>
    <t>Yoshida, Koji/G-4293-2018; ORIMO, Shin-ichi/A-4971-2011; UNEMOTO, Atsushi/D-3051-2013</t>
  </si>
  <si>
    <t>ORIMO, Shin-ichi/0000-0002-4216-0446;</t>
  </si>
  <si>
    <t>1345-9678</t>
  </si>
  <si>
    <t>1347-5320</t>
  </si>
  <si>
    <t>10.2320/matertrans.MAW201601</t>
  </si>
  <si>
    <t>WOS:000383457600042</t>
  </si>
  <si>
    <t>Xia, J; Ma, L; Nelson, KJ; Nie, MY; Lu, ZH; Dahn, JR</t>
  </si>
  <si>
    <t>Xia, Jian; Ma, Lin; Nelson, K. J.; Nie, Mengyun; Lu, Zhonghua; Dahn, J. R.</t>
  </si>
  <si>
    <t>A Study of Li-Ion Cells Operated to 4.5 V and at 55°C</t>
  </si>
  <si>
    <t>The long-term cycling behavior of 24 promising electrolyte blends were systematically studied in LaPO4-coated Li(Ni0.4Mn0.4Co0.2)O-2/graphite pouch type Li-ion cells tested to 4.5 V at 55 degrees C. Capacity fade during cycling, charge-transfer resistance (R-ct) before and after cycling as well as gas evolution during formation and also during cycling were examined and compared head-to-head. Of all the electrolytes tested, triallyl phosphate containing electrolytes including 2% vinylene carbonate + 2% triallyl phosphate in 1 M LiPF6 sulfolane: ethyl methyl carbonate and 2% prop-1-ene sultone + 2% triallyl phosphate in 1M LiPF6 ethylene carbonate: ethyl methyl carbonate electrolytes showed the best capacity retention, the least impedance growth and manageable amounts of gas evolution during long-term cycling. Pyridine boron trifluoride -based additives also showed excellent cycling performance but cells with those additives had higher gas evolution during cycling. Cells containing fluorinated electrolytes had similar cycling performance to cells containing 2% prop-1-ene sultone in ethylene carbonate: ethyl methyl carbonate electrolyte but with much more gas evolution and higher impedance after long-term cycling. The results suggest that electrolytes containing the additives triallyl phosphate or pyridine boron trifluoride may be promising for high voltage Li-ion cells at elevated temperature. (C) The Author(s) 2016. Published by ECS. All rights reserved.</t>
  </si>
  <si>
    <t>A2399</t>
  </si>
  <si>
    <t>A2406</t>
  </si>
  <si>
    <t>10.1149/2.1211610jes</t>
  </si>
  <si>
    <t>WOS:000389150900039</t>
  </si>
  <si>
    <t>Xu, JY; Li, J; Zhu, YW; Zhu, K; Liu, YX; Liu, J</t>
  </si>
  <si>
    <t>Xu, Junyi; Li, Jie; Zhu, Yuewu; Zhu, Kai; Liu, Yexiang; Liu, Jin</t>
  </si>
  <si>
    <t>A triPEG-boron based electrolyte membrane for wide temperature lithium ion batteries</t>
  </si>
  <si>
    <t>A triPEG-boron based solid polymer electrolyte (SPE) membrane is fabricated for all-solid-state lithium ion batteries. With an ether oxygen (EO) : LiN(SO2CF3)(2) (LiTFSI) molar ratio of 25 : 1, this electrolyte membrane has ionic conductivities of 2.95 x 10(-5) S cm(-1) and 1.28 x 10(-3) S cm(-1), and electrochemical decomposition potentials of 5.23 V and 4.88 V, respectively at 25 degrees C and 120 degrees C. The all-solid-state LiFePO4/SPE/Li batteries show high cycling performance in the temperature range of 25-140 degrees C. At 25 degrees C and 0.3C, a discharge capacity of 84 mA h g(-1) is obtained at the 200th charge-discharge cycle with approximately 100% coulombic efficiency. The batteries also work well at 140 degrees C and 3C, delivering a discharge capacity of 146 mA h g(-1) initially and 113 mA h g(-1) after 200 cycles. These results show that this kind of all-solid-state lithium ion battery has a wider working temperature range than conventional liquid electrolyte lithium ion batteries, indicating their suitability for use in fields with high safety requirements.</t>
  </si>
  <si>
    <t>Liu, Yexiang/LQL-0833-2024</t>
  </si>
  <si>
    <t>10.1039/c6ra02865a</t>
  </si>
  <si>
    <t>WOS:000371122900087</t>
  </si>
  <si>
    <t>Ma, L; Self, J; Nie, MY; Glazier, S; Wang, DY; Lin, YS; Dahn, JR</t>
  </si>
  <si>
    <t>Ma, Lin; Self, Julian; Nie, Mengyun; Glazier, Stephen; Wang, David Yaohui; Lin, Yong-Shou; Dahn, J. R.</t>
  </si>
  <si>
    <t>A systematic study of some promising electrolyte additives in Li[Ni1/3Mn1/3Co1/3]O2/graphite, Li[Ni0.5Mn0.3Co0.2]/graphite and Li[Ni0.6Mn0.2Co0.2]/graphite pouch cells</t>
  </si>
  <si>
    <t>Li[Ni1/3Mn1/3Co1/3]O-2/graphite, Li[Ni0.5Mn0.3Co0.2]O-2/graphite and Li[Ni0.6Mn0.2Co0.2O2]/graphite pouch cells were examined with and without electrolyte additives using the ultra high precision charger at Dalhousie University, electrochemical impedance spectroscopy, gas evolution measurements and cycle-store tests. The electrolyte additives tested were vinylene carbonate (VC), prop-1-ene-1,3-sultone (PES), pyridine-boron trifluoride (PBF), 2% PES + 1% methylene methanedisulfonate (MMDS) + 1% tris(-trimethylsilyl) phosphite (TTSPi) and 0.5% pyrazine di-boron trifluoride (PRZ) + 1% MMDS. The charge end-point capacity slippage, capacity fade, coulombic efficiency, impedance change during cycling, gas evolution and voltage drop during cycle-store testing were compared to gain an understanding of the effects of these promising electrolyte additives or additive combinations on the different types of pouch cells. It is hoped that this report can be used as a guide or reference for the wise choice of electrolyte additives in Li[Ni1/3Mn1/3CO1/3]O-2/graphite, Li[Ni0.5Mn0.3Co0.2]O-2/graphite and Li[Ni0.6Mn0.2Co0.2O2]/graphite pouch cells and also to show the shortcomings of particular positive electrode compositions. (C) 2015 Elsevier B.V. All rights reserved.</t>
  </si>
  <si>
    <t>Ma, Lin/CAH-3689-2022; Wang, Yaohui/F-9397-2012</t>
  </si>
  <si>
    <t>Ma, Lin/0000-0003-1183-1347;</t>
  </si>
  <si>
    <t>10.1016/j.jpowsour.2015.08.084</t>
  </si>
  <si>
    <t>WOS:000363907400016</t>
  </si>
  <si>
    <t>Wang, DW; Zhong, GM; Li, YX; Gong, ZL; McDonald, MJ; Mi, JX; Fu, RQ; Shi, ZC; Yang, Y</t>
  </si>
  <si>
    <t>Wang, Dawei; Zhong, Guiming; Li, Yixiao; Gong, Zhengliang; McDonald, Matthew J.; Mi, Jin-Xiao; Fu, Riqiang; Shi, Zhicong; Yang, Yong</t>
  </si>
  <si>
    <t>Enhanced ionic conductivity of Li3.5Si0.5P0.5O4 with addition of lithium borate</t>
  </si>
  <si>
    <t>A series of lithium borate added electrolyte compounds, xLi(3)BO(3)-(1-x)Li3.5Si0.5P0.5O4 (0 &lt;= x &lt;= 0.2), are synthesized and characterized. This so-called LISICON electrolyte system is analyzed by using X-ray diffraction (XRD), scanning electron microscopy (SEM), solid state nuclear magnetic resonance (ss-NMR), electrochemical impedance spectra (EIS), and direct current (DC) polarization methods. From B-11 MAS NMR spectra, it is demonstrated that a small fraction of boron exists in the form of BO4, while its majority settles at grain boundaries in the form of BO3, indicating that lithium borate glasses play a role as sintering assistant. This prominently increases the relative density of samples, and is beneficial to the ionic conductivity. Further results show that the electrical conduction of lithium borate added LISICONs is dominated by Li+ ions, with a transference number of t(Li)(+) &gt;= 0.996 and a corresponding ionic conductivity of about 6.5 x 10(-6) S cm(-1) at room temperature, almost two times that of pristine Li3.5Si0.5P0.5O4. (C) 2015 Elsevier B.V. All rights reserved.</t>
  </si>
  <si>
    <t>Shi, Zhicong/M-9461-2017; Mi, Jin-Xiao/G-4129-2010; Wang, Dawei/R-5258-2019; Yang, Yong/G-4650-2010; Zhong, Guiming/R-5291-2019; li, yixiao/NLO-5053-2025</t>
  </si>
  <si>
    <t>Shi, Zhicong/0000-0003-2360-7668; Yang, Yong/0000-0002-9928-7165;</t>
  </si>
  <si>
    <t>10.1016/j.ssi.2015.10.009</t>
  </si>
  <si>
    <t>WOS:000367113100014</t>
  </si>
  <si>
    <t>Shu, CZ; Li, B; Zhang, BS; Su, DS</t>
  </si>
  <si>
    <t>Shu, Chaozhu; Li, Bo; Zhang, Bingsen; Su, Dangsheng</t>
  </si>
  <si>
    <t>Hierarchical Nitrogen-Doped Graphene/Carbon Nanotube Composite Cathode for Lithium-Oxygen Batteries</t>
  </si>
  <si>
    <t>The lithium-oxygen (Li-O-2) battery is a very appealing candidate for advanced high energy applications owing to its exceptionally high specific energy. However, its poor energy efficiency, rate capability, and cyclability remain key barriers to its practical application. In this work, using a rationally designed cathode based on a bimodal mesoporous nitrogen-doped graphene/carbon nanotube (NGC) composite, we have developed a Li-O-2 battery demonstrating enhanced round-trip efficiency (ca. 85%) and excellent cyclability over 400cycles under a high current rate of 500mAg(-1). The excellent cyclability and rate capability are attributed to improved stability of the aggressive LiO2 intermediate on the nitrogen-doped carbon surface in addition to the favorable hierarchical architecture of NGC. These results demonstrate a valuable research direction to achieve highly stable and reversible Li-O-2 batteries through tuning the surface chemistry of the cathode in addition to finding a stable electrolyte solvent.</t>
  </si>
  <si>
    <t>Li, Bo/B-8847-2012; Shu, Chaozhu/AAC-2508-2019; Zhang, Bingsen/G-4028-2010</t>
  </si>
  <si>
    <t>Li, Bo/0000-0001-8895-2054; Zhang, Bingsen/0000-0002-2607-2999; Shu, Chaozhu/0000-0003-2120-6238</t>
  </si>
  <si>
    <t>DEC 7</t>
  </si>
  <si>
    <t>10.1002/cssc.201501169</t>
  </si>
  <si>
    <t>WOS:000366016300006</t>
  </si>
  <si>
    <t>Reddy, VP; Sinn, E; Hosmane, N</t>
  </si>
  <si>
    <t>Reddy, V. Prakash; Sinn, Ekkehard; Hosmane, Narayan</t>
  </si>
  <si>
    <t>Boron based fluoride anion receptors: Electrochemical and sensory applications</t>
  </si>
  <si>
    <t>JOURNAL OF ORGANOMETALLIC CHEMISTRY</t>
  </si>
  <si>
    <t>Boron based fluoride anion receptors as electrolyte additives would significantly improve lithium ion battery performance. Fluorinated versions of triarylboranes, boronate esters, boroxines, and other boron based anion receptors have potential applications in the design of high specific energy lithium ion batteries. There is also an emerging interest in recent years in the design of colorimetric sensors for the fluoride anion, especially in aqueous systems, using boron based anion receptors. This mini review highlights the recent trends in the design and applications of the boron based fluoride anion receptors as electrolyte additives and as colorimetric sensors. (C) 2015 Elsevier B.V. All rights reserved.</t>
  </si>
  <si>
    <t>Hosmane, Narayan/B-8030-2011</t>
  </si>
  <si>
    <t>0022-328X</t>
  </si>
  <si>
    <t>1872-8561</t>
  </si>
  <si>
    <t>10.1016/j.jorganchem.2015.07.037</t>
  </si>
  <si>
    <t>WOS:000366155400003</t>
  </si>
  <si>
    <t>Lyu, ZY; Feng, R; Zhao, J; Fan, H; Xu, D; Wu, Q; Yang, LJ; Chen, Q; Wang, XZ; Hu, Z</t>
  </si>
  <si>
    <t>Lyu Zhiyang; Feng Rui; Zhao Jin; Fan Hao; Xu Dan; Wu Qiang; Yang Lijun; Chen Qiang; Wang Xizhang; Hu Zheng</t>
  </si>
  <si>
    <t>Nitrogen-Doped Carbon Nanocages as High-Rate Anode for Lithium Ion Batteries</t>
  </si>
  <si>
    <t>The specific power or rate capability of lithium-ion batteries (LIBs) today is insufficient for electric vehicles requiring fast charging and high power output. Compared with great progresses in the high-rate cathodes of LIBs, the development of matchable high-rate anodes still becomes a huge challenge. Carbonaceous materials have been widely used as the anodes of commercial LIBs due to the good conductivity, low cost and environmental friendliness. The nanostructured carbon materials could achieve the high surface area for electrolyte penetration and the short solid-state ion diffusion length for rapid ion transport. Moreover, carbon nanomaterials avoid the large volume change during lithiation/delithiation, which is grave problem for the other high capacity anode materials including Si-based materials and metal oxides. In addition, heteroatom-doping can provide further space for the optimization of lithium storage performance. Herein, we reported the nitrogen-doped carbon nanocages (NCNC) as high-performance anode materials for lithium ion batteries, prepared by an in-situ generated magnesium oxide template method (from decomposition of basic magnesium carbonate) and pyridine as carbon source at growth temperatures of 700, 800, and 900 degrees C. The morphology, structure, and electrochemical performances were investigated by transmission electron microscope (TEM), X-ray photoelectron spectroscopy (XPS), nitrogen adsorption/desorption equipment, and constant current discharge/charge tests. For example, NCNC800, prepared at 800 degrees C, has a high specific surface area (1197 m(2).g(-1)), high nitrogen content (8.2 at%), good conductivity (46 S.m(-1)) and mesopores structure. As an anode material for LIBs, NCNC800 delivers a steady charge capacity of ca. 900 mAh.g(-1) at a low current density of 0.1 A.g(-1) after 20 cycles activation, and stabilizes at ca. 135 mAh.g(-1) even over 500 cycles at a high rate of 20.0 A.g(-1), which are superior to graphene and graphite. These good electrochemical performances, such as high steady charge capacity, high-rate capability and excellent cyclability, can be ascribed to the unique structure of NCNC, which is beneficial to the electrolyte penetration, Li-ion diffusion, electron conduction, and structural stability during lithium ions intercalation/deintercalation. This unique carbon nanomaterial provides a new alternative of anode materials for high-performance LIBs.</t>
  </si>
  <si>
    <t>Lyu, Zhiyang/HGA-2747-2022; Hu, zheng/R-9842-2018; Yang, Lijun/J-7330-2015; chen, qiang/GWZ-7308-2022; Fan, Hao/O-4048-2017; Wang, Xizhang/G-5331-2012</t>
  </si>
  <si>
    <t>10.6023/A15040289</t>
  </si>
  <si>
    <t>WOS:000365833000006</t>
  </si>
  <si>
    <t>Bebeda, AW; van Ree, T</t>
  </si>
  <si>
    <t>Bebeda, Avhapfani W.; van Ree, Teunis</t>
  </si>
  <si>
    <t>Conformational Preferences and Electrochemical Performance of Ethyleneoxy Phenylboronate Electrolyte Additives</t>
  </si>
  <si>
    <t>ARABIAN JOURNAL FOR SCIENCE AND ENGINEERING</t>
  </si>
  <si>
    <t>It is generally accepted that the structural characteristics of a molecule determine its physical and electrochemical properties. In this study, the conformations and some electrochemical properties of various boronates were investigated through computational study using density functional theory (DFT) with the Becke's three-parameter hybrid method utilizing the Lee-Young-Parr correlation functional (B3LYP). After initial energy optimization using Moller-Plesset perturbation theory (MP2), the conformational preferences and energetics were investigated using DFT calculations and the 6-31G(d,p) basis set in vacuo. The calculations and first results show that the ethyleneoxyboronates can be expected to perform well as redox shuttles, and boron-based redox shuttles can contribute to overcharge protection and safer batteries. HOMO-LUMO energy differences also indicate higher reactivities of the boronates, contributing to better solid electrolyte interphase formation.</t>
  </si>
  <si>
    <t>Van Ree, Teunis/F-9383-2011; van Ree, Teunis/F-9383-2011</t>
  </si>
  <si>
    <t>van Ree, Teunis/0000-0002-0126-6797</t>
  </si>
  <si>
    <t>2193-567X</t>
  </si>
  <si>
    <t>2191-4281</t>
  </si>
  <si>
    <t>10.1007/s13369-015-1669-y</t>
  </si>
  <si>
    <t>WOS:000362954000001</t>
  </si>
  <si>
    <t>Luo, W; Zhou, LH; Fu, K; Yang, Z; Wan, JY; Manno, M; Yao, YG; Zhu, HL; Yang, B; Hu, LB</t>
  </si>
  <si>
    <t>Luo, Wei; Zhou, Lihui; Fu, Kun; Yang, Zhi; Wan, Jiayu; Manno, Michael; Yao, Yonggang; Zhu, Hongli; Yang, Bao; Hu, Liangbing</t>
  </si>
  <si>
    <t>A Thermally Conductive Separator for Stable Li Metal Anodes</t>
  </si>
  <si>
    <t>Li metal anodes have attracted considerable research interest due to their low redox potential (-3.04 V vs standard hydrogen electrode) and high theoretical gravimetric capacity of 3861 mAh/g. Battery technologies using Li metal anodes have shown much higher energy density than current Li-ion batteries (LIBs) such as Li-O-2 and Li-S systems. However, issues related to dendritic Li formation and low Coulombic efficiency have prevented the use of Li metal anode technology in many practical applications. In this paper, a thermally conductive separator coated with boron-nitride (BN) nano-sheets has been developed to improve the stability of the Li metal anodes. It is found that using the BN-coated separator in a conventional organic carbonate-based electrolyte results in the Coulombic efficiency stabilizing at 92% over 100 cycles at a current rate of 0.5 mA/cm(2) and 88% at 1.0 mA/cm(2). The improved Coulombic efficiency and reliability of the Li metal anodes is due to the more homogeneous thermal distribution resulting from the thermally conductive BN coating and to the smaller surface area of initial Li deposition.</t>
  </si>
  <si>
    <t>Zhu, Hongli/B-9745-2014; Wan, Jiayu/JOZ-1913-2023; Luo, Wei/E-1582-2011; Fu, Kelvin/AAY-8189-2020; Yao, Yonggang/D-2821-2012; Hu, Liangbing/N-6660-2013</t>
  </si>
  <si>
    <t>Hu, Liangbing/0000-0002-9456-9315; Wan, Jiayu/0000-0003-4603-3265; Fu, Kelvin/0000-0003-4963-615X; Yao, Yonggang/0000-0002-9191-2982;</t>
  </si>
  <si>
    <t>10.1021/acs.nanolett.5b02432</t>
  </si>
  <si>
    <t>WOS:000361252700075</t>
  </si>
  <si>
    <t>Tutusaus, O; Mohtadi, R; Arthur, TS; Mizuno, F; Nelson, EG; Sevryugina, YV</t>
  </si>
  <si>
    <t>Tutusaus, Oscar; Mohtadi, Rana; Arthur, Timothy S.; Mizuno, Fuminori; Nelson, Emily G.; Sevryugina, Yulia V.</t>
  </si>
  <si>
    <t>An Efficient Halogen-Free Electrolyte for Use in Rechargeable Magnesium Batteries</t>
  </si>
  <si>
    <t>Unlocking the full potential of rechargeable magnesium batteries has been partially hindered by the reliance on chloride-based complex systems. Despite the high anodic stability of these electrolytes, they are corrosive toward metallic battery components, which reduce their practical electrochemical window. Following on our new design concept involving boron cluster anions, monocarborane CB11H12- produced the first halogen-free, simple-type Mg salt that is compatible with Mg metal and displays an oxidative stability surpassing that of ether solvents. Owing to its inertness and non-corrosive nature, the Mg(CB11H12)(2)/tetraglyme (MMC/G4) electrolyte system permits standardized methods of high-voltage cathode testing that uses a typical coin cell. This achievement is a turning point in the research and development of Mg electrolytes that has deep implications on realizing practical rechargeable Mg batteries.</t>
  </si>
  <si>
    <t>Sevryugina, Yulia/GXF-5259-2022; Tutusaus, Oscar/G-4218-2012; MOHTADI, RANA/AAF-7063-2021</t>
  </si>
  <si>
    <t>Sevryugina, Yulia/0000-0003-1844-952X; Tutusaus, Oscar/0000-0002-9839-8795;</t>
  </si>
  <si>
    <t>10.1002/anie.201412202</t>
  </si>
  <si>
    <t>WOS:000356886600030</t>
  </si>
  <si>
    <t>Li, HL; Tay, RY; Tsang, SH; Liu, WW; Teo, EHT</t>
  </si>
  <si>
    <t>Li, Hongling; Tay, Roland Yingjie; Tsang, Siu Hon; Liu, Wenwen; Teo, Edwin Hang Tong</t>
  </si>
  <si>
    <t>Reduced Graphene Oxide/Boron Nitride Composite Film as a Novel Binder-Free Anode for Lithium Ion Batteries with Enhanced Performances</t>
  </si>
  <si>
    <t>Reduced graphene oxide (rGO)/boron nitride (BN) composite films were successfully fabricated by facile vacuum filtration and subsequent thermal treatment. Their morphology, structure and electrochemical performance were systematically characterized by field emission scanning electron microscopy, transmission electron microscopy, X-ray photoelectron spectroscopy, Raman spectroscopy, cyclic voltammetry, galvanostatic charge/discharge and electrochemical impedance spectroscopy. Importantly, the as-prepared rGO/BN composite film with a 2 wt.% BN content as binder-free anode material for lithium ion batteries (LIBs) exhibited a high reversible capacity of 278 mAh.g(1) at a high current density of 100 mA.g(1), high rate capability, and high capacity retention over the first 200 cycles. The enhanced electrochemical performances of rGO/BN composite film are attributed to the unique structure and the synergistic effects between layered BN and graphene, which favored electrolyte penetration and buffered the volume expansion during the lithiation and delithiation process. In addition, this work not only provides a versatile strategy for fabrication of other graphene-based films, but also shows the potential promise of rGO/BN composite film for other energy storage devices. (C) 2015 Elsevier Ltd. All rights reserved.</t>
  </si>
  <si>
    <t>Teo, Edwin/E-9437-2015; Tay, Roland/AAE-7913-2019; Teo, Hang Tong Edwin/E-9437-2015; Liu, Wenwen/KYP-9583-2024</t>
  </si>
  <si>
    <t>Teo, Hang Tong Edwin/0000-0003-0528-1764; Tay, Roland Yingjie/0000-0002-3341-0984;</t>
  </si>
  <si>
    <t>10.1016/j.electacta.2015.03.109</t>
  </si>
  <si>
    <t>WOS:000354036200027</t>
  </si>
  <si>
    <t>Sprenger, JAP; Schäfer, M; Ignatiev, N; Finze, M</t>
  </si>
  <si>
    <t>Sprenger, Jan A. P.; Schaefer, Marius; Ignatiev, Nikolai; Finze, Maik</t>
  </si>
  <si>
    <t>Salts of novel chelatoborate anions: [RFBX(ox)]-(RF = CF3, C2F5; X = F, OMe; ox = oxalato) and [RFB(OMe)(cat)]-(RF = CF3, C2F5; cat = catecholato)</t>
  </si>
  <si>
    <t>Tetraethylammonium and tetraphenylphosphonium salts of the oxalatoborate anions [CF3B(OCH3)(ox)](-) (1a), [C2F5B(OCH3)(ox)](-) (1b), [CF3BF(ox)](-) (1c), and [C2F5BF(ox)](-) (1d) have been obtained from easily accessible K[(RB)-B-F(OCH3)(3)] and K[(RBF3)-B-F] (R-F = CF3, C2F5), respectively. In addition, the related catecholatoborate anions [CF3B(OCH3)(cat)(-) (2a) and [C2F5B(OCH3)(cat)(-) (2b) have been synthesized starting from K[(RB)-B-F(OCH3)(3)] and catechol. Anions 2a and 2b have been isolated as [Ph4P](+) salts. Two different synthetic strategies have been applied: (i) Reaction of the potassium borate with neat oxalic acid or catechol and (ii) reaction of both components in an ethereal solvent. Salts of all six anions have been obtained via these two different routes except for the [CF3BF(ox)](-) anion (1c) that was obtained from a reaction in diglyme, only. The new anions have been characterized by multinuclear NMR spectroscopy and by mass spectrometry ((-)-MALDI or (-)-ESI). Furthermore, the tetraphenylphosphonium salts of the chelatoperfluoroalkylborate anions 1a, 1d, and 2a have been characterized by single-crystal X-ray diffraction. (C) 2014 Elsevier B.V. All rights reserved.</t>
  </si>
  <si>
    <t>10.1016/j.jfluchem.2014.08.003</t>
  </si>
  <si>
    <t>WOS:000355353400006</t>
  </si>
  <si>
    <t>Yamada, K; Ishikawa, H; Kamiwaki, C; Kawaguchi, M</t>
  </si>
  <si>
    <t>Yamada, Kaoru; Ishikawa, Hiromichi; Kamiwaki, Chikara; Kawaguchi, Masayuki</t>
  </si>
  <si>
    <t>The Role of Boron in B/C/N and B/C Materials as an Anode of Sodium Ion Batteries</t>
  </si>
  <si>
    <t>Graphite-like layered materials composed of boron/carbon/nitrogen (B/C/N) and boron/carbon (B/C) have been prepared by CVD method using BCl3 and CH3CN or C2H4 as starting materials, respectively. Electrochemical behaviors of B/C/N and B/C materials as anodes of sodium ion batteries have been investigated. Their properties have been compared with those of carbon/nitrogen (C/N) material and carbons prepared by CVD method. B/C/N and B/C materials showed reversible intercalation and de-intercalation on their discharge and charge cycles. The formation of stage structures was observed during the discharge (electrochemical intercalation) in 1 M-NaPF6/EC+DEC (1:1) electrolyte solution, which was not clearly observed in the cases of C/N material and carbon. Potentials at the beginning of discharge (intercalation of Na+ ion) were higher than those of C/N material and carbons, and depended on the boron content in the material. B/C materials having larger boron content tended to show higher reversible capacity. B/C/N materials showed highest reversible capacity 190 mAh g(-1) among the materials prepared in this study by using CVD method. These results could be explained by the electronic structure of the material in which electron deficient boron atom lowered the bottom of conduction band, and will provide useful information for designing materials as electrodes. (C) The Electrochemical Society of Japan, All rights reserved.</t>
  </si>
  <si>
    <t>; Yamada, Kaoru/L-5587-2018</t>
  </si>
  <si>
    <t>Kawaguchi, Masayuki/0000-0001-7222-3703; Yamada, Kaoru/0000-0002-7303-7547</t>
  </si>
  <si>
    <t>10.5796/electrochemistry.83.452</t>
  </si>
  <si>
    <t>WOS:000356204200010</t>
  </si>
  <si>
    <t>Kaynak, M; Yusuf, A; Aydin, H; Taskiran, MU; Bozkurt, A</t>
  </si>
  <si>
    <t>Kaynak, Mehmet; Yusuf, Abdulmalik; Aydin, Hamide; Taskiran, Mehmet Ugur; Bozkurt, Ayhan</t>
  </si>
  <si>
    <t>Enhanced ionic conductivity in borate ester plasticized Polyacrylonitrile electrolytes for lithium battery application</t>
  </si>
  <si>
    <t>The effect of low molecular weight borate ester on the ionic conductivity of polyacrylonitrile (PAN) was systematically investigated by means of measuring conductivity using the impedance technique. Gel polymer electrolyte (SPE) films consisting of PAN as host polymer, LiCF3SO3 and LiBF4 as ionic salts, and poly (ethylene glycol) borate ester (PEGB), ethylene carbonate/propylene carbonate (EC/PC) as plasticizers were prepared by physical blending method. All measurements were performed on electrolyte samples with various contents. Fourier transform infrared spectroscopy (FT-IR) gave evidence of the interactions among PAN, plasticizers and lithium salt. The surface morphology of the electrolytes was investigated by scanning electron microscopy (SEM). Thermal properties of these materials were searched with thermogravimetric analysis (TGA) and differential scanning calorimetry (DSC). Conductivity studies of these blend polymer electrolytes were carried out in the temperature range 20-100 degrees C. The maximum ionic conductivity values of 1.8 x 10 (3) and 1.4 x 10 (4) S cm (1) were measured for the film containing 4PAN-10EC/PC-4LiBF(4) and 4PAN-10PEGB-4LiCF(3)SO(3), respectively, at room temperature. These films have a good conductivity, better dimensional stability and wide electrochemical stability window. These unique properties make the composite gel membranes suitable for application as electrolyte in rechargeable Li-ion batteries. (C) 2015 Elsevier Ltd. All rights reserved.</t>
  </si>
  <si>
    <t>Aydın, Hamide/AAX-1871-2020; Bozkurt, Ayhan/G-5963-2017; Yusuf, Abdulmalik/Y-7457-2019; Bozkurt, Ayhan/AAH-4466-2021</t>
  </si>
  <si>
    <t>Bozkurt, Ayhan/0000-0003-4201-370X; Yusuf, Abdulmalik/0000-0003-1427-497X; Taskiran, Mehmet Ugur/0000-0002-3609-1640; Aydin, Hamide/0000-0002-8267-2040;</t>
  </si>
  <si>
    <t>10.1016/j.electacta.2015.02.214</t>
  </si>
  <si>
    <t>WOS:000352499000013</t>
  </si>
  <si>
    <t>Shim, J; Kim, DG; Kim, HJ; Lee, JH; Lee, JC</t>
  </si>
  <si>
    <t>Shim, Jimin; Kim, Dong-Gyun; Kim, Hee Joong; Lee, Jin Hong; Lee, Jong-Chan</t>
  </si>
  <si>
    <t>Polymer Composite Electrolytes Having Core Shell Silica Fillers with Anion-Trapping Boron Moiety in the Shell Layer for All-Solid-State Lithium-Ion Batteries</t>
  </si>
  <si>
    <t>Core-shell silica particles with ion-conducting poly(ethylene glycol) and anion-trapping boron moiety in the shell layer were prepared to be used as fillers for polymer composite electrolytes based on organic/inorganic hybrid branched copolymer as polymer matrix for all-solid-state lithium-ion battery applications. The core-shell silica particles were found to improve mechanical strength and thermal stability of the polymer matrix and poly(ethylene glycol) and boron moiety in the shell layer increase compatibility between filler and polymer matrix. Furthermore, boron moiety in the shell layer increases both ionic conductivity and lithium transference number of the polymer matrix because lithium salt can be more easily dissociated by the anion-trapping boron. Interfacial compatibility with lithium metal anode is also improved because well-dispersed silica particles serve as protective layer against interfacial side reactions. As a result, all-solid-state battery performance was found to be enhanced when the copolymer having core-shell silica particles with the boron moiety was used as solid polymer electrolyte.</t>
  </si>
  <si>
    <t>Lee, Won-Jong/C-1960-2011; Lee, Jong-Chan/AAG-8833-2020; , Do Jin Kim/I-7675-2014; Kim, Hee/ABD-2031-2020; Shim, Jimin/KIH-0364-2024</t>
  </si>
  <si>
    <t>Shim, Jimin/0000-0001-6147-921X; Kim, Hee Joong/0000-0001-6297-1636; Lee, Jin Hong/0000-0001-6800-5543</t>
  </si>
  <si>
    <t>10.1021/acsami.5b00618</t>
  </si>
  <si>
    <t>WOS:000353177000032</t>
  </si>
  <si>
    <t>Tan, SY; Wang, L; Bian, L; Xu, JB; Ren, W; Hu, PF; Chang, AM</t>
  </si>
  <si>
    <t>Tan, ShuangYuan; Wang, Lei; Bian, Liang; Xu, JinBao; Ren, Wei; Hu, PengFei; Chang, AiMin</t>
  </si>
  <si>
    <t>Highly enhanced low temperature discharge capacity of LiNi1/3Co1/3Mn1/3O2 with lithium boron oxide glass modification</t>
  </si>
  <si>
    <t>Although lithium ion battery is known to be an excellent renewable energy provider in electronic markets further application of it has been limited by its notoriously poor performance at low temperature, especially below -20 degrees C. In this paper, the electrochemical performance of the LiNi1/3Co1/3Mn1/3O2 cathode materials coated by lithium boron oxide (LBO) glass was investigated at a temperature range from 20 to -40 degrees C. The results show that the LBO coating not only helps to improve the discharge capacity of LiNi1/3Co1/3Mn1/3O2 at room temperature but also increase the discharge capacity retention of the LiNi1/3Co1/3Mn1/3O2 from 22.5% to 57.8% at -40 degrees C. Electrochemical impedance spectra results reveal that the LBO coating plays an important role in reducing the charge-transfer resistance on the electrolyte-electrode interfaces and improving lithium ion diffusion coefficients. The mechanism associated with the change of the structure and electrical properties are discussed in detail. (C) 2014 Elsevier B.V. All rights reserved.</t>
  </si>
  <si>
    <t>xu, jinbao/GRJ-7343-2022; lei, wang/GWV-5835-2022; Wang, Lei/GWV-5835-2022; Hu, Pengfei/S-3222-2016</t>
  </si>
  <si>
    <t>Wang, Lei/0000-0002-1217-2032;</t>
  </si>
  <si>
    <t>10.1016/j.jpowsour.2014.11.149</t>
  </si>
  <si>
    <t>WOS:000348957000018</t>
  </si>
  <si>
    <t>Tutusaus, O; Mohtadi, R</t>
  </si>
  <si>
    <t>Tutusaus, Oscar; Mohtadi, Rana</t>
  </si>
  <si>
    <t>Paving the Way towards Highly Stable and Practical Electrolytes for Rechargeable Magnesium Batteries</t>
  </si>
  <si>
    <t>Despite being considered a promising anode candidate for future battery technologies, the reactivity of Mg metal and its resultant passivation have challenged the development of electrolytes for rechargeable Mg batteries. In this Concept article, we shed light on critical past and current motivations, hurdles, and design strategies of electrolyte development for Mg batteries. Special focus is given to the most recent advancements; in particular, we elaborate on bottom-up design strategies targeted to overcome the corrosion issue caused by current electrolyte systems. Salts containing the BH motif expanded the portfolio of Mg-compatible electrolytes and are used as a platform to create a whole new promising family. Here, we explain the approach, challenges, and the path forward for ultimately creating Mg-compatible, highly stable, and non-corrosive Mg electrolytes.</t>
  </si>
  <si>
    <t>Tutusaus, Oscar/G-4218-2012; MOHTADI, RANA/AAF-7063-2021</t>
  </si>
  <si>
    <t>Tutusaus, Oscar/0000-0002-9839-8795;</t>
  </si>
  <si>
    <t>10.1002/celc.201402207</t>
  </si>
  <si>
    <t>WOS:000347973500004</t>
  </si>
  <si>
    <t>Bondue, CJ; Reinsberg, P; Abd-El-Latif, AA; Baltruschat, H</t>
  </si>
  <si>
    <t>Bondue, C. J.; Reinsberg, P.; Abd-El-Latif, A. A.; Baltruschat, H.</t>
  </si>
  <si>
    <t>Oxygen reduction and oxygen evolution in DMSO based electrolytes: the role of the electrocatalyst</t>
  </si>
  <si>
    <t>In the present paper the role of the electrode material in oxygen reduction in DMSO based electrolytes is elucidated using DEMS. We have found, employing platinum, gold, ruthenium rhodium, selenium decorated rhodium and boron doped diamond (BDD) as electrode materials, that the actual mechanism of oxygen reduction largely depends on the electrode material. At platinum, rhodium and selenium decorated rhodium the final reduction product, peroxide, is formed electrochemically. At gold and at low overpotentials oxygen is reduced to superoxide and peroxide is only formed by disproportionation of the latter. No oxygen reduction takes place at the diamond surface of the BDD-electrode, hence, showing unambiguously that oxygen reduction is an inner sphere reaction. Also, the rate of oxygen evolution varies with the electrode material, although the onset potential of oxygen evolution is not influenced. The amount of peroxide formed is limited to 1-2 monolayers. Contrary to intuition oxygen reduction and oxygen evolution from peroxide, therefore, are heterogeneous, electrocatalytic reactions. The finding of such an electrocatalytic effect is of great importance for the development and optimization of lithium-air batteries. Aside from the electrode material there are also effects of water as well as of the cation used in the electrolyte. This suggests an influence of the double layer at the interface between the electrode and the electrolyte on oxygen reduction in addition to the well-known higher stability of Na2O2 and K2O2. Electrospray ionization (ESI) results show that any effect of water in the Li+ containing electrolyte is not due to an altered solvation of the cation.</t>
  </si>
  <si>
    <t>Bondue, Christoph/0000-0003-3619-3230; Reinsberg, Philip H./0000-0003-4253-5436; Abd-El-Latif, Abd-El-Aziz Ali/0000-0002-4763-9827</t>
  </si>
  <si>
    <t>10.1039/c5cp04356e</t>
  </si>
  <si>
    <t>WOS:000361697400109</t>
  </si>
  <si>
    <t>Goldshtein, K; Freedman, K; Schneier, D; Burstein, L; Ezersky, V; Peled, E; Golodnitsky, D</t>
  </si>
  <si>
    <t>Goldshtein, K.; Freedman, K.; Schneier, D.; Burstein, L.; Ezersky, V.; Peled, E.; Golodnitsky, D.</t>
  </si>
  <si>
    <t>Advanced Multiphase Silicon-Based Anodes for High-Energy-Density Li-Ion Batteries</t>
  </si>
  <si>
    <t>We report on the formation of composite silicon-based multiphase nanopowders as promising active-anode materials for highenergy-density, high-capacity-retention lithium-ion batteries. Simple synthetic routes have been developed for the preparation of core-shell Si and p-doped SiNi composite particles attached to carbon nanotubes. The particles were characterized by a variety of analytical and electrochemical methods. Environmental scanning-electron-microscopy and transmission-electron-microscopy images and electron-energy-loss-spectroscopy maps indicated formation of nanoparticles wrapped by carbon nanotubes and coated by nanometer-thick amorphous carbon. It was found that nickel diffuses to the bulk of silicon and forms either nickel-rich or nickel-depleted composite entities. The presence of boron in the synthesized composite powder has been detected by time-of-flight secondary-ion mass spectroscopy (TOFSIMS). Li/LiPE6 EC:DEC/Si-C-MWCNT cells with anodes composed of about 80% coreshell Si-C composite (36% Si in the anode) ran for more than 1000 cycles with a degradation rate of 0.07'k/cycle (beginning from cycle 25). The SiNi/MWCNT composite anode revealed a remarkably higher capacity-retention rate at initial cycles and higher C-rate capability. Li/SiNi/MVVCNT cells ran for about 250 cycles demonstrating a reversible capacity of about 620 mAh/g(Si) at 120 mu A/cm(2) and cycle 210, and 800 mu Ah/gsi at 50 mu A/cm(2) at cycle 240. (C) The Author(s) 2015. Published by ECS. All rights reserved.</t>
  </si>
  <si>
    <t>Golodnitsky, Diana/AAI-7385-2020; Peled, Emanuel/IUQ-6216-2023</t>
  </si>
  <si>
    <t>A1072</t>
  </si>
  <si>
    <t>A1079</t>
  </si>
  <si>
    <t>10.1149/2.1111506jes</t>
  </si>
  <si>
    <t>WOS:000353009300039</t>
  </si>
  <si>
    <t>Jäkle, F</t>
  </si>
  <si>
    <t>Fernandez, E; Whiting, A</t>
  </si>
  <si>
    <t>Jaekle, Frieder</t>
  </si>
  <si>
    <t>Recent Advances in the Synthesis and Applications of Organoborane Polymers</t>
  </si>
  <si>
    <t>SYNTHESIS AND APPLICATION OF ORGANOBORON COMPOUNDS</t>
  </si>
  <si>
    <t>Topics in Organometallic Chemistry</t>
  </si>
  <si>
    <t>Recent advances in the synthesis of organoborane polymers are reviewed in this chapter. The last decade has witnessed new approaches for the direct polymerization of functional borane monomers as well as the use of innovative polymer modification techniques. Powerful new methods that allow for positioning of functional borane moieties at well-defined positions in the polymer chain have also been developed. The resulting organoborane polymers have been investigated as luminescent and electro-active materials, electrolytes for batteries, supported Lewis acid catalysts, sensors for anions and biologically relevant molecules, building blocks of stimuli-responsive and dynamic (supramolecular) materials, and for biomedical applications.</t>
  </si>
  <si>
    <t>1436-6002</t>
  </si>
  <si>
    <t>978-3-319-13054-5; 978-3-319-13053-8</t>
  </si>
  <si>
    <t>10.1007/978-3-319-13054-5_10</t>
  </si>
  <si>
    <t>10.1007/978-3-319-13054-5</t>
  </si>
  <si>
    <t>WOS:000356628500011</t>
  </si>
  <si>
    <t>Joshi, P; Vedarajan, R; Matsumi, N</t>
  </si>
  <si>
    <t>Joshi, Prerna; Vedarajan, Raman; Matsumi, Noriyoshi</t>
  </si>
  <si>
    <t>A crystalline low molecular weight cyclic organoboron compound for efficient solid state lithium ion transport</t>
  </si>
  <si>
    <t>We report the synthesis of a crystalline cyclic organoboron compound that shows an anomalous Li-ion conduction behaviour with specific composition and method of insertion of a Li salt. The enhanced ionic conductivity of crystalline boric ester/LiTFSI prepared by the grinding method should be due to the formation of regulated ion-conduction channels scaffolded by boron-anion interaction.</t>
  </si>
  <si>
    <t>Vedarajan, Raman/E-7267-2016; Matsumi, Noriyoshi/E-9496-2011; Vedarajan, Raman/AAI-1577-2019; Joshi, Prerna/AHC-1721-2022</t>
  </si>
  <si>
    <t>Vedarajan, Raman/0000-0002-0178-6987; Joshi, Prerna/0000-0002-3157-1821</t>
  </si>
  <si>
    <t>10.1039/c5cc04753f</t>
  </si>
  <si>
    <t>WOS:000362351500019</t>
  </si>
  <si>
    <t>Leung, K; Chaudhari, MI; Rempe, SB; Fenton, KR; Pratt, HD; Staiger, CL; Nagasubramanian, G</t>
  </si>
  <si>
    <t>Leung, Kevin; Chaudhari, Mangesh I.; Rempe, Susan B.; Fenton, Kyle R.; Pratt, Harry D., III; Staiger, Chad L.; Nagasubramanian, Ganesan</t>
  </si>
  <si>
    <t>Density Functional Theory and Conductivity Studies of Boron-Based Anion Receptors</t>
  </si>
  <si>
    <t>Anion receptors that bind strongly to fluoride anions in organic solvents can help dissolve the lithium fluoride discharge products of primary carbon monofluoride (CFx) batteries, thereby preventing the clogging of cathode surfaces and improving ion conductivity. The receptors are also potentially beneficial to rechargeable lithium ion-and lithium air batteries. We apply Density Functional Theory (DFT) to show that an oxalate-based pentafluorophenyl-boron anion receptor binds as strongly, or more strongly, to fluoride anions than many phenyl-boron anion receptors proposed in the literature. Experimental data shows marked improvement in electrolyte conductivity when this oxalate anion receptor is present. The receptor is sufficiently electrophilic that organic solvent molecules compete with F- for boron-site binding, and specific solvent effects must be considered when predicting its F- affinity. To further illustrate the last point, we also perform computational studies on a geometrically constrained boron ester that exhibits much stronger gas-phase affinity for both F- and organic solvent molecules. After accounting for specific solvent effects, however, its net F- affinity is about the same as the simple oxalate-based anion receptor. Finally, we propose that LiF dissolution in cyclic carbonate organic solvents, in the absence of anion receptors, is due mostly to the formation of ionic aggregates, not isolated F- ions. (C) 2015 The Electrochemical Society. All rights reserved.</t>
  </si>
  <si>
    <t>; Rempe, Susan/H-1979-2011</t>
  </si>
  <si>
    <t>Rempe, Susan/0000-0003-1623-2108;</t>
  </si>
  <si>
    <t>A1927</t>
  </si>
  <si>
    <t>A1934</t>
  </si>
  <si>
    <t>10.1149/2.1021509jes</t>
  </si>
  <si>
    <t>WOS:000359177100031</t>
  </si>
  <si>
    <t>Leung, PK; Heck, SC; Amietszajew, T; Mohamed, MR; Conde, MB; Dashwood, RJ; Bhagat, R</t>
  </si>
  <si>
    <t>Leung, Puiki; Heck, Stenio Cristaldo; Amietszajew, Tazdin; Mohamed, Mohd Rusllim; Conde, Maria Belen; Dashwood, Richard J.; Bhagat, Rohit</t>
  </si>
  <si>
    <t>Performance and polarization studies of the magnesium-antimony liquid metal battery with the use of in-situ reference electrode</t>
  </si>
  <si>
    <t>This work presents the performance and polarization studies of a magnesium-antimony liquid metal battery with the use of an in-situ pseudo reference electrode at high operating temperature (ca. 700 degrees C). Due to the immiscibility of the contiguous salt and metal phases, the battery appears as three distinct layers: (1) positive electrode, (2) electrolyte and (3) negative electrode layers. The configuration of the in-situ reference electrode within the three floating liquid layers is described and is to avoid direct electrical contact/short circuit with the other electrodes. Electrochemical tests, including linear sweep voltammetry, impedance spectroscopy and galvanostatic cycling, evaluate the performance of a magnesium-antimony battery under a range of operating temperatures and current densities. Through the polarization studies, the area resistance of the negative and positive electrodes and the overall battery are found to be ca. 0.55, 0.65 and 1.20 Omega cm(-2), respectively. In a typical 1 h charge/discharge per cycle experiment, average voltage efficiencies of ca. 64% are obtained at 60 mA cm(-2) with a slight deterioration after subsequent cycles. In these tests, the half-cell measurements also indicate that the sprayed layer of boron nitride at the reference electrode is chemically stable and shown to be an effective electrical insulator for prolonged operation at high temperature (ca. 700 degrees C).</t>
  </si>
  <si>
    <t>; Heck, Stenio/JPK-6743-2023; Amietszajew, Tazdin/AAT-9340-2021</t>
  </si>
  <si>
    <t>Dashwood, Richard/0000-0001-5188-6022; Leung, Puiki/0000-0002-9247-1197; Heck, Stenio/0000-0001-7965-8961; Bhagat, Rohit/0000-0003-2964-8073; Amietszajew, Tazdin/0000-0001-7452-1034</t>
  </si>
  <si>
    <t>10.1039/c5ra08606j</t>
  </si>
  <si>
    <t>WOS:000362438300057</t>
  </si>
  <si>
    <t>Nie, MY; Xia, J; Ma, L; Dahn, JR</t>
  </si>
  <si>
    <t>Nie, Mengyun; Xia, Jian; Ma, Lin; Dahn, J. R.</t>
  </si>
  <si>
    <t>A Comparative Study of Pyridine-Boron Trifluoride, Pyrazine-(BF3)2 and Triazine-(BF3)3 as Electrolyte Additives for Lithium-Ion Cells</t>
  </si>
  <si>
    <t>The novel electrolyte additives pyridine boron trifluoride, pyrazine di-boron trifluoride and triazine tri-boron trifluoride were compared in Li[Ni1/3Mn1/3Co1/3]O-2/graphite and Li[Ni0.42Mn0.42Co0.16]O-2/graphite pouch cells. This series of additives allowed the Lewis base:BF3 ratio to be systematically varied. The results were compared to baseline experiments on cells with well-known additives such as vinylene carbonate (VC) or prop-1-ene-1,3-sultone (PES). Increasing the BF3 content on the additive can reduce the impedance of cells during charge-discharge cycling. However the coulombic efficiency, charge endpoint capacity slippage and long-term cycling behavior of these pouch cells was not improved by increasing the content of BF3 in the additives. (C) The Author(s) 2015. Published by ECS. All rights reserved.</t>
  </si>
  <si>
    <t>Nie, Mengyun/F-4981-2015; Ma, Lin/CAH-3689-2022</t>
  </si>
  <si>
    <t>Nie, Mengyun/0000-0002-8546-5215; Ma, Lin/0000-0003-1183-1347</t>
  </si>
  <si>
    <t>A2066</t>
  </si>
  <si>
    <t>A2074</t>
  </si>
  <si>
    <t>10.1149/2.0411510jes</t>
  </si>
  <si>
    <t>WOS:000361501800020</t>
  </si>
  <si>
    <t>Nie, MY; Xia, J; Dahn, JR</t>
  </si>
  <si>
    <t>Nie, Mengyun; Xia, Jian; Dahn, J. R.</t>
  </si>
  <si>
    <t>Binary Additive Blends Including Pyridine Boron Trifluoride for Li-Ion Cells</t>
  </si>
  <si>
    <t>Pyridine Boron Trifluoride (PBF)-based electrolyte additive blends for Li[Ni0.42Mn0.42Co0.16]O-2 (NMC442)/graphite pouch cells have been systematically investigated. Other additives investigated in the blends included methylene methane disulfonate (MMDS) and ethylene sulfate (DTD). Ultra-high precision coulometry (UHPC), electrochemical impedance spectroscopy (EIS), gas evolution and long-term cycling experiments were made. The results obtained in this work indicate that MMDS and DTD have good compatibility with PBF-type additives and some of their combinations showed significant improvements in coulombic efficiency, reducing impedance and maintaining good capacity retention during high-voltage cycling compared to PBF-type additives alone. (C) The Author(s) 2015. Published by ECS. All rights reserved.</t>
  </si>
  <si>
    <t>Nie, Mengyun/F-4981-2015</t>
  </si>
  <si>
    <t>Nie, Mengyun/0000-0002-8546-5215</t>
  </si>
  <si>
    <t>A1693</t>
  </si>
  <si>
    <t>A1701</t>
  </si>
  <si>
    <t>10.1149/2.0171509jes</t>
  </si>
  <si>
    <t>WOS:000359177100002</t>
  </si>
  <si>
    <t>Development of Pyridine-Boron Trifluoride Electrolyte Additives for Lithium-Ion Batteries</t>
  </si>
  <si>
    <t>A series of novel electrolyte additives based on Lewis acid/base adducts has been designed and successfully synthesized. The synthesis is very simple: a pyridine derivative is mixed with boron trifluoride dissolved in diethyl ether to yield a solid crystalline product. The effect of Pyridine-Boron Trifluoride (PBF) and its derivatives have been thoroughly evaluated in Li[Ni1/3Mn1/3Co1/3]O-2/graphite and Li[Ni0.42Mn0.42Co0.16]O-2/graphite pouch cells. Evaluation experiments, including high voltage storage, gas production, electrochemical impedance spectroscopy measurements, ultra high precision cycling and long-term cycling were carried out on cells containing the novel additives. The results were compared to baseline experiments on cells with well-known additives such as vinylene carbonate (VC), prop-l-ene sultone (PES), methylene methane disulfonate (MMDS), tris(-trimethyl-silyl)-phosphite (TTSPi) and triallyl phosphate (TAP). The PBF additives are competitive with all known additives in NMC/graphite cells, which, combined with their low cast and facile synthesis, suggest this series of novel additives will be useful in high-voltage/high-temperature lithium ion battery applications. The PBF additives yield cells which show excellent capacity retention and maintain low impedance during high voltage cycling, in contrast to cells containing VC. (C) The Author(s) 2015. Published by ECS. All rights reserved.</t>
  </si>
  <si>
    <t>A1186</t>
  </si>
  <si>
    <t>A1195</t>
  </si>
  <si>
    <t>10.1149/2.0271507jes</t>
  </si>
  <si>
    <t>WOS:000355643700009</t>
  </si>
  <si>
    <t>Development of Pyridine-Boron Trifluoride Electrolyte Additives for Lithium-Ion Batteries (vol 162, p A1186, 2015)</t>
  </si>
  <si>
    <t>X17</t>
  </si>
  <si>
    <t>10.1149/2.0241508jes</t>
  </si>
  <si>
    <t>WOS:000361192200099</t>
  </si>
  <si>
    <t>Shu, CZ; Huang, R; Wang, J; Su, DS</t>
  </si>
  <si>
    <t>Shu, Chaozhu; Huang, Rui; Wang, Jia; Su, Dangsheng</t>
  </si>
  <si>
    <t>Enhanced cyclability of rechargeable Li-O2 batteries enabled by boron carbide</t>
  </si>
  <si>
    <t>A Li-O-2 battery with a boron carbide (B4C) based electrode presented a discharge-recharge voltage gap of 1.11 V, which is 550 mV smaller than that of a Super P based Li-O-2 battery. The B4C based electrode also enables much more enhanced cyclability of over 160 cycles at a current rate of 1000 mA g(-1) (0.3mA cm(-2)). The improved round-trip efficiency and cyclability is attributed to the high electrocatalytic activity and excellent stability of B4C.</t>
  </si>
  <si>
    <t>Shu, Chaozhu/AAC-2508-2019; Huang, Rui/M-6075-2015</t>
  </si>
  <si>
    <t>Huang, Rui/0000-0002-3276-6137; Shu, Chaozhu/0000-0003-2120-6238</t>
  </si>
  <si>
    <t>10.1039/c5ra24880a</t>
  </si>
  <si>
    <t>WOS:000366461000008</t>
  </si>
  <si>
    <t>Sriana, T; Leggesse, EG; Jiang, JC</t>
  </si>
  <si>
    <t>Sriana, T.; Leggesse, E. G.; Jiang, J. C.</t>
  </si>
  <si>
    <t>Novel benzimidazole salts for lithium ion battery electrolytes: effects of substituents</t>
  </si>
  <si>
    <t>In this paper, we report on our effort to design a novel lithium salt derived from bis(trifluoroborane)benzimidazolide by using density functional theory (DFT) calculations. The effects of different substituents are investigated with respect to ion pair dissociation energies and intrinsic anion oxidation potential of the molecules. Based on our calculations, we have found that ion pair dissociation energies and intrinsic anion oxidation potentials of the anions are mainly affected by the position and the type of substituents introduced into the parent structure. Compared to -CH3, substitution at the C2 position of the parent bis(trifluoroborane)benzimidazole (BTB-) by -CF3 results in an increase in anion oxidation stability. However, we observed a negligible change in the intrinsic anion oxidation potential as the length of the fluoroalkyl group increased to -C2F5. The most promising anions are generated by considering double-substitution at C2 and C5 positions. Among the possible anions, bis(trifluoroborane)-5-nitro-2-(trifluoromethyl) benzimidazolide (BTNTB-), with the calculated intrinsic anion oxidation potential of 5.50 V vs. Li+/Li, can be considered as a potential candidate for high voltage Li-ion batteries.</t>
  </si>
  <si>
    <t>Leggesse, Ermias/D-5700-2014; Leggesse, Ermias Girma/D-5700-2014; Sriana, Tun/HGE-0069-2022</t>
  </si>
  <si>
    <t>Jiang, Jyh-Chiang/0000-0002-4225-5250; Leggesse, Ermias Girma/0000-0001-7185-7405; Sriana, Tun/0000-0002-3024-1054;</t>
  </si>
  <si>
    <t>10.1039/c5cp00982k</t>
  </si>
  <si>
    <t>WOS:000356396300028</t>
  </si>
  <si>
    <t>Yan, K; Lee, HW; Gao, T; Zheng, GY; Yao, HB; Wang, HT; Lu, ZD; Zhou, Y; Liang, Z; Liu, ZF; Chu, S; Cui, Y</t>
  </si>
  <si>
    <t>Yan, Kai; Lee, Hyun-Wook; Gao, Teng; Zheng, Guangyuan; Yao, Hongbin; Wang, Haotian; Lu, Zhenda; Zhou, Yu; Liang, Zheng; Liu, Zhongfan; Chu, Steven; Cui, Yi</t>
  </si>
  <si>
    <t>Ultrathin Two-Dimensional Atomic Crystals as Stable Interfacial Layer for Improvement of Lithium Metal Anode</t>
  </si>
  <si>
    <t>Stable cycling of lithium metal anode is challenging due to the dendritic lithium formation and high chemical reactivity of lithium with electrolyte and nearly all the materials. Here, we demonstrate a promising novel electrode design by growing two-dimensional (2D) atomic crystal layers including hexagonal boron nitride (h-BN) and graphene directly on Cu metal current collectors. Lithium ions were able to penetrate through the point and line defects of the 2D layers during the electrochemical deposition, leading to sandwiched lithium metal between ultrathin 2D layers and Cu. The 2D layers afford an excellent interfacial protection of Li metal due to their remarkable chemical stability as well as mechanical strength and flexibility, resulting from the strong intralayer bonds and ultrathin thickness. Smooth Li metal deposition without dendritic and mossy Li formation was realized. We showed stable cycling over 50 cycles with Coulombic efficiency similar to 97% in organic carbonate electrolyte with current density and areal capacity up to the practical value of 2.0 mA/cm(2)and 5.0 mAh/cm(2), respectively, which is a significant improvement over the unprotected electrodes in the same electrolyte.</t>
  </si>
  <si>
    <t>; Lee, Hyun-Wook/Q-9222-2016; Yao, Hong-Bin/AAF-9517-2019; Liang, Zheng/GNP-3274-2022; Wang, Haotian/Y-4976-2019; Yan, Kai/L-1740-2015; Liu, Zhong/P-2974-2014; zheng, guangyuan/K-6931-2014; Lu, Zhenda/B-2346-2010; Cui, Yi/L-5804-2013</t>
  </si>
  <si>
    <t>Wang, Haotian/0000-0002-3552-8978; Lee, Hyun-Wook/0000-0001-9074-1619; Liang, Zheng/0000-0001-9137-0338; Lu, Zhenda/0000-0002-9616-8814;</t>
  </si>
  <si>
    <t>10.1021/nl503125u</t>
  </si>
  <si>
    <t>WOS:000343016400082</t>
  </si>
  <si>
    <t>Zhang, LL; Ma, YL; Cheng, XQ; Zuo, PJ; Cui, YZ; Guan, T; Du, CY; Gao, YZ; Yin, GP</t>
  </si>
  <si>
    <t>Zhang, Lingling; Ma, Yulin; Cheng, Xinqun; Zuo, Pengjian; Cui, Yingzhi; Guan, Ting; Du, Chunyu; Gao, Yunzhi; Yin, Geping</t>
  </si>
  <si>
    <t>Enhancement of high voltage cycling performance and thermal stability of LiNi1/3Co1/3Mn1/3O2 cathode by use of boron-based additives</t>
  </si>
  <si>
    <t>The effects of lithium bisoxalatoborate (LiBOB) and lithium difluorooxalatoborate (LiDFOB) as electrolyte additives on the high voltage cycling performance of lithium-ion cells are investigated. With traces of 0.2 wt. % LiBOB or 0.5 wt % LiDFOB added, the cycling performance of Li/LiNi1/3Co1/3Mn1/3O2 cells charged to 4.6 V is improved. The electrochemical impedance spectroscopy (EIS) suggests that the additives can decrease impedance. The results of scanning electron microscopy (SEM) of the LiNi1/3Co1/3Mn1/3O2 cathode indicated the existence of this film. X-ray photoelectron spectroscopy (XPS) indicates the additives are justified to modify cathode surface films and suppress electrolyte oxidation reactions on the cathode surface. In addition, differential scanning calorimetric (DSC) studies show that thermal stability of fully charged Li1-xNi1/3Co1/3Mn1/3O2 cathode is improved in the presence of additives. (C) 2014 Elsevier B.V. All rights reserved.</t>
  </si>
  <si>
    <t>; Ma, Yulin/GRO-5114-2022; wang, zm/AAE-1021-2019; zhang, lingling/HDM-2189-2022; Guan, Ting/KDN-5511-2024</t>
  </si>
  <si>
    <t>Xinqun, Cheng/0000-0001-8041-7882;</t>
  </si>
  <si>
    <t>10.1016/j.ssi.2014.06.001</t>
  </si>
  <si>
    <t>WOS:000340303000024</t>
  </si>
  <si>
    <t>Xu, GD; Zhang, YF; Rohan, R; Cai, WW; Cheng, HS</t>
  </si>
  <si>
    <t>Xu, Guodong; Zhang, Yunfeng; Rohan, Rupesh; Cai, Weiwei; Cheng, Hansong</t>
  </si>
  <si>
    <t>Synthesis, Characterization and Battery Performance of A Lithium Poly (4-vinylphenol) Phenolate Borate Composite Membrane</t>
  </si>
  <si>
    <t>We report synthesis of lithium poly (4-vinylphenol) phenolate borate (LiPVPPB) single-ion conductor comprised of boron atoms with sp(3) electronic configuration covalently bonded to a polystyrene backbone with high thermal and electrochemical stability. The highly delocalized anionic charges surrounding the boron atoms in the polymer give rise to weak association with lithium ions in the polymer matrix, resulting in an ion transference number close to unity and remarkably high ionic conductivity. A composite membrane blended with LiPVPPB and poly(vinylidene-fluoride-co-hexafluoropropene) (PVDF-HFP) was fabricated. The battery of the electrolyte displays excellent cyclability with nearly 100% coulombic efficiency over a wide temperature range. The superior membrane performance suggests that single ion polymer electrolyte materials are highly promising for safe and high power applications of lithium ion batteries. (C) 2014 Elsevier Ltd. All rights reserved.</t>
  </si>
  <si>
    <t>; XU, GUODONG/G-6250-2014; Xu, Guodong/G-6250-2014; Cheng, Hansong/G-3928-2012; ZHANG, Yunfeng/F-6147-2010</t>
  </si>
  <si>
    <t>Rohan, Dr Rupesh/0000-0001-5296-669X; Cai, Weiwei/0000-0002-7296-2730; Xu, Guodong/0000-0002-0202-145X; ZHANG, Yunfeng/0000-0001-6928-1742</t>
  </si>
  <si>
    <t>10.1016/j.electacta.2014.06.173</t>
  </si>
  <si>
    <t>WOS:000342275200037</t>
  </si>
  <si>
    <t>Kim, H; Grugeon, S; Gachot, G; Armand, M; Sannier, L; Laruelle, S</t>
  </si>
  <si>
    <t>Kim, Huikyong; Grugeon, Sylvie; Gachot, Gregory; Armand, Michel; Sannier, Lucas; Laruelle, Stephane</t>
  </si>
  <si>
    <t>Ethylene bis-carbonates as telltales of SEI and electrolyte health, role of carbonate type and new additives</t>
  </si>
  <si>
    <t>The ethylene bis-carbonate compounds formation is responsible for the earliest change in electrolyte composition which can be one of the reasons for battery performance decay. In this study, liquid GC/MS technique is used to detect their formation in electrolytes based on solvent mixtures of EC and different linear carbonates (DMC, DEC and EMC), after the first cycle in full cells composed of synthetic graphite powder/commercial positive films. These compounds stem from linear carbonate electrochemical reduction leading to alkoxide compounds and can be quantified using a selective bicyclic boron ester Lewis acid as an electrolyte additive. Moreover, a quantitative study on ethylene his-carbonate compounds for which the generation profile is different depending on the linear carbonate type, shows that either in batteries or in a simple chemical mixture of electrolyte and lithium alkoxide, their formation stops when it reaches a threshold concentration due to the thermodynamic equilibrium. The overall information is useful for investigating the passivation ability and the dissolution of the Solid Electrolyte Interphase (SE!) that is formed on the negative electrode material. Finally, the passivation property of the SEI freshly formed with four additives - Vinylene Carbonate (VC), Vinyl Ethylene Carbonate (VEC), Fluor Ethylene Carbonate (FEC) and 1,3-Propane Sultone (1,3-PS)- is studied. (C) 2014 Elsevier Ltd. All rights reserved.</t>
  </si>
  <si>
    <t>Armand, Michel/HMV-0633-2023</t>
  </si>
  <si>
    <t>10.1016/j.electacta.2014.05.072</t>
  </si>
  <si>
    <t>WOS:000340320800020</t>
  </si>
  <si>
    <t>Zhang, YF; Sun, YB; Xu, GD; Cai, WW; Rohan, R; Lin, A; Cheng, HS</t>
  </si>
  <si>
    <t>Zhang, Yunfeng; Sun, Yubao; Xu, Guodong; Cai, Weiwei; Rohan, Rupesh; Lin, An; Cheng, Hansong</t>
  </si>
  <si>
    <t>Lithium-Ion Batteries with a Wide Temperature Range Operability Enabled by Highly Conductive sp3 Boron-Based Single Ion Polymer Electrolytes</t>
  </si>
  <si>
    <t>We report excellent operability of Li-ion batteries equipped with selected sp(3) boron-based single-ion polymer electrolyte membranes (SIPEs) in the temperature range of 25-100 degrees C. The high performance of the batteries is attributed to the high ionic conductivity of the SIPEs, superior interfacial contacts between the SIPE membranes and the electrodes, and the sizes of the mesopores in the membranes being appropriate for ion transport. It is demonstrated that the use of organic solvents in the SIPE membranes does not lead to apparent molecular decomposition in the batteries even at temperatures as high as 100 degrees C, which underscores the exceptional performance of the SIPE membranes for safe operation of Li-ion batteries with excellent thermal and electrochemical stability. The intrinsic flexibility of the membranes enables this class of materials to be used in thin and flexible battery devices.</t>
  </si>
  <si>
    <t>Xu, Guodong/G-6250-2014; ZHANG, Yunfeng/F-6147-2010; Cheng, Hansong/G-3928-2012; XU, GUODONG/G-6250-2014</t>
  </si>
  <si>
    <t>Xu, Guodong/0000-0002-0202-145X; ZHANG, Yunfeng/0000-0001-6928-1742; Cai, Weiwei/0000-0002-7296-2730;</t>
  </si>
  <si>
    <t>10.1002/ente.201402010</t>
  </si>
  <si>
    <t>WOS:000338421600008</t>
  </si>
  <si>
    <t>Huang, YF; Wu, PF; Zhang, MQ; Ruan, WH; Giannelis, EP</t>
  </si>
  <si>
    <t>Huang, Yi-Fu; Wu, Peng-Fei; Zhang, Ming-Qiu; Ruan, Wen-Hong; Giannelis, Emmanuel P.</t>
  </si>
  <si>
    <t>Boron cross-linked graphene oxide/polyvinyl alcohol nanocomposite gel electrolyte for flexible solid-state electric double layer capacitor with high performance</t>
  </si>
  <si>
    <t>A new family of boron cross-linked graphene oxide/polyvinyl alcohol (GO-B-PVA) nanocomposite gels is prepared by freeze-thaw/boron cross-linking method. Then the gel electrolytes saturated with KOH solution are assembled into electric double layer capacitors (EDLCs). Structure, thermal and mechanical properties of GO-B-PVA are explored. The electrochemical properties of EDLCs using GO-B-PVA/KOH are investigated, and compared with those using GO-PVA/KOH gel or KOH solution electrolyte. FTIR shows that boron cross-links are introduced into GO-PVA, while the boronic structure inserted into agglomerated GO sheets is demonstrated by DMA analysis. The synergy effect of the GO and the boron crosslinking benefits for ionic conductivity due to unblocking ion channels, and for improvement of thermal stability and mechanical properties of the electrolytes. Higher specific capacitance and better cycle stability of EDLCs are obtained by using the GO-B-PVA/KOH electrolyte, especially the one at higher GO content. The nanocomposite gel electrolytes with excellent electrochemical properties and solid-like character are candidates for the industrial application in high-performance flexible solid-state EDLCs. (C) 2014 Elsevier Ltd. All rights reserved.</t>
  </si>
  <si>
    <t>Huang, Yifu/AAB-7541-2021; Wu, Pengfei/GPT-2574-2022; Giannelis, Emmanuel/F-6434-2011</t>
  </si>
  <si>
    <t>JUN 20</t>
  </si>
  <si>
    <t>10.1016/j.electacta.2014.03.151</t>
  </si>
  <si>
    <t>WOS:000337209600015</t>
  </si>
  <si>
    <t>Scheers, J; Fantini, S; Johansson, P</t>
  </si>
  <si>
    <t>Scheers, Johan; Fantini, Sebastien; Johansson, Patrik</t>
  </si>
  <si>
    <t>A review of electrolytes for lithium-sulphur batteries</t>
  </si>
  <si>
    <t>To optimize the electrolyte is one of the most important directions to take in order to improve the Li/S battery in terms of performance - especially cell cyclability, rate capability, safety, and life-span. In this review we examine the state of the art for different choices of electrolytes; concepts, design, and materials, and how the resulting chemical and physical properties of the electrolyte affect the overall Li/S battery performance. The objective is to create an overall assessment of electrolytes in use at present and to provide a thorough basis for rational selection of future electrolytes for Li/S batteries. (C) 2014 Elsevier B.V. All rights reserved.</t>
  </si>
  <si>
    <t>Scheers, Johan/A-7990-2010; Fantini, Sébastien/AAM-8966-2021; Fantini, Sebastien/B-1015-2011; Johansson, Patrik/A-7660-2010</t>
  </si>
  <si>
    <t>Fridner (Scheers), Johan/0000-0001-5048-4355; Fantini, Sebastien/0000-0003-0695-836X; Johansson, Patrik/0000-0002-9907-117X</t>
  </si>
  <si>
    <t>10.1016/j.jpowsour.2014.01.023</t>
  </si>
  <si>
    <t>WOS:000332436400027</t>
  </si>
  <si>
    <t>Carter, TJ; Mohtadi, R; Arthur, TS; Mizuno, F; Zhang, RG; Shirai, S; Kampf, JW</t>
  </si>
  <si>
    <t>Carter, Tyler J.; Mohtadi, Rana; Arthur, Timothy S.; Mizuno, Fuminori; Zhang, Ruigang; Shirai, Soichi; Kampf, Jeff W.</t>
  </si>
  <si>
    <t>Boron Clusters as Highly Stable Magnesium-Battery Electrolytes</t>
  </si>
  <si>
    <t>Boron clusters are proposed as a new concept for the design of magnesium-battery electrolytes that are magnesium-battery-compatible, highly stable, and noncorrosive. A novel carborane-based electrolyte incorporating an unprecedented magnesium-centered complex anion is reported and shown to perform well as a magnesium-battery electrolyte. This finding opens a new approach towards the design of electrolytes whose likelihood of meeting the challenging design targets for magnesium-battery electrolytes is very high.</t>
  </si>
  <si>
    <t>MOHTADI, RANA/AAF-7063-2021; zhang, ruigang/H-7317-2014</t>
  </si>
  <si>
    <t>MAR 17</t>
  </si>
  <si>
    <t>10.1002/anie.201310317</t>
  </si>
  <si>
    <t>WOS:000332747700022</t>
  </si>
  <si>
    <t>Aydin, H; Bozkurt, A</t>
  </si>
  <si>
    <t>Aydin, Hamide; Bozkurt, Ayhan</t>
  </si>
  <si>
    <t>Nanocomposite polymer electrolytes comprising PVA-graft-PEGME/TiO2 for Li-ion batteries</t>
  </si>
  <si>
    <t>The present work investigates inorganic-organic nanocomposite polymer electrolytes (NCPEs) for lithium-ion battery applications. Nanoscale TiO2 particles were dispersed into boron comprising poly(vinyl alcohol) (PVA)-g-poly(ethylene glycol) methyl ether (PEGME) host polymer at several percentages. During preparation, nanocomposite matrices were doped with CF3SO3Li at several compositions and homogeneous soft solid materials were obtained. The interactions between host copolymer and inorganic additive and dopant were studied by Fourier transform infrared spectroscopy. The surface morphology of the NCPEs was investigated by scanning electron microscopy and their thermal properties were studied by thermogravimetric analysis and differential scanning calorimetry. The ionic conductivity of these novel NCPEs was studied by dielectric-impedance spectroscopy. High ambient temperature Li+ ion conducting (similar to 10(-4) S/cm) NCPE matrices can be suggested for lithium battery applications.</t>
  </si>
  <si>
    <t>Aydın, Hamide/AAX-1871-2020; Bozkurt, Ayhan/AAH-4466-2021</t>
  </si>
  <si>
    <t>Aydin, Hamide/0000-0002-8267-2040</t>
  </si>
  <si>
    <t>10.1557/jmr.2014.31</t>
  </si>
  <si>
    <t>WOS:000337189900003</t>
  </si>
  <si>
    <t>Sveinbjörnsson, D; Blanchard, D; Myrdal, JSG; Younesi, R; Viskinde, R; Riktor, MD; Norby, P; Vegge, T</t>
  </si>
  <si>
    <t>Sveinbjornsson, Dadi; Blanchard, Didier; Myrdal, Jon Steinar Gardarsson; Younesi, Reza; Viskinde, Rasmus; Riktor, Marit Dalseth; Norby, Poul; Vegge, Tejs</t>
  </si>
  <si>
    <t>Ionic conductivity and the formation of cubic CaH2 in the LiBH4-Ca(BH4)2 composite</t>
  </si>
  <si>
    <t>LiBH4-Ca(BH4)(2) composites were prepared by ball milling. Their crystal structures and phase composition were investigated using synchrotron X-ray diffraction and Rietveld refinement, and their ionic conductivity was measured using impedance spectroscopy. The materials were found to form a physical mixture. The composites were composed of alpha-Ca(BH4)(2), gamma-Ca(BH4)2 and orthorhombic LiBH4, and the relative phase quantities of the Ca(BH4)(2) Polymorphs varied significantly with LiBH4 content. The formation of small amounts of orthorhombic CaH2 and cubic CaH2 in a CaF2-like structure was observed upon heat treatment. Concurrent formation of elemental boron may also occur. The ionic conductivity of the composites was measured using impedance spectroscopy, and was found to be lower than that of ball milled LiBH4. Electronic band structure calculations indicate that cubic CaH2 with hydrogen defects is electronically conducting. Its formation along with the possible precipitation of boron therefore has an effect on the measured conductivity of the LiBH4-Ca(BH4)(2) composites and may increase the risk of an internal short-circuit in the cells. (C) 2013 Elsevier Inc. All rights reserved.</t>
  </si>
  <si>
    <t>Myrdal, Jon/M-3782-2014; Vegge, Tejs/A-9419-2011; Younesi, Reza/K-9003-2012; Norby, Poul/B-9047-2014; Blanchard, Didier/G-9006-2012</t>
  </si>
  <si>
    <t>Norby, Poul/0000-0002-2590-7050; Younesi, Reza/0000-0003-2538-8104; Vegge, Tejs/0000-0002-1484-0284; Blanchard, Didier/0000-0001-7777-2891</t>
  </si>
  <si>
    <t>10.1016/j.jssc.2013.12.006</t>
  </si>
  <si>
    <t>WOS:000331686400012</t>
  </si>
  <si>
    <t>Ge, CH; Wang, LX; Xue, LL; Wu, ZS; Li, HH; Gong, ZL; Zhang, XD</t>
  </si>
  <si>
    <t>Ge, Chunhua; Wang, Lixia; Xue, Lili; Wu, Zhong-Shuai; Li, Hehe; Gong, Zailin; Zhang, Xiang-Dong</t>
  </si>
  <si>
    <t>Synthesis of novel organic-ligand-doped sodium bis(oxalate)-borate complexes with tailored thermal stability and enhanced ion conductivity for sodium ion batteries</t>
  </si>
  <si>
    <t>A series of novel organic-ligand-doped sodium bis(oxalate)-borate complexes, including sodium bis [salicylato(2-)]-borate (NBSB), sodium[salicylato benzenediol]borate (NBDSB), sodium bis[oxalate]borate (NBOB) and its derivatives NBOB(C2H2O4)(0.2), NBOB(C7H4O3)(0.2), NBOB(C7H4O3)(0.6), NBOB(C6H6O2)(0.6) and NBOB(C6H6O2)(0.3) fabricated by solid-state reaction are firstly developed as new-type electrolytes for sodium ion batteries. These resulting sodium boron salts possess good solubility in an abroad range of organic solvents (such as PC, AN, DMF, PC + AN, PC + DMF), tailored thermal stability from 300 to 353 degrees C, improved ion conductivity (&gt;1 x 10(-3) S cm(-1)), environmental friendliness and low cost. Therefore, we believe that these new-type sodium boron salts show great potential as a new class of electrolyte for high-performance sodium ion batteries. (C) 2013 Elsevier B.V. All rights reserved.</t>
  </si>
  <si>
    <t>Zhang, Xiangdong/L-7197-2019; li, he/ISB-4278-2023; Wu, Zhong-Shuai/F-1978-2014</t>
  </si>
  <si>
    <t>Wu, Zhong-Shuai/0000-0003-1851-4803</t>
  </si>
  <si>
    <t>10.1016/j.jpowsour.2013.09.044</t>
  </si>
  <si>
    <t>WOS:000330551000010</t>
  </si>
  <si>
    <t>Zhu, JJ; Guo, YS; Yang, J; Nuli, Y; Zhang, F; Wang, JL; Hirano, S</t>
  </si>
  <si>
    <t>Zhu, Jinjie; Guo, Yongsheng; Yang, Jun; Nuli, Yanna; Zhang, Fan; Wang, Jiulin; Hirano, Shin-ichi</t>
  </si>
  <si>
    <t>Halogen-free boron based electrolyte solution for rechargeable magnesium batteries</t>
  </si>
  <si>
    <t>halogen containing electrolytes for Mg battery are apt to corrode conventional metal current collectors. In this paper, a new type of halogen-free boron based electrolyte (Mg[Mes(3)BPh](2)/THF) is designed and prepared. Electrochemical tests show that this electrolyte system possesses high ion conductivity (1.5 x 10(-3) S cm(-1)) and good Mg deposition-dissolution reversibility. More importantly, the same electrochemical window (2.6 V vs. Mg RE) of the electrolyte on Pt and stainless steel electrodes indicates that halogen-free electrolyte indeed lessens the corrosion to conventional metal current collectors. The surface morphologies of stainless steel, aluminum and copper are further observed after their anodic potentiostatic polarization in 0.25 mol L-1 Mg[Mes(3)BPh](2)/THE electrolyte solution for 2 days. A comparison with halogen containing electrolytes proves that the presence of halogen in electrolyte is the reason for corrosion. This work provides a stepping stone for developing new halogen-free electrolyte systems for rechargeable Mg batteries. (C) 2013 Elsevier B.V. All rights reserved.</t>
  </si>
  <si>
    <t>yang, jun/GQH-0635-2022; Wang, Jiulin/G-2694-2010</t>
  </si>
  <si>
    <t>10.1016/j.jpowsour.2013.09.124</t>
  </si>
  <si>
    <t>WOS:000330551000089</t>
  </si>
  <si>
    <t>Reddy, VP; Blanco, M; Bugga, R</t>
  </si>
  <si>
    <t>Reddy, V. Prakash; Blanco, Mario; Bugga, Ratnakumar</t>
  </si>
  <si>
    <t>Boron-based anion receptors in lithium-ion and metal-air batteries</t>
  </si>
  <si>
    <t>Boron-based anion receptors, widely used as biosensors, are currently being explored as electrolyte-additives in lithium ion batteries and metal-air batteries, towards the goal of realizing high voltage, high energy density batteries. The potential advantage of the boron-based anion receptors as electrolyte-additives is to improve the lithium ion or metal-air battery cell cycle performance, and increase lithium ion transference numbers and ionic conductivity. These anion receptors also have unique characteristics that facilitate in maintaining a stable solid electrolyte interface (SEI) at the electrode surface. In this comprehensive review, we have outlined the synthesis, computational studies, and applications of various classes of boron-based anion receptors in lithium ion and metal-air batteries. (C) 2013 Elsevier B.V. All rights reserved.</t>
  </si>
  <si>
    <t>Bugga, Ratnakumar/JFT-1042-2023</t>
  </si>
  <si>
    <t>Blanco, Mario/0000-0002-9852-2231</t>
  </si>
  <si>
    <t>10.1016/j.jpowsour.2013.09.028</t>
  </si>
  <si>
    <t>WOS:000328177000107</t>
  </si>
  <si>
    <t>Freiberg, A; Metzger, M; Haering, D; Bretzke, S; Puravankara, S; Nilges, T; Stinner, C; Marino, C; Gasteiger, HA</t>
  </si>
  <si>
    <t>Freiberg, A.; Metzger, M.; Haering, D.; Bretzke, S.; Puravankara, S.; Nilges, T.; Stinner, C.; Marino, C.; Gasteiger, H. A.</t>
  </si>
  <si>
    <t>Anodic Decomposition of Trimethylboroxine as Additive for High Voltage Li-Ion Batteries</t>
  </si>
  <si>
    <t>Trimethylboroxine (TMB) is used as an additive in the electrolyte for improving the performance of LiCoPO4 (LCP) in Li-ion batteries. In this work, the role and behavior of TMB are investigated by cyclic voltammetry (CV), impedance spectroscopy (EIS) and on line electrochemical mass spectroscopy (OEMS). It was found that TMB oxidizes from 4.6 V and a low amount in the electrolyte is necessary to obtain good performance. On one hand, its oxidation produces boron trifluoride (BF3), phosphorylfluoride (POF3) and carbanion (CH3-) linked to a huge increase in impedance. Based on these results, a complete oxidation mechanism is proposed. The catalytic effect of the TMB decomposition products on carbonate polymerization could enhance the performance of LCP. On the other hand, an unexplained water and/or HF release was detected. Further experiments need to be done. (C) The Author(s) 2014. Published by ECS. This is an open access article distributed under the terms of the Creative Commons Attribution 4.0 License (CC BY, http://creativecommons.org/licenses/by/4.0/), which permits unrestricted reuse of the work in any medium, provided the original work is properly cited. All rights reserved.</t>
  </si>
  <si>
    <t>; Metzger, Michael/K-5795-2019; Freiberg, Anna/AAW-2661-2020; Nilges, Tom/Q-3035-2019; Puravankara, Sreeraj/AAN-4814-2020; Gasteiger, Hubert/Y-8338-2019</t>
  </si>
  <si>
    <t>Stinner, Christoph/0000-0001-6702-3838; Metzger, Michael/0000-0002-5512-8541; Freiberg, Anna T.S./0000-0002-7885-7632; Nilges, Tom/0000-0003-1415-4265; Puravankara, Sreeraj/0000-0002-9238-0148; Haering, Dominik/0000-0002-1749-679X; Gasteiger, Hubert/0000-0001-8199-8703; Abdul Latip, Ahmad Faiz/0000-0003-1450-0519</t>
  </si>
  <si>
    <t>A2255</t>
  </si>
  <si>
    <t>A2261</t>
  </si>
  <si>
    <t>10.1149/2.0011501jes</t>
  </si>
  <si>
    <t>WOS:000345975500046</t>
  </si>
  <si>
    <t>Ling, C; Mizuno, F</t>
  </si>
  <si>
    <t>Ling, Chen; Mizuno, Fuminori</t>
  </si>
  <si>
    <t>Boron-doped graphene as a promising anode for Na-ion batteries</t>
  </si>
  <si>
    <t>The Na-ion battery has recently gained a lot of interest as a low-cost alternative to the current Li-ion battery technology. Its feasibility strongly depends on the development of suitable electrode materials. In the present work we propose a novel anode candidate, boron-doped graphene, for the Na-ion battery. Our first-principles calculations demonstrate that the sodiation of boron-doped graphene well preserves its structural integrity. The 2D-BC3 anode has the average sodiation voltage of 0.44 V in an appropriate range to avoid the safety concerns caused by the formation of dendritic deposits. The capacity of the 2D-BC3 anode reaches similar to 2.04 times that of the graphite anode in a Li-ion battery and similar to 2.52 times that of hard carbon in a Na-ion battery. The high electronicmobility and Na mobility on boron-doped graphene indicates that it has a high potential to reach good rate performance. These suggest the promising potential of boron-doped graphene to serve as an anode for a rechargeable Na-ion battery.</t>
  </si>
  <si>
    <t>Ling, Chen/HGE-0857-2022</t>
  </si>
  <si>
    <t>10.1039/c4cp01045k</t>
  </si>
  <si>
    <t>WOS:000336781500016</t>
  </si>
  <si>
    <t>Niu, YQ; Wu, Z; Du, JL; Pu, CH</t>
  </si>
  <si>
    <t>Niu, Yongqiang; Wu, Zhu; Du, Junlin; Pu, Chaohui</t>
  </si>
  <si>
    <t>Discharge behavior of Li-Mg-B alloy/MnO2 couples with LiNO3-KNO3-Mg(OH)NO3 eutectic electrolyte</t>
  </si>
  <si>
    <t>A novel LiNO3-KNO3-Mg(OH)NO3 ternary molten salt system is used as electrolyte with Li-Mg-B alloy/MnO2 couples for possible use as a power source for geothermal borehole applications. Chemical-compatibility studies of these materials are conducted using simultaneous differential thermal analysis (DTA) and thermo gravimetric analysis (TGA). The ionic conductivity of the new electrolyte has been evaluated by electrochemical impedance spectroscopy (EIS) and its value range from 0.107 to 0.457 Scm(-1) in the temperature range from 150 to 300 degrees C. The discharge behavior of the system is studied over a temperature range of 150 to 300 degrees C at current densities from 10 to 30 mA cm(-2). At 200 to 300 degrees C, discharge behavior seems unaffected by discharge rate. However, the system has some specific restrictions associated with temperature. (C) 2013 Elsevier Ltd. All rights reserved.</t>
  </si>
  <si>
    <t>Niu, Yongqiang/G-5091-2018</t>
  </si>
  <si>
    <t>10.1016/j.electacta.2013.11.030</t>
  </si>
  <si>
    <t>WOS:000331424300082</t>
  </si>
  <si>
    <t>Niu, YQ; Wu, Z; Du, JL; Duan, WY</t>
  </si>
  <si>
    <t>Niu, Yongqiang; Wu, Zhu; Du, Junlin; Duan, Weiyuan</t>
  </si>
  <si>
    <t>A new thermal battery for powering borehole equipment: The discharge performance of Li-Mg-B alloy/LiNO3-KNO3/MnO2 cells at high temperatures</t>
  </si>
  <si>
    <t>There is interest in developing a suitable battery system that can be used at temperatures of 250 degrees C or less to power instrumentation used in oil/gas and geothermal boreholes. The discharge performance of MnO2 cathodes with Li-Mg-B alloy anodes is examined using the LiNO3-KNO3 eutectic electrolyte over a temperature range of 150 degrees C-300 degrees C at current densities from 10 to 30 mA cm(-2). In this study, we find that the cell can be activated at 150 degrees C and operate within the desired temperature range without any indication of possible hazards. However, we did observe that temperature and current density significantly affected cell capacity and voltage. Overall, the Li-Mg-B alloy/LiNO3-KNO3/MnO2 system shows great potential for powering instrumentation used in oil/gas and geothermal boreholes. (C) 2013 Elsevier B.V. All rights reserved.</t>
  </si>
  <si>
    <t>10.1016/j.jpowsour.2013.06.140</t>
  </si>
  <si>
    <t>WOS:000325234500068</t>
  </si>
  <si>
    <t>Sen, S; Moses, K; Bhattacharyya, AJ; Rao, CNR</t>
  </si>
  <si>
    <t>Sen, Sudeshna; Moses, Kota; Bhattacharyya, Aninda J.; Rao, C. N. R.</t>
  </si>
  <si>
    <t>Excellent Performance of Few-Layer Borocarbonitrides as Anode Materials in Lithium-Ion Batteries</t>
  </si>
  <si>
    <t>Borocarbonitrides (BxCyNz) with a graphene-like structure exhibit a remarkable high lithium cyclability and current rate capability. The electrochemical performance of the BxCyNz materials, synthesized by using a simple solid-state synthesis route based on urea, was strongly dependent on the composition and surface area. Among the three compositions studied, the carbon-rich compound B0.15C0.73N0.12 with the highest surface area showed an exceptional stability (over 100cycles) and rate capability over widely varying current density values (0.05-1Ag(-1)). B0.15C0.73N0.12 has a very high specific capacity of 710mAhg(-1) at 0.05Ag(-1). With the inclusion of a suitable additive in the electrolyte, the specific capacity improved drastically, recording an impressive value of nearly 900mAhg(-1) at 0.05Ag(-1). It is believed that the solid-electrolyte interphase (SEI) layer at the interface of BxCyNz and electrolyte also plays a crucial role in the performance of the BxCyNz .</t>
  </si>
  <si>
    <t>Sen, Sudeshna/0000-0002-8100-8447</t>
  </si>
  <si>
    <t>10.1002/asia.201301037</t>
  </si>
  <si>
    <t>WOS:000328501400014</t>
  </si>
  <si>
    <t>Yoo, E; Zhou, HS</t>
  </si>
  <si>
    <t>Yoo, Eunjoo; Zhou, Haoshen</t>
  </si>
  <si>
    <t>Hybrid electrolyte Li-air rechargeable batteries based on nitrogen- and phosphorus-doped graphene nanosheets</t>
  </si>
  <si>
    <t>Nitrogen doped GNSs (N-doped GNSs) and phosphorus doped GNSs (P-doped GNSs) are examined as cathode electrodes for hybrid electrolyte Li-air batteries under basic conditions. The N-doped GNSs not only show a high discharge voltage that is near that of 20 wt% Pt/carbon black, but also provide better rate performance in the discharge process than that of the P-doped GNSs.</t>
  </si>
  <si>
    <t>Zhou, Haoshen/O-8440-2018; Yoo, Eunjoo/M-5509-2018</t>
  </si>
  <si>
    <t>Yoo, Eunjoo/0000-0002-4858-7934</t>
  </si>
  <si>
    <t>10.1039/c4ra00809j</t>
  </si>
  <si>
    <t>WOS:000332485000059</t>
  </si>
  <si>
    <t>Yu, YX</t>
  </si>
  <si>
    <t>Yu, Yang-Xin</t>
  </si>
  <si>
    <t>A dispersion-corrected DFT study on adsorption of battery active materials anthraquinone and its derivatives on monolayer graphene and h-BN</t>
  </si>
  <si>
    <t>9,10-Anthraquinone (AQ) and its derivatives, i.e., benzofuro[5,6-b] furan-4,8-dione (BFFD), benzo[1,2-b: 4,5-b'] dithiophene-4,8-dione (BDTD) and pyrido[3,4-g] isoquinoline-5,10-dione (PID), are environmentally friendly and cheap electrode materials. However, their significant solubility in electrolyte solutions limits the cycle performance of lithium-ion batteries. In this work a comparative investigation of these four organic molecules adsorbed on monolayer graphene and hexagonal boron nitride (h-BN) has been carried out using van der Waals (vdW) dispersion-corrected density-functional theory (DFT). The calculated results indicate that the vdW dispersion contributes to more than 80% of the total attractive interaction for all the complexes studied. The binding energies range from 1.06 to 1.31 eV, showing strong physisorption. The calculated binding energies of the four organic molecules are in the order: BFFD &lt; BDTD &lt; AQ &lt; PID on monolayer graphene and BFFD &lt; BDTD &lt; PID &lt; AQ on monolayer h-BN. The physisorption causes a work function shift relative to the isolated graphene or h-BN nanosheet in the order: AQ &lt; BDTD &lt; BFFD &lt; PID on both the graphene and h-BN nanosheets. This sequence is dominated by the work functions of the four organic molecules. The strong physisorption suggests that the solubility of the four organic compounds in the electrolyte solutions can be reduced by binding them to a graphene or h-BN nanosheet, making the organic compound-graphene or organic compound-h-BN composite a promising electrode material for lithium-ion batteries.</t>
  </si>
  <si>
    <t>Yu, Yang-Xin/F-4844-2012</t>
  </si>
  <si>
    <t>Yu, Yang-Xin/0000-0002-7677-3427</t>
  </si>
  <si>
    <t>10.1039/c4ta00103f</t>
  </si>
  <si>
    <t>WOS:000336848600045</t>
  </si>
  <si>
    <t>Zhang, YF; Rohan, R; Sun, YB; Cai, WW; Xu, GD; Lin, A; Cheng, HS</t>
  </si>
  <si>
    <t>Zhang, Yunfeng; Rohan, Rupesh; Sun, Yubao; Cai, Weiwei; Xu, Guodong; Lin, An; Cheng, Hansong</t>
  </si>
  <si>
    <t>A gel single ion polymer electrolyte membrane for lithium-ion batteries with wide-temperature range operability</t>
  </si>
  <si>
    <t>We report excellent operability of a lithium-ion battery with a gel membrane of an sp(3) boron-based single ion polymer, lithium poly(1,2,3,4-butanetetracarboxylic acid borate) (LiPBAB), as the electrolyte. The battery exhibits outstanding performance in a wide temperature range of 25-100 degrees C with high ionic conductivity of 2.9 x 10(-4) S cm(-1), high electrochemical stability of 4.3 V, a large cationic transference number t(+) of 0.89 and an excellent mechanical strength of 33 MPa at room temperature. The remarkable cyclic stability of the battery at 100 degrees C demonstrates exceptional device safety enabled by the electrolyte membrane.</t>
  </si>
  <si>
    <t>; XU, GUODONG/G-6250-2014; Cheng, Hansong/G-3928-2012; ZHANG, Yunfeng/F-6147-2010; Xu, Guodong/G-6250-2014</t>
  </si>
  <si>
    <t>Cai, Weiwei/0000-0002-7296-2730; Rohan, Dr Rupesh/0000-0001-5296-669X; ZHANG, Yunfeng/0000-0001-6928-1742; Xu, Guodong/0000-0002-0202-145X</t>
  </si>
  <si>
    <t>10.1039/c4ra02729a</t>
  </si>
  <si>
    <t>WOS:000336833400069</t>
  </si>
  <si>
    <t>Zhu, YS; Xiao, SY; Shi, Y; Yang, YQ; Hou, YY; Wu, YP</t>
  </si>
  <si>
    <t>Zhu, Yusong; Xiao, Shiying; Shi, Yi; Yang, Yaqiong; Hou, Yuyang; Wu, Yuping</t>
  </si>
  <si>
    <t>A Composite Gel Polymer Electrolyte with High Performance Based on Poly(Vinylidene Fluoride) and Polyborate for Lithium Ion Batteries</t>
  </si>
  <si>
    <t>A composite membrane based on electrospun poly(vinylidene fluoride) (PVDF) and lithium polyvinyl alcohol oxalate borate (LiPVAOB) exhibiting high safety (self-extinguishing) and good mechanical property is prepared. The ionic conductivity of the as-prepared gel polymer electrolyte from this composite membrane saturated with 1 mol L-1 LiPF6 electrolyte at ambient temperature can be up to 0.26 mS cm(-1), higher than that of the corresponding well-used commercial separator (Celgard 2730), 0.21 mS cm(-1). Moreover, the lithium ion transference in the gel polymer electrolyte at room temperature is 0.58, twice as that in the commercial separator (0.27). Furthermore, the absorbed electrolyte solvent is difficult to evaporate at elevated temperature. Its electrochemical performance is evaluated by using LiFePO4 cathode. The obtained results suggest that this gel-type composite membrane shows great possibilities for use in large-capacity lithium ion batteries that require high safety.</t>
  </si>
  <si>
    <t>Wu, Yuping/H-1593-2011; HOU, YUYANG/GLU-2492-2022</t>
  </si>
  <si>
    <t>Zhu, Yusong/0000-0002-9264-5054</t>
  </si>
  <si>
    <t>10.1002/aenm.201300647</t>
  </si>
  <si>
    <t>WOS:000330594600012</t>
  </si>
  <si>
    <t>Yoon, Y; Park, C; Kim, J; Shin, D</t>
  </si>
  <si>
    <t>Yoon, Yongsub; Park, Chanhwi; Kim, Junghoon; Shin, Dongwook</t>
  </si>
  <si>
    <t>The mixed former effect in lithium borophosphate oxynitride thin film electrolytes for all-solid-state micro-batteries</t>
  </si>
  <si>
    <t>The mixed former effect of boron and phosphorus is applied to improve chemical stability and electrochemical property of thin film electrolyte based on lithium phosphorus oxynitride (LiPON). This thin film with new composition 'lithium borophosphate oxynitride (LiBPON)' is deposited by RF magnetron sputtering with double targets of Li3PO4 and Li3BO4. When boron content is varied by controlling the RF power on Li3PO4 and Li3BO4 targets, boron ions successfully replace the four-coordinated phosphorus. Raman spectra and N 1s XPS spectra of this new electrolyte reveal that three-coordinated nitrogen atoms (P-N &lt; P) are dominant in glass network, which distinguishes from LiPON films without the B-P mixed former effect. The improved electrochemical properties and chemical stability of LiBPON film endow all-solid-state thin film cells (LiCoO2/LiBPON/Li) excellent cycling performances with the initial capacity of 34.5 mu Ah cm(-2) and the cycling efficiency and 95.3% of its initial capacity. (C) 2013 Elsevier Ltd. All rights reserved.</t>
  </si>
  <si>
    <t>10.1016/j.electacta.2013.08.053</t>
  </si>
  <si>
    <t>WOS:000329531100020</t>
  </si>
  <si>
    <t>Cattaneo, AS; Dupke, S; Schmitz, A; Badillo, JP; Winter, M; Wiggers, H; Eckert, H</t>
  </si>
  <si>
    <t>Cattaneo, Alice Silvia; Dupke, Sven; Schmitz, Andre; Badillo, Juan Pablo; Winter, Martin; Wiggers, Hartmut; Eckert, Hellmut</t>
  </si>
  <si>
    <t>Solid state NMR structural studies of the lithiation of nano-silicon: Effects of charging capacities, host-doping, and thermal treatment</t>
  </si>
  <si>
    <t>The electrochemical lithiation of undoped, P-doped and B-doped nano-silicon particles (100-200 nm diameter) has been studied during the first cycle by ex-situ Li-6 and Li-7 magic angle spinning nuclear magnetic resonance (MAS-NMR) spectroscopy. Samples were charged within pouch cells up to capacities of 4000 mAh/g, at C/40 followed by NMR analysis. The spectra reveal important quantitative information on the local lithium environments during the various stages of the intercalation process. Approximate Li/Si ratios of the lithium silicides present in the nanoparticles can be deduced, based on the initial formation of the SEI layer, which accounts for an irreversible capacity of up to 500 mAh/g. Surface lithium suicide environments with high Li concentrations (corresponding to the composition Li15Si4 are preferentially formed at charging capacities near 1000 mAh/g. At higher charging capacities, irreversible capacity losses are lower and a wide distribution of lithium silicide environments is found, resembling those present in the crystalline phases Li12Si7, Li7Si3, and Li13Si4. At a charging capacity of and above 2000 mAh/g the large majority of silicon is converted to lithiated suicide particles. Boron-doped nano-Si materials behave generally similar, while phosphorus-doping reveals clear beneficial effects, in particular concerning the initial lithiation stages. Both irreversible capacity losses and surface over-lithiation are significantly diminished in these samples. Exposure of lithiated nano-Si samples to elevated temperatures (400-440 K) results in the crystallization of Li7Si3 in all of those nano-Si samples charged with at least 1500 mAh/g. (C) 2013 Elsevier B.V. All rights reserved.</t>
  </si>
  <si>
    <t>Wiggers, Hartmut/N-6463-2013; Winter, Martin/AEY-7433-2022; Eckert, Hellmut/G-3176-2012</t>
  </si>
  <si>
    <t>Wiggers, Hartmut/0000-0001-8487-9937; Winter, Martin/0000-0003-4176-5811</t>
  </si>
  <si>
    <t>10.1016/j.ssi.2013.07.013</t>
  </si>
  <si>
    <t>WOS:000326006900006</t>
  </si>
  <si>
    <t>Fleutot, B; Pecquenard, B; Martinez, H; Levasseur, A</t>
  </si>
  <si>
    <t>Fleutot, B.; Pecquenard, B.; Martinez, H.; Levasseur, A.</t>
  </si>
  <si>
    <t>Lithium borophosphate thin film electrolyte as an alternative to LiPON for solder-reflow processed lithium-ion microbatteries</t>
  </si>
  <si>
    <t>Microbatteries are energy sources well adapted to power various microsystems. To be considered as a microelectronic component, the microbatteries must be compatible with the solder-reflow treatment During this industrial process, the temperature reaches 260 degrees C during few seconds. Having noticed an increase of the activation energy of the most used solid electrolyte lithium phosphate thin film (LiPON) after this type of thermal treatment, from 0.57 eV to 0.80 eV, we have investigated the correlations between composition, local structure (by XPS) and the electrical properties of lithium borophosphate solid electrolyte thin films. The lithium borophosphate thin films were prepared by radio-frequency sputtering using five different targets having the following compositions x LiBO2: (1 - x) Li3PO4 (x = 5, 10, 15, 20 and 25) in a pure argon discharge gas. In the absence of a thermal treatment, the addition of a small amount of boron (B/P ratio equal to 0.1) leads to an increase of the ionic conductivity (1.1 x 10(-6) S.cm(-1)) and a decrease of the activation energy (0.52 eV) compared to a pure lithium phosphate. However, for B/P ratio higher than 0.12, the ionic conductivity decreases, The study of the local structure by X-ray photoelectron spectroscopy (XPS) shows that the borate groups have less reacted with the phosphate groups leading to a phase separation reducing the connectivity between phosphate and borophosphate networks and so the ionic conductivity. The solder-reflow type thermal treatment leads to an increase of the ionic conductivity. The best ionic conductivity, 1.9 x 10(-6) S.cm(-1), is obtained for a B/P ratio equal to 0.24 with an activation energy of 0.57 eV instead of 0.80 eV for the LiPON thin film. For a use of Li-ion microbattery at low temperature after the solder-reflow type thermal treatment, the lithium borophosphate solid electrolyte would be a potential candidate to replace LiPON with several industrial advantages. (C) 2013 Elsevier B.V. All rights reserved.</t>
  </si>
  <si>
    <t>; Pecquenard, Brigitte/U-8352-2017</t>
  </si>
  <si>
    <t>MARTINEZ, HERVE/0000-0002-6621-199X; Pecquenard, Brigitte/0000-0002-8717-119X</t>
  </si>
  <si>
    <t>10.1016/j.ssi.2013.07.009</t>
  </si>
  <si>
    <t>WOS:000326006900007</t>
  </si>
  <si>
    <t>Ishiyama, S; Baba, Y; Fujii, R; Nakamura, M; Imahori, Y</t>
  </si>
  <si>
    <t>Ishiyama, Shintaro; Baba, Yuji; Fujii, Ryo; Nakamura, Masaru; Imahori, Yoshio</t>
  </si>
  <si>
    <t>Thermal Stability of BNCT Neutron Production Target Synthesized by In-Situ Lithium Deposition and Ion Implantation</t>
  </si>
  <si>
    <t>JOURNAL OF THE JAPAN INSTITUTE OF METALS AND MATERIALS</t>
  </si>
  <si>
    <t>To testify thermal stability of the BNCT neutron target synthesized by in-situ lithium deposition and ion implantation, laser heating test of the Li3N/Li/Cu tri-layered target was conducted in high vacuum chamber of 10(-6) Pa and thermal stability of the tri-layered target was characterized by X-ray photoelectron spectroscopy. Following conclusions were derived; (1) The Li3N/Li/Cu tri-layered target with very low oxide and carbon contamination was synthesized by in-situ lithium deposition and ion implantation techniques without H2O and O-2 additions, (2) The starting temperature of evaporation of the Li3N/Li/Cu tri-layered target increased by 120 K compared to that of the Li/Cu target, and (3) Frequent repair synthesis of the damaged Li3N/Li/Cu tri-layered target caused by evaporation is possible.</t>
  </si>
  <si>
    <t>0021-4876</t>
  </si>
  <si>
    <t>1880-6880</t>
  </si>
  <si>
    <t>10.2320/jinstmet.J2013048</t>
  </si>
  <si>
    <t>WOS:000329275500005</t>
  </si>
  <si>
    <t>Çelik, SÜ; Bozkurt, A</t>
  </si>
  <si>
    <t>Celik, Sevim Unugur; Bozkurt, Ayhan</t>
  </si>
  <si>
    <t>PEG crosslinked poly(vinylbenzene boronic acid) polymer electrolytes for Li-ion batteries</t>
  </si>
  <si>
    <t>CURRENT APPLIED PHYSICS</t>
  </si>
  <si>
    <t>Poly(4-vinylbenzeneboronic acid), PVBBA was synthesized via free-radical polymerization of 4-vinylbenzeneboronic acid (4-VBBA) and followed by crosslinking with polyethylene glycol (PEG) with different molecular weights to produce boron containing crosslinked polymers. Prior to crosslinking, the materials were doped with CF3SO3Li at several stoichiometric ratios to get PVBBAPEGX-Y where X is the molecular weight of PEG and Y is the EO/Li ratio. The materials were characterized by using Fourier transform infrared spectroscopy (FT-IR), thermogravimetric analysis (TGA) and differential scanning calorimeter (DSC). The ionic conductivity of these novel crosslinked electrolytes was studied by dielectric-impedance spectroscopy. Li-ion conductivity of these polymer electrolytes depends on the length of the side units as well as the doping ratio. PVBBAPEG200-10 illustrated a satisfactory ionic conductivity of 3.1 x 10(-5) S/cm at 20 degrees C and 1.8 x 10(-3) S/cm at 100 degrees C. (C) 2013 Elsevier B.V. All rights reserved.</t>
  </si>
  <si>
    <t>Bozkurt, Ayhan/G-5963-2017; Bozkurt, Ayhan/AAH-4466-2021</t>
  </si>
  <si>
    <t>Bozkurt, Ayhan/0000-0003-4201-370X;</t>
  </si>
  <si>
    <t>1567-1739</t>
  </si>
  <si>
    <t>10.1016/j.cap.2013.06.009</t>
  </si>
  <si>
    <t>WOS:000324099300020</t>
  </si>
  <si>
    <t>Kaymaksiz, S; Wilhelm, F; Wachtler, M; Wohlfahrt-Mehrens, M; Hartnig, C; Tschernych, I; Wietelmann, U</t>
  </si>
  <si>
    <t>Kaymaksiz, Serife; Wilhelm, Florian; Wachtler, Mario; Wohlfahrt-Mehrens, Margret; Hartnig, Christoph; Tschernych, Irina; Wietelmann, Ulrich</t>
  </si>
  <si>
    <t>Electrochemical stability of lithium salicylato-borates as electrolyte additives in Li-ion batteries</t>
  </si>
  <si>
    <t>A systematic study has been performed for several chelato-borate complexes by combining electrochemical characterization and ab-initio calculations to reveal whether they are appropriate to be used as electrolyte components in Li-ion batteries. The chelato-borates used in this study are lithium bis(oxalato) borate (LiBOB), lithium salicylatooxalatoborate (LiSOB), lithium bis(salicylato)borate (LiBSB), lithium bis(3-methylsalicylato)borate, lithium bis(5-fluorosalicylato)borate, lithium bis(5-chlorosalicylato) borate, lithium bis(5-bromosalicylato)borate, and lithium bis(3,5-dichlorosalicylato)borate. A graphite electrode is chosen to study the cathodic stability, while LiMn2O4 is selected to estimate the anodic stability limits of these chelato-borates. Additionally, the oxidation potentials of these compounds are predicted by employing density functional theory (DFT) calculations. The CV studies of graphite electrodes in these electrolyte mixtures indicate that irreversible reduction of the oxalato and salicylato groups occurs at 1.6-1.8 and 0.9-1.3 V vs. Li/Li+, respectively. Besides, irreversible oxidation of the bis(salicylato)borate anions between 4.3 and 4.8 V vs. Li/Li+ is observed in the CV curves of LiMn2O4 electrodes, depending on the respective ligands around the central boron atom. The theoretical calculations are generally in line with the experimental observations. Furthermore, they help to explain the differences between the oxidation potentials of the anions, which are caused by the different groups that donate the electron and the respective substitution pattern. (C) 2013 Elsevier B.V. All rights reserved.</t>
  </si>
  <si>
    <t>Wohlfahrt-Mehrens, Margret/AAB-1543-2020</t>
  </si>
  <si>
    <t>Wachtler, Mario/0000-0003-1022-1598</t>
  </si>
  <si>
    <t>10.1016/j.jpowsour.2012.12.105</t>
  </si>
  <si>
    <t>WOS:000321314100084</t>
  </si>
  <si>
    <t>Park, MS; Lee, J; Lee, JW; Kim, KJ; Jo, YN; Woo, SG; Kim, YJ</t>
  </si>
  <si>
    <t>Park, Min-Sik; Lee, Jaewoo; Lee, Jong-Won; Kim, Ki Jae; Jo, Yong-Nam; Woo, Sang-Gil; Kim, Young-Jun</t>
  </si>
  <si>
    <t>Tuning the surface chemistry of natural graphite anode by H3PO4 and H3BO3 treatments for improving electrochemical and thermal properties</t>
  </si>
  <si>
    <t>We introduce an effective way to improve the electrochemical and thermal stabilities of natural graphite anodes of lithium ion batteries. Through a thermal decomposition of H3PO4 and H3BO3, phosphorus and boron can be successfully incorporated into the surface of natural graphite by the formation of chemical bonds with carbon. By incorporation of these heteroatoms, the electrochemical stability of natural graphite can be significantly improved, even under severe operating conditions. From the results of various structural and electrochemical analyses, the incorporated heteroatoms are thought to be affecting the physicochemical properties of the solid electrolyte interphase (SEI) by promoting additional Li+ consumption and thus making it more stable. In addition, we found that the heteroatoms also have potential to improve the thermal resistivity of the natural graphite anode. These findings could be helpful for developing natural graphite anodes with a good electrochemical as well as thermal properties for use in lithium ion batteries. (C) 2013 Elsevier Ltd. All rights reserved.</t>
  </si>
  <si>
    <t>Park, Min-Sik/AAK-7261-2020; Lee, Jae/G-7717-2012; Kim, Ki Jae/AEN-2290-2022</t>
  </si>
  <si>
    <t>Park, Min-Sik/0000-0002-3490-2999; Kim, Ki Jae/0000-0002-2166-7467;</t>
  </si>
  <si>
    <t>10.1016/j.carbon.2013.05.065</t>
  </si>
  <si>
    <t>WOS:000322931300031</t>
  </si>
  <si>
    <t>Schedlbauer, T; Rodehorst, UC; Schreiner, C; Gores, HJ; Winter, M</t>
  </si>
  <si>
    <t>Schedlbauer, T.; Rodehorst, U. C.; Schreiner, C.; Gores, H. J.; Winter, M.</t>
  </si>
  <si>
    <t>Blends of lithium bis(oxalato)borate and lithium tetrafluoroborate: Useful substitutes for lithium difluoro(oxalato)borate in electrolytes for lithium metal based secondary batteries?</t>
  </si>
  <si>
    <t>This work was inspired by the observation that some borates exchange their ligands that are attached to boron. Therefore, we investigated the effect of blends of two salts, lithium bis(oxalato)borate (LiBOB), lithium tetrafluoroborate (LiBF4) on lithium cycling on copper with solutions based on ethylene carbonate (EC) and diethyl carbonate (DEC) (3:7, by wt.). Coulombic efficiencies of dissolution rate CD-rate) tests demonstrated an enhanced performance of LiBOB/LiBF4 blend electrolytes compared to the LiBOB-based and LiBF4-based electrolytes, increasing with increasing LiBF4 content. The coulombic efficiencies of the LiBOB/LiBF4 blend electrolyte with highest LiBF4 content reached almost the coulombic efficiencies of the lithium difluoro(oxalato)borate (LiDFOB) based electrolyte at high current densities in D-rate tests. Voltage drop values, conductivity measurements, and AC impedance measurements show the good performance of the LiBOB/LiBF4 blend electrolytes. The composition of the solid electrolyte interphase (SEI) of the LiBOB/LiBF4 blend electrolytes studied by X-ray photoelectron spectroscopy (XPS) becomes more similar to the composition of the SEI of the LiDFOB-based electrolyte with increasing LiBF4 content. Nuclear magnetic resonance (NMR) measurements showed that the formation of LiDFOB from LiBF4 and LiBOB occurs already at room temperature by ligand exchange reactions at the boron atom. Therefore, we conclude that traces of LiDFOB in the LiBOB/LiBF4 blend are responsible for the good performance of blended electrolytes. (C) 2013 Elsevier Ltd. All rights reserved.</t>
  </si>
  <si>
    <t>; Winter, Martin/AEY-7433-2022; Gores, Heiner/D-2857-2009</t>
  </si>
  <si>
    <t>Winter, Martin/0000-0003-4176-5811;</t>
  </si>
  <si>
    <t>10.1016/j.electacta.2013.05.130</t>
  </si>
  <si>
    <t>WOS:000326661200003</t>
  </si>
  <si>
    <t>Joenathan, AT; Mathews, KL; Wirey, M; Beeram, S; Werner-Zwanziger, U; Baker, LA; Carini, JP; Bronstein, LM</t>
  </si>
  <si>
    <t>Joenathan, Anisha T.; Mathews, Kayla L.; Wirey, Michael; Beeram, Srinivas; Werner-Zwanziger, Ulrike; Baker, Lane A.; Carini, John P.; Bronstein, Lyudmila M.</t>
  </si>
  <si>
    <t>Composite polymer electrolytes for lithium ion batteries which contain tricoordinate boron for enhanced conductivity and transference numbers</t>
  </si>
  <si>
    <t>246th National Meeting of the American-Chemical-Society (ACS)</t>
  </si>
  <si>
    <t>SEP 08-12, 2013</t>
  </si>
  <si>
    <t>Indianapolis, IN</t>
  </si>
  <si>
    <t>Amer Chem Soc</t>
  </si>
  <si>
    <t>SEP 8</t>
  </si>
  <si>
    <t>290-COLL</t>
  </si>
  <si>
    <t>WOS:000329618402312</t>
  </si>
  <si>
    <t>Li, XY; Xue, ZM; Zhao, JF; Chen, CH</t>
  </si>
  <si>
    <t>Li, Xiao-Yan; Xue, Zhao-Ming; Zhao, Jun-Fei; Chen, Chun-Hua</t>
  </si>
  <si>
    <t>A new lithium salt with tetrafluoro-1,2-benzenediolato and oxalato complexes of boron for lithium battery electrolytes</t>
  </si>
  <si>
    <t>A new unsymmetrical lithium salt containing C2O42- [dianion of oxalic acid], C6O2F42- [dianion of tetrafluoro-1,2-benzenediol], lithium [tetrafluoro-1,2-benzenediolato(2-)-o,o' oxalato]borate (4FLBDOB) is synthesized and characterized. The thermal characteristics of it, and its derivatives, lithium [3-fluoro-1,2-benzenediolato(2-)-o,o' oxalato]borate (FLBDOB), lithium [1,2-benzenediolato(2-)-O,O' oxalato]borate (LBDOB), and lithium bis[oxalate]borate (LBOB) are examined by thermogravimetric analysis (TG). The thermal decomposition in air begins at 302 degrees C, 272 degrees C, 262 degrees C and 256 degrees C for LBOB, 4FLBDOB, FLBDOB and LBDOB respectively. The order of the stability toward oxidation of these organoborates is LBOB &gt; 4FLBDOB &gt; FLBDOB &gt; LBDOB, which is in the same order of the thermal stability. The cyclic voltammetry study shows that the 4FLBDOB solution in PC is stable up to 4.0 V versus Li+/Li. They are soluble in common organic solvents. Ionic dissociation properties of 4FLBDOB and its derivatives are examined by conductivity measurements in PC + THF, PC + DME, EC + THF, and EC + DME (molar ratio 1:1) solutions. Among the series of LBDOB, FLBDOB and 4FLBDOB, the new lithium salt (4FLBDOB) has the best battery performances. (C) 2013 Elsevier B.V. All rights reserved.</t>
  </si>
  <si>
    <t>; Chen, Chunhua/F-5897-2010</t>
  </si>
  <si>
    <t>Chen, Chunhua/0000-0001-9589-6329;</t>
  </si>
  <si>
    <t>10.1016/j.jpowsour.2013.02.005</t>
  </si>
  <si>
    <t>WOS:000318200300037</t>
  </si>
  <si>
    <t>Chen, HP; Tao, HZ; Wu, QD; Zhao, XJ</t>
  </si>
  <si>
    <t>Chen, Hongping; Tao, Haizheng; Wu, Qide; Zhao, Xiujian</t>
  </si>
  <si>
    <t>Crystallization Kinetics of Superionic Conductive Al(B, La)- Incorporated LiTi2(PO4)3 Glass-Ceramics</t>
  </si>
  <si>
    <t>JOURNAL OF THE AMERICAN CERAMIC SOCIETY</t>
  </si>
  <si>
    <t>For the purpose of developing high-performance glass-ceramic superionic conductor, the controllable precipitation of LiTi2(PO4)(3)-like superionic conducting phase in the Li2OTiO2P2O5 glass system was studied. Al with B or La co-incorporated LiTi2(PO4)(3)-based glass-ceramics were prepared by the crystallization of the corresponding original glasses. Compared with the sole Al-incorporated LiTi2(PO4)(3)-based glass-ceramics, the ionic conductivity shows an increase for the boron co-incorporated one and a decrease for the lanthanum co-incorporated one. Through the further in-depth analysis based on the methods of DSC and X-ray diffractive technique, this opposite change in ion conductivity was ascribed to the alterations of crystallization mechanism together with quantity of crystal phases within the glass-ceramics.. The boron addition promoted the precipitation of LiTi2(PO4)(3) phase and restrained the precipitation of second phase. The highest ionic conductivity 1.3x10(3) S/cm at 25 degrees C was obtained through the heat treatment of B and Al co-incorporated glassy samples at 900 degrees C for 12h. These inorganic solid electrolytes have a potential application in lithium batteries or other electrochemical ionic devices.</t>
  </si>
  <si>
    <t>Zhao, Xiujian/E-1499-2011; Tao, Haizheng/C-9243-2014</t>
  </si>
  <si>
    <t>Tao, Haizheng/0000-0002-5013-837X</t>
  </si>
  <si>
    <t>0002-7820</t>
  </si>
  <si>
    <t>1551-2916</t>
  </si>
  <si>
    <t>10.1111/jace.12094</t>
  </si>
  <si>
    <t>WOS:000316572000021</t>
  </si>
  <si>
    <t>Ge, MY; Rong, JP; Fang, X; Zhang, AY; Lu, YH; Zhou, CW</t>
  </si>
  <si>
    <t>Ge, Mingyuan; Rong, Jiepeng; Fang, Xin; Zhang, Anyi; Lu, Yunhao; Zhou, Chongwu</t>
  </si>
  <si>
    <t>Scalable preparation of porous silicon nanoparticles and their application for lithium-ion battery anodes</t>
  </si>
  <si>
    <t>Nanostructured silicon has generated significant excitement for use as the anode material for lithium-ion batteries; however, more effort is needed to produce nanostructured silicon in a scalable fashion and with good performance. Here, we present a direct preparation of porous silicon nanoparticles as a new kind of nanostructured silicon using a novel two-step approach combining controlled boron doping and facile electroless etching. The porous silicon nanoparticles have been successfully used as high performance lithium-ion battery anodes, with capacities around 1,400 mA center dot h/g achieved at a current rate of 1 A/g, and 1,000 mA center dot h/g achieved at 2 A/g, and stable operation when combined with reduced graphene oxide and tested over up to 200 cycles. We attribute the overall good performance to the combination of porous silicon that can accommodate large volume change during cycling and provide large surface area accessible to electrolyte, and reduced graphene oxide that can serve as an elastic and electrically conductive matrix for the porous silicon nanoparticles.</t>
  </si>
  <si>
    <t>Zhang, Anyi/I-2776-2018; Rong, Jiepeng/T-3591-2019; Zhou, Chongwu/F-7483-2010; Fang, Xin/P-8002-2015; Lu, Yunhao/N-4555-2016</t>
  </si>
  <si>
    <t>10.1007/s12274-013-0293-y</t>
  </si>
  <si>
    <t>WOS:000316087300003</t>
  </si>
  <si>
    <t>Wang, XJ; Liu, ZH; Zhang, CJ; Kong, QS; Yao, JH; Han, PX; Jiang, W; Xu, HX; Cui, GL</t>
  </si>
  <si>
    <t>Wang, Xuejiang; Liu, Zhihong; Zhang, Chuanjian; Kong, Qingshan; Yao, Jianhua; Han, Pengxian; Jiang, Wen; Xu, Hongxia; Cui, Guanglei</t>
  </si>
  <si>
    <t>Exploring polymeric lithium tartaric acid borate for thermally resistant polymer electrolyte of lithium batteries</t>
  </si>
  <si>
    <t>A novel polymeric lithium tartaric acid borate (PLTB) was synthesized via an one-step reaction in aqueous solution. The polymer electrolyte of PLTB@PVDF-HFP (poly(vinylidene fluoride-co-hexafluoropropene)) was developed by a doctor-blading followed by a soaking process in propylene carbonate (PC). It was manifested that the PC swollen PLTB@PVDF-HFP exhibited excellent electrochemical stability and compatibility with lithium metal electrode, high ionic conductivity and high lithium ion transference number at an operating temperature of 80 degrees C. The cells using the PC swollen PLTB@PVDF-HFP as electrolyte showed stable charge/discharge profiles, preferable rate capability and satisfactory cycling performance at high temperature. These superior performances of PC swollen PLTB@PVDF-HFP could endow this class of polymer electrolyte a very promising application in lithium batteries operating at relatively high temperature. (C) 2013 Elsevier Ltd. All rights reserved.</t>
  </si>
  <si>
    <t>Cui, Guanglei/D-4816-2011; Han, Pengxian/D-6159-2011; liu, zhi hong/J-3894-2017; Liu, Zhe/ABE-1056-2020</t>
  </si>
  <si>
    <t>liu, zhi hong/0000-0002-3554-7992;</t>
  </si>
  <si>
    <t>10.1016/j.electacta.2013.01.026</t>
  </si>
  <si>
    <t>WOS:000316520100017</t>
  </si>
  <si>
    <t>Zheng, D; Lee, HS; Yang, XQ; Qu, DY</t>
  </si>
  <si>
    <t>Zheng, Dong; Lee, Hung-Sui; Yang, Xiao-Qing; Qu, Deyang</t>
  </si>
  <si>
    <t>Electrochemical oxidation of solid Li2O2 in non-aqueous electrolyte using peroxide complexing additives for lithium-air batteries</t>
  </si>
  <si>
    <t>Using the anion receptor tris(penftafluorophenyl) borane as an additive to non-aqueous electrolytes, the solubility of solid Li2O2 can be dramatically increased through the Lewis acid-base interaction between boron and peroxide. The complexed boron-peroxide ions can be electrochemically oxidized with much better kinetics than the oxidation of solid Li2O2 on a carbon powder microelectrode. This discovery could lead to a new avenue for the development of high capacity, high rate, rechargeable, Li-Air batteries. (c) 2012 Elsevier B.V. All rights reserved.</t>
  </si>
  <si>
    <t>Zheng, Dong/J-9975-2015</t>
  </si>
  <si>
    <t>Zheng, Dong/0000-0002-5824-3270</t>
  </si>
  <si>
    <t>10.1016/j.elecom.2012.12.003</t>
  </si>
  <si>
    <t>WOS:000315554400005</t>
  </si>
  <si>
    <t>Choi, SH; Kim, JH; Ko, YN; Kang, YC</t>
  </si>
  <si>
    <t>Choi, Seung Ho; Kim, Jung Hyun; Ko, You Na; Kang, Yun Chan</t>
  </si>
  <si>
    <t>Electrochemical Properties of Boron-Doped LiMn2O4 Nanoparticles Covered with Glass Material Prepared by High-Temperature Flame Spray Pyrolysis</t>
  </si>
  <si>
    <t>INTERNATIONAL JOURNAL OF ELECTROCHEMICAL SCIENCE</t>
  </si>
  <si>
    <t>Lithium boron oxide (LBO) glass-modified LiMn2O4 nanoparticles are prepared by high-temperature flame spray pyrolysis. The mean sizes of the pure and 5 wt% glass-modified LiMn2O4 powders are 125 and 175 nm, respectively. In addition, their mean crystallite sizes are 62 and 82 nm, respectively. At a high operating temperature of 60 degrees C and a current density of 1 C, the discharge capacity of the pure LiMn2O4 powders decreases from 143 to 93 mAh g(-1) after 100 cycles, with the capacity retention at 65% of the initial capacity. However, the discharge capacity of the 5 wt% glass-modified LiMn2O4 powders decreases from 123 to 106 mAh g(-1) after 100 cycles, with the capacity retention at 86% of the initial capacity. The LBO glass material covering the LiMn2O4 powders improves their electrochemical properties by decreasing their reactivity with acidic electrolytes. Moreover, the high crystallinity and stabilization effect of boron doping in the spinel structure improves the electrochemical properties of the LBO glass-modified LiMn2O4 powders.</t>
  </si>
  <si>
    <t>; Kim, Jung-Hyun/D-2980-2011; Kang, Yun Chan/H-2457-2015; Kang, Yun/H-2457-2015</t>
  </si>
  <si>
    <t>Choi, Seung Ho/0000-0002-3114-0095; Kang, Yun Chan/0000-0001-5769-5761; Ko, You Na/0000-0002-3622-188X</t>
  </si>
  <si>
    <t>1452-3981</t>
  </si>
  <si>
    <t>WOS:000316562800090</t>
  </si>
  <si>
    <t>Ding, XL; Lu, X; Fu, Z; Li, H</t>
  </si>
  <si>
    <t>Ding, Xingle; Lu, Xia; Fu, Zhengwen; Li, Hong</t>
  </si>
  <si>
    <t>Temperature-dependent lithium storage behavior in tetragonal boron (B50) thin film anode for Li-ion batteries</t>
  </si>
  <si>
    <t>Boron (B) has a high theoretical lithium storage capacity of 3046 mAh g(-1) for forming Li5B4 phase. Li-B alloy has been used in high temperature thermal lithium batteries. In this work, a new tetragonal boron (B-50) thin film with a thickness of 80 nm has been deposited on a vanadium coated glass substrate by a pulse laser deposition (PLD) method. It is found that this electrode film shows only a lithium storage capacity of 43 mAh g(-1) in a nonaqueous electrolyte at room temperature. According to a first-principles calculation, the B-50 is a metallic conductor. Therefore, the very poor activity could be related to poor lithium ion diffusion property since the diffusion barrier in this tetragonal B-50 lattice is calculated as 2.59 eV. This consists well with the fact that the lithium storage capacity in the B-50 thin film is improved significantly to 268 mAh g(-1) at 85 degrees C. (C) 2012 Elsevier Ltd. All rights reserved.</t>
  </si>
  <si>
    <t>; Fu, Zheng-wen/I-5880-2016; LI, Hong/C-4643-2008; Li, Hong/C-4643-2008; Lu, Xia/A-7848-2012</t>
  </si>
  <si>
    <t>Lu, Xia/0000-0003-3504-9069; LI, Hong/0000-0002-8659-086X;</t>
  </si>
  <si>
    <t>10.1016/j.electacta.2012.09.017</t>
  </si>
  <si>
    <t>WOS:000315171100029</t>
  </si>
  <si>
    <t>To testify thermal stability of the BNCT neutron target synthesized by in-situ lithium deposition and ion implantation, laser heating test of the Li3N/Li/Cu tri-layered target was conducted in high vacuum chamber of 10(-6) Pa and thermal stability of the tri-layered target was characterized by X-ray photoelectron spectroscopy. The following conclusions were derived; (1) The Li3N/Li/Cu tri-layered target with very low oxide and carbon contamination was synthesized by in-situ lithium deposition and ion implantation techniques without H2O and O-2 additions. (2) The starting temperature of evaporation of the Li3N/Li/Cu tri-layered target increased by 120K compared to that of the Li/Cu target and (3) frequent repair synthesis of the damaged Li3N/Li/Cu tri-layered target caused by evaporation is possible.</t>
  </si>
  <si>
    <t>10.2320/matertrans.M2013062</t>
  </si>
  <si>
    <t>WOS:000325713000037</t>
  </si>
  <si>
    <t>Mathews, KL; Budgin, AM; Beeram, S; Joenathan, AT; Stein, BD; Werner-Zwanziger, U; Pink, M; Baker, LA; Mahmoud, WE; Carini, JP; Bronstein, LM</t>
  </si>
  <si>
    <t>Mathews, Kayla L.; Budgin, Angela M.; Beeram, Srinivas; Joenathan, Anisha T.; Stein, Barry D.; Werner-Zwanziger, Ulrike; Pink, Maren; Baker, Lane A.; Mahmoud, Waleed E.; Carini, John P.; Bronstein, Lyudmila M.</t>
  </si>
  <si>
    <t>Solid polymer electrolytes which contain tricoordinate boron for enhanced conductivity and transference numbers</t>
  </si>
  <si>
    <t>Here we report syntheses and study of composite solid polymer electrolytes (SPEs) based on a poly(ethylene glycol)-in-Li triflate material that contains an organic-inorganic composite (OIC) in which boron species are incorporated into a silica network. The structure and properties of the SPEs synthesized were characterized by scanning transmission electron microscopy (STEM), Si-29, B-11 and C-13 solid state NMR, differential scanning calorimetry, and impedance spectroscopy. STEM allowed assessment of OIC particles in their native environment without removal of an organic component. The Lewis acid tricoordinate boron sites formed in OIC are proposed to have a stronger interaction with triflate anions than silica sites, which results in enhanced lithium ion conductivity and Li transference numbers at optimal boron concentrations. The optimum triethyl borate (TEB) concentration also leads to formation of smaller (higher surface area) OIC particles, which expose more boron sites to triflate anions. The SPE sample prepared with 10 mol% TEB exhibited a conductivity of 4.3 x 10(-5) S cm(-1) and a Li transference number of 0.89, which represents nearly single-ion conductor behaviour for the salt-in-polymer-borosilicate composite.</t>
  </si>
  <si>
    <t>Baker, Lane/B-6452-2008; Mahmoud, Waleed/G-1291-2011; Stein, Bradley/A-7978-2009</t>
  </si>
  <si>
    <t>Mahmoud, Waleed E./0000-0003-0874-2722; Carini, John P/0000-0001-6535-3390; Baker, Lane/0000-0001-5127-507X; Stein, Barry/0000-0003-2762-9434</t>
  </si>
  <si>
    <t>10.1039/c2ta00628f</t>
  </si>
  <si>
    <t>WOS:000314633500018</t>
  </si>
  <si>
    <t>Yu, T; Zhang, HM; Xu, XL; Cui, XL; Mao, LP</t>
  </si>
  <si>
    <t>Jiang, ZY; Liu, XH; Jiao, SH; Han, JT</t>
  </si>
  <si>
    <t>Yu, Tao; Zhang, Hongming; Xu, Xiaoli; Cui, Xiaoling; Mao, Liping</t>
  </si>
  <si>
    <t>Research progresses of two kinds of novel electrolyte lithium salts: lithium bis(oxalato) borate and lithium oxalyldifluroborate</t>
  </si>
  <si>
    <t>ADVANCES IN MATERIALS AND MATERIALS PROCESSING, PTS 1-3</t>
  </si>
  <si>
    <t>Advanced Materials Research</t>
  </si>
  <si>
    <t>3rd International Conference on Advances in Materials Manufacturing (ICAMMP 2012)</t>
  </si>
  <si>
    <t>DEC 22-23, 2012</t>
  </si>
  <si>
    <t>Beihai, PEOPLES R CHINA</t>
  </si>
  <si>
    <t>Univ Wollongong,NE Univ,Univ Sci &amp; Technol</t>
  </si>
  <si>
    <t>Lithium bis(oxalato)borate (LiBOB) and lithium oxalyldifluroborate (LiODFB) are promising boron-based lithium salts for lithium ion batteries. Advantages, disadvantages, and recent developments of each lithium salt were introduced respectively in this article. In addition, ionic conductivities and compatibilities with electrode materials were emphatically reviewed.</t>
  </si>
  <si>
    <t>Yu, tao/NOE-8748-2025</t>
  </si>
  <si>
    <t>1022-6680</t>
  </si>
  <si>
    <t>978-3-03785-620-8</t>
  </si>
  <si>
    <t>652-654</t>
  </si>
  <si>
    <t>10.4028/www.scientific.net/AMR.652-654.896</t>
  </si>
  <si>
    <t>WOS:000320475900181</t>
  </si>
  <si>
    <t>Zhang, YF; Xu, GD; Sun, YB; Han, B; Teguh, BWT; Chen, ZX; Rohan, R; Cheng, HS</t>
  </si>
  <si>
    <t>Zhang, Yunfeng; Xu, Guodong; Sun, Yubao; Han, Bo; Teguh, Budiono W. T.; Chen, Zhangxian; Rohan, Rupesh; Cheng, Hansong</t>
  </si>
  <si>
    <t>A class of sp3 boron-based single-ion polymeric electrolytes for lithium ion batteries</t>
  </si>
  <si>
    <t>A class of sp(3) boron-based polymeric compounds with highly exposed lithium cations is both thermally and electrochemically stable for use in Li-ion batteries. Syntheses of a variety of the sp(3) boron-based polymeric materials can be realized by taking advantage of the well-developed methods used for preparation of metal organic framework compounds.</t>
  </si>
  <si>
    <t>Xu, Guodong/G-6250-2014; Han, Bo/D-1038-2011; Chen, Zhangxian/F-5408-2014; Cheng, Hansong/G-3928-2012; XU, GUODONG/G-6250-2014; ZHANG, Yunfeng/F-6147-2010</t>
  </si>
  <si>
    <t>Xu, Guodong/0000-0002-0202-145X; Han, Bo/0000-0002-8472-3294; Chen, Zhangxian/0000-0003-2814-4885; ZHANG, Yunfeng/0000-0001-6928-1742; Rohan, Dr Rupesh/0000-0001-5296-669X</t>
  </si>
  <si>
    <t>10.1039/c3ra41167b</t>
  </si>
  <si>
    <t>WOS:000323132100005</t>
  </si>
  <si>
    <t>Zhu, YS; Wang, XJ; Hou, YY; Gao, XW; Liu, LL; Wu, YP; Shimizu, M</t>
  </si>
  <si>
    <t>Zhu, Y. S.; Wang, X. J.; Hou, Y. Y.; Gao, X. W.; Liu, L. L.; Wu, Y. P.; Shimizu, M.</t>
  </si>
  <si>
    <t>A new single-ion polymer electrolyte based on polyvinyl alcohol for lithium ion batteries</t>
  </si>
  <si>
    <t>In this study, a novel single-ion conducting polymer electrolyte, lithium polyvinyl alcohol oxalate borate (LiPVAOB), from the reaction of poly(vinyl alcohol) (PVA) with different molar ratio of boric acid, oxalic acid and lithium carbonate was prepared. The prepared materials were characterized by Fourier transformation infrared spectroscopy (FT-IR), X-ray diffraction (XRD), scanning electron microscopy (SEM), thermogravimetry (TG), differential thermal analysis (DTA), electrochemical impedance spectroscopy (EIS) and linear sweep voltammetry. Ionic conductivity of these polymer electrolytes from adding an assistant (about 20 wt.% propylene carbonate) is dependent on molar ratio of the reactants and can up to 6.11 x 10(-6) S cm(-1) at ambient temperature. Their electrochemical window can be stable up to 7 V (vs. Li+/Li), which is of great attraction for high voltage lithium ion batteries with high energy density. (C) 2012 Elsevier Ltd. All rights reserved.</t>
  </si>
  <si>
    <t>Wu, Yuping/H-1593-2011; Gao, Xiangwen/ABE-6035-2020; HOU, YUYANG/GLU-2492-2022</t>
  </si>
  <si>
    <t>Gao, Xiangwen/0000-0002-3271-912X; Zhu, Yusong/0000-0002-9264-5054</t>
  </si>
  <si>
    <t>10.1016/j.electacta.2012.08.114</t>
  </si>
  <si>
    <t>WOS:000315171100013</t>
  </si>
  <si>
    <t>Zhu, YS; Xiao, SY; Shi, Y; Yang, YQ; Wu, YP</t>
  </si>
  <si>
    <t>Zhu, Yusong; Xiao, Shiying; Shi, Yi; Yang, Yaqiong; Wu, Yuping</t>
  </si>
  <si>
    <t>A trilayer poly(vinylidene fluoride)/polyborate/poly(vinylidene fluoride) gel polymer electrolyte with good performance for lithium ion batteries</t>
  </si>
  <si>
    <t>A composite membrane based on poly(vinylidene fluoride) (PVDF) and lithium polyacrylic acid oxalate borate (LiPAAOB) exhibiting high safety (self-extinguishing) and good mechanical property was prepared. The ionic conductivity of the gel polymer electrolyte (GPE) by saturating with 1 mol L (1) LiPF6 electrolyte at ambient temperature can be up to 0.35 mS cm(-1), higher than that of the well-used commercial separator (Celgard 2730), 0.21 mS cm(-1). The lithium ion transference in the GPE at room temperature is 0.58, twice that in the commercial separator (0.27). Moreover, the GPE presents a true shut-down behavior, which is quite different from the not-real shut-down behaviour of the commercial separators. Furthermore, the absorbed electrolyte solvent is difficult to evaporate at elevated temperature. Its electrochemical performance is evaluated by using LiFePO4 cathode. The obtained results suggest that this composite GPE is very attractive to large-capacity battery systems requiring high safety and low cost.</t>
  </si>
  <si>
    <t>Wu, Yuping/H-1593-2011</t>
  </si>
  <si>
    <t>10.1039/c3ta00167a</t>
  </si>
  <si>
    <t>WOS:000320245400031</t>
  </si>
  <si>
    <t>Han, GS; Li, B; Ye, ZQ; Cao, CH; Guan, SY</t>
  </si>
  <si>
    <t>Han, Guangshuai; Li, Bing; Ye, Zhiqun; Cao, Changhe; Guan, Shiyou</t>
  </si>
  <si>
    <t>The Cooperative Effect of Vinylene Carbonate and 1,3-Propane Sultone on the Elevated Temperature Performance of Lithium Ion Batteries</t>
  </si>
  <si>
    <t>Vinylene carbonate (VC) and 1,3-propane sultone (1,3-PS) have been used as the electrolyte additives to improve the high temperature safety of the lithium ion batteries. The electrochemical performance of ethylene carbonate-based binary electrolytes without and with additives on graphite electrode is studied by cyclic voltammetry and electrochemical impedance spectroscopic. The cycle performances of the graphite/LiCoO2 batteries with two additives are measured by battery testing system at 25 degrees C and 60 degrees C. The morphology and composition of the solid electrolyte interphase are analyzed by scanning electron microscopy and X-ray Photoelectron Spectroscopy, respectively. In summary, the co-use of VC and 1,3-PS can greatly improve the cycle life and suppress swelling behavior of graphite/LiCoO2 cells at elevated temperature.</t>
  </si>
  <si>
    <t>WOS:000312936700107</t>
  </si>
  <si>
    <t>Tang, YN; Xue, ZM; Ding, J; Chen, CH</t>
  </si>
  <si>
    <t>Tang, Ya-Nan; Xue, Zhao-Ming; Ding, Jia; Chen, Chun-Hua</t>
  </si>
  <si>
    <t>Two unsymmetrical lithium organoborates with mixed-ligand of croconato and oxalicdiolato or benzenediolato for lithium battery electrolytes</t>
  </si>
  <si>
    <t>Two new unsymmetrical lithium salts, lithium (oxalicdiolato croconato)borate (LOCB) and lithium (1,2-benzene-diolato(2-)-o,o' croconato)borate (LBDCB), are synthesized and characterized. The thermal characteristics of them, and their derivative, lithium bis(croconato)borate (LBCB), are examined by thermogravimetric analysis (TG). The thermal decomposition in air begins at 186 degrees C, 250 degrees C, and 265 degrees C for LBDCB. LBCB and LOCB, respectively. The order of the stability toward the oxidation of these organoborates is LBCB &gt; LOCB &gt; LBDCB. The cyclic voltammetry study shows that the LOCB and LBDCB solutions in propylene carbonate (PC) are stable up to 5.1 and 3.7 V versus Li+/Li. They are soluble in common organic solvents. Ionic dissociation properties of them are examined by conductivity measurements in PC, PC + ethyl methyl carbonate (EMC), PC + dimethyl ether (DME), PC + ethylene carbonate (EC)+ DME, PC + EC + EMC solutions. The conductivity values of the 0.10 mol dm(-3) LOCB and LBDCB electrolytes in these solutions are lower than those of LBCB electrolytes. (C) 2012 Elsevier B.V. All rights reserved.</t>
  </si>
  <si>
    <t>10.1016/j.jpowsour.2012.06.044</t>
  </si>
  <si>
    <t>WOS:000309038100022</t>
  </si>
  <si>
    <t>Langer, T; Dupke, S; Dippel, C; Winter, M; Eekert, H; Pöttgen, R</t>
  </si>
  <si>
    <t>Langer, Thorsten; Dupke, Sven; Dippel, Christian; Winter, Martin; Eekert, Hellmut; Poettgen, Rainer</t>
  </si>
  <si>
    <t>LiBC - Synthesis, Electrochemical and Solid-state NMR Investigations</t>
  </si>
  <si>
    <t>ZEITSCHRIFT FUR NATURFORSCHUNG SECTION B-A JOURNAL OF CHEMICAL SCIENCES</t>
  </si>
  <si>
    <t>LiBC was synthesized from the elements in a sealed niobium ampoule. It represents a totally intercalated heterographite with a structural relationship to graphite, the most commonly used anode material for lithium ion batteries. Since LiBC could accommodate three times as much lithium as graphite, its electrochemical properties in the anode and the cathode voltage range were investigated. However, LiBC did show poor performance both as an anode and as a cathode material. The unfavorable characteristics of LiBC with respect to electrochemical de-lithiation and re-insertion can be rationalized on the basis of nuclear magnetic resonance results. Li-7 and Li-6 isotropic chemical shifts are consistent with complete ionization of the lithium species. Variable-temperature static Li-7 NMR lineshapes indicate that the mobility of the lithium ions is rather restricted, even at temperatures up to 500 K. The B-11 and C-13 NMR parameters are consistent with those measured in sp(2)-hybridized boron/carbon networks and also support the ionic bonding model.</t>
  </si>
  <si>
    <t>0932-0776</t>
  </si>
  <si>
    <t>1865-7117</t>
  </si>
  <si>
    <t>10.5560/ZNB.2012-0223</t>
  </si>
  <si>
    <t>WOS:000313533500014</t>
  </si>
  <si>
    <t>Aydin, H; Senel, M; Bozkurt, A</t>
  </si>
  <si>
    <t>Aydin, Hamide; Senel, Mehmet; Bozkurt, Ayhan</t>
  </si>
  <si>
    <t>PAMAM type dendritic electrolytes for lithium ion battery applications</t>
  </si>
  <si>
    <t>Series of boron-complexed ion conducting dendritic electrolytes were prepared and suggested as 'cobweb' model. The hydroxyl functionalized Jeffamine (R) cored polyamidoamine (PAMAM) type dendrimers with various core size and generation were synthesized and their boron-cross linked form was obtained by using BH3-THF complex. During cross linking of the dendrimers, lithium trifluoromethane-sulfonate (CF3SO3Li) salt was added as dopants with different stoichiometric ratios. The structure and interactions of boron-cross linked dendritic electrolytes were investigated by using FT-IR. NMR and Thermograviimetric analysis (TGA). The ionic conductivities of these novel boron-cross linked dendritic electrolytes were studied by dielectric-impedance spectroscopy. Ionic conductivity of the dendritic electrolytes followed Vogel-Tammann-Fulcher (VTF) relationships. The results showed that the highest conductivity of 1.6 x 10(-4) S/cm was obtained at 100 degrees C for electrolytes T5000(6-OH)-20. (C) 2012 Elsevier B.V. All rights reserved.</t>
  </si>
  <si>
    <t>Bozkurt, Ayhan/G-5963-2017; Bozkurt, Ayhan/AAH-4466-2021; Aydın, Hamide/AAX-1871-2020; Senel, Mehmet/V-2463-2018</t>
  </si>
  <si>
    <t>Bozkurt, Ayhan/0000-0003-4201-370X; Aydin, Hamide/0000-0002-8267-2040; Senel, Mehmet/0000-0001-7366-4746</t>
  </si>
  <si>
    <t>10.1016/j.ssi.2012.07.013</t>
  </si>
  <si>
    <t>WOS:000311179900001</t>
  </si>
  <si>
    <t>Guo, YS; Zhang, F; Yang, J; Wang, FF; NuLi, YN; Hirano, SI</t>
  </si>
  <si>
    <t>Guo, Yong-sheng; Zhang, Fan; Yang, Jun; Wang, Fei-fei; NuLi, Yanna; Hirano, Shin-ichi</t>
  </si>
  <si>
    <t>Boron-based electrolyte solutions with wide electrochemical windows for rechargeable magnesium batteries</t>
  </si>
  <si>
    <t>Recently, we have developed a boron based electrolyte system with outstanding electrochemical performance, formed through the reaction of tri(3,5-dimethylphenyl)borane (Mes(3)B) and PhMgCl in THF, for rechargeable magnesium batteries. In this paper, the main components and equilibria of the unique boron based electrolyte solutions are identified by NMR, single-crystal XRD, etc. The results prove that the solutions contain various magnesium species, such as Mg2Cl3+, MgCl+, Ph2Mg and the tetracoordinated boron anion [Mes(3)BPh](-). Fluorescence spectra and Raman spectroscopy analyses indicate that the high anodic stability (ca. 3.5 V vs. Mg reference electrode (RE)) of the Mes(3)B-(PhMgCl)(2) electrolyte is attributed to the non-covalent interactions between the anion [Mes(3)BPh](-) and Ph2Mg. Furthermore, the air sensitivity of the boron based electrolyte and its electrochemical stability on the different current collectors are studied. Finally, the reversible electrochemical process of Mg intercalation into a Mo6S8 cathode confirms that the boron based electrolyte could be practically used in rechargeable Mg battery systems.</t>
  </si>
  <si>
    <t>yang, jun/GQH-0635-2022; Wang, Feifei/M-9436-2017</t>
  </si>
  <si>
    <t>10.1039/c2ee22509c</t>
  </si>
  <si>
    <t>WOS:000308891200036</t>
  </si>
  <si>
    <t>Han, GS; Ye, ZQ; Cao, CH; Liu, BX; Li, B; Guan, SY</t>
  </si>
  <si>
    <t>Han, Guangshuai; Ye, Zhiqun; Cao, Changhe; Liu, Bingxiao; Li, Bing; Guan, Shiyou</t>
  </si>
  <si>
    <t>Effect of 1,8-Naphthosultone Additive on High Temperature Performance of Lithium Ion Batteries</t>
  </si>
  <si>
    <t>In this paper, we calculate the Lowest Unoccupied Molecular Orbital (LUMO) level of the 1,8-naphthosultone (1,8-NS) by density functional theory. The effects of 1,8-NS on the high temperature performances of lithium ion batteries are evaluated by battery test system. The electrochemical performances are measured by cyclic voltammetry and electrochemical impedance spectroscopic. By adding 1 wt % 1,8-NS into a commercial binary electrolyte of lithium ion battery, the initial discharge capacity and cycle stability of lithium ion battery are improved significantly at 60 degrees C. By X-ray photoelectron spectroscopy analysis, we suggest that the improvement may be attributed to the 1,8-NS being reduced to form Li2S, R-SO2Li and R-SO3Li phase on the graphite electrode. Thus, the reduction products covered on the graphite electrode may reduce the resistance of solid electrolyte interphase and suppress the battery swell.</t>
  </si>
  <si>
    <t>WOS:000312933600087</t>
  </si>
  <si>
    <t>Younesi, R; Hahlin, M; Treskow, M; Scheers, J; Johansson, P; Edström, K</t>
  </si>
  <si>
    <t>Younesi, Reza; Hahlin, Maria; Treskow, Marcel; Scheers, Johan; Johansson, Patrik; Edstrom, Kristina</t>
  </si>
  <si>
    <t>Ether Based Electrolyte, LiB(CN)4 Salt and Binder Degradation in the Li-O2 Battery Studied by Hard X-ray Photoelectron Spectroscopy (HAXPES)</t>
  </si>
  <si>
    <t>Li-O-2 cells composed of a carbon cathode containing an alpha-MnO2 nanowire catalyst and a Kynar (PVDF-HFP) binder were cycled with different electrolytes containing 0.5 M LiB(CN)(4) salt in polyethylene glycol dimethyl ether (PEGDME) or tetraethylene glycol dimethyl ether (Tetraglyme) solvents. All cells exhibited fast capacity fading. To explain this, the surface chemistry of the carbon electrodes were investigated by synchrotron based hard X-ray photoelectron spectroscopy (HAXPES) using two photon energies of 2300 and 6900 eV. It is shown that the LiB(CN)(4) salt and Kynar binder were degraded during cycling, forming a layer composed of salt and binder residues on the cathode surface. The degradation mechanism of the salt differed in the two tested solvents and, consequently, different types of boron compounds were formed during cycling. Larger amounts of the degraded salt was observed using Tetraglyme as the solvent. With a nonfluorined Li-salt, the observed formation of LiF, which might be a reason for the observed blockage of pores in the cathode and for the observed capacity fading, must be due to Kynar binder decomposition. The amount of LiF formed in the PEGDME cell was larger than that formed in the Tetraglyme cell. The results indicate that not only the electrolyte solvent, but also electrolyte salt as well as the binder used for the porous cathode must be carefully considered when building a successful rechargeable Li-O-2 battery.</t>
  </si>
  <si>
    <t>; Younesi, Reza/K-9003-2012; Scheers, Johan/A-7990-2010; Edstrom, Kristina/LRC-6790-2024; Johansson, Patrik/A-7660-2010</t>
  </si>
  <si>
    <t>Fridner (Scheers), Johan/0000-0001-5048-4355; Edstroem, Kristina/0000-0003-4440-2952; Johansson, Patrik/0000-0002-9907-117X; Younesi, Reza/0000-0003-2538-8104</t>
  </si>
  <si>
    <t>10.1021/jp303691m</t>
  </si>
  <si>
    <t>WOS:000308339600004</t>
  </si>
  <si>
    <t>Yeo, JS; Park, TH; Seo, MH; Miyawaki, J; Mochida, I; Yoon, SH</t>
  </si>
  <si>
    <t>Yeo, Jae-Seong; Park, Tae-Hwan; Seo, Min-Hyun; Miyawaki, Jin; Mochida, Isao; Yoon, Seong-Ho</t>
  </si>
  <si>
    <t>Solid electrolyte interphase formation behavior on well-defined carbon surfaces for Li-ion battery systems</t>
  </si>
  <si>
    <t>Solid electrolyte interphase (SEI) formation behavior was carefully tracked on the well-defined edge and basal surfaces of carbon nanofibers. The effects of boron doping on SEI formation were also examined. Platelet carbon nanofibers (PCNFs) successfully afforded well-defined edge and basal surfaces. Surface morphology and chemistry were controlled by graphitization, nitric acid treatment and boron doping. The surface morphologies of various well-defined PCNFs were observed by transmission electron microscopy (TEM) and X-ray photoelectron spectroscopy (XPS). The SEI of PCNF with edge surfaces was more abundant and four times thicker than those of PCNF-G and PCNF-B-G with basal slit faces. The SEI of PCNF-G-NA without boron doping was much more abundant and three times thicker than that of PCNF-B-G-NA with boron doping. (C) 2012 Elsevier Ltd. All rights reserved.</t>
  </si>
  <si>
    <t>; Seo, Minah/K-4997-2018</t>
  </si>
  <si>
    <t>Miyawaki, Jin/0000-0001-9862-6463;</t>
  </si>
  <si>
    <t>10.1016/j.electacta.2012.05.080</t>
  </si>
  <si>
    <t>WOS:000307131300017</t>
  </si>
  <si>
    <t>Chen, XL; Li, XL; Ding, F; Xu, W; Xiao, J; Cao, YL; Meduri, P; Liu, J; Graff, GL; Zhang, JG</t>
  </si>
  <si>
    <t>Chen, Xilin; Li, Xiaolin; Ding, Fei; Xu, Wu; Xiao, Jie; Cao, Yuliang; Meduri, Praveen; Liu, Jun; Graff, Gordon L.; Zhang, Ji-Guang</t>
  </si>
  <si>
    <t>Conductive Rigid Skeleton Supported Silicon as High-Performance Li-Ion Battery Anodes</t>
  </si>
  <si>
    <t>A cost-effective and scalable method is developed to prepare a core shell structured Si/B4C composite with graphite coating with high efficiency, exceptional rate performance, and long-term stability. In this material, conductive B4C with a high Mohs hardness serves not only as micro/nano-millers in the ball-milling process to break down micron-sized Si but also as the conductive rigid skeleton to support the in situ formed sub-10 nm Si particles to alleviate the volume expansion during charge/discharge. The Si/B4C composite is coated with a few graphitic layers to further improve the conductivity and stability of the composite. The Si/B4C/graphite (SBG) composite anode shows excellent cyclability with a specific capacity of similar to 822 mAh.g(-1) (based on the weight of the entire electrode, including binder and conductive carbon) and similar to 94% capacity retention over 100 cycles at 0.3 C rate. This new structure has the potential to provide adequate storage capacity and stability for practical applications and a good opportunity for large-scale manufacturing using commercially available materials and technologies.</t>
  </si>
  <si>
    <t>Xu, Wu/AGU-0925-2022; Zhang, Ji-Guang/AGM-3942-2022; Cao, Yuliang/AFM-3253-2022; Liu, Jun/LSL-2062-2024; Xiao, Jie/JOZ-3746-2023; Chen, Xilin/A-1409-2012; Meduri, Praveen/AAQ-7633-2020; DING, FEI/KLD-8925-2024</t>
  </si>
  <si>
    <t>Meduri, Praveen/0000-0002-2100-4209; Xiao, Jie/0000-0002-5520-5439; Cao, Yuliang/0000-0001-6092-5652; Xu, Wu/0000-0002-2685-8684;</t>
  </si>
  <si>
    <t>10.1021/nl301657y</t>
  </si>
  <si>
    <t>WOS:000307211000041</t>
  </si>
  <si>
    <t>Kuzubov, AA; Fedorov, AS; Eliseeva, NS; Tomilin, FN; Avramov, PV; Fedorov, DG</t>
  </si>
  <si>
    <t>Kuzubov, Alexander A.; Fedorov, Aleksandr S.; Eliseeva, Natalya S.; Tomilin, Felix N.; Avramov, Pavel V.; Fedorov, Dmitri G.</t>
  </si>
  <si>
    <t>High-capacity electrode material BC3 for lithium batteries proposed by ab initio simulations</t>
  </si>
  <si>
    <t>PHYSICAL REVIEW B</t>
  </si>
  <si>
    <t>The absorption energy and diffusion rates of lithium atoms inside graphitelike boron carbide (BC3) crystal are investigated by the ab initio pseudopotential density-functionalmethod using generalized gradient approximation. It is shown that lithium may effectively intercalate this structure with the maximum lithium concentration corresponding to Li2BC3 stoichiometry, which is threefold in comparison to lithium in graphite. The potential barrier values for lithium diffusion both at low and maximum concentration are about 0.19 eV, so lithium atoms inside the BC3 structure can move easily. These findings suggest that boron carbide looks like a good candidate as an anode material in lithium ion batteries.</t>
  </si>
  <si>
    <t>Fedorov, Aleksandr/E-8658-2014; Tomilin, Felix/F-3763-2014</t>
  </si>
  <si>
    <t>Fedorov, Aleksandr/0000-0002-7911-3301; Tomilin, Felix/0000-0002-3578-6141</t>
  </si>
  <si>
    <t>2469-9950</t>
  </si>
  <si>
    <t>2469-9969</t>
  </si>
  <si>
    <t>MAY 9</t>
  </si>
  <si>
    <t>10.1103/PhysRevB.85.195415</t>
  </si>
  <si>
    <t>WOS:000303794600007</t>
  </si>
  <si>
    <t>Synthesis, characterization, and ionic conductivity of novel crosslinked polymer electrolytes for Li-ion batteries</t>
  </si>
  <si>
    <t>In this work, we communicate on the synthesis, characterization, and ionic conductivity of a series of novel crosslinked inorganicorganic gel polymer electrolytes. These crosslinked polymers were prepared by the modification of poly(vinyl alcohol) (PVA) with poly(ethylene glycol) (PEG) in the presence of borane-tetrahydrofuran (BH3/THF) complex. During crosslinking, the polymer was doped with lithium trifluoromethane-sulfonate (CF3SO3Li) salt. Molecular weight of both PVA and PEG was varied, and the concentration of Li-salt was arranged for the ratio of lithium atoms to ether oxygen atoms. Boron-containing polymer electrolytes were produced and abbreviated as PVA1PEGX-Y and PVA2PEGX-Y. The reaction of PEG with PVA and the interaction of Li+ ions with EO units were confirmed by FTIR. Thermal stability of these materials was measured with thermogravimetric analysis, and thermal behaviors were measured by differential scanning calorimetry. The ionic conductivity of these novel polymer electrolytes was studied by dielectric-impedance spectroscopy. Li-ion conductivity of these crosslinked polymer electrolytes depends on the length of the side units as well as the doping ratio. The maximum ionic conductivity was measured as 10(-4) S cm(-1) at room temperature. (C) 2011 Wiley Periodicals, Inc. J Appl Polym Sci, 2012</t>
  </si>
  <si>
    <t>Bozkurt, Ayhan/AAH-4466-2021; Aydın, Hamide/AAX-1871-2020; Bozkurt, Ayhan/G-5963-2017</t>
  </si>
  <si>
    <t>Aydin, Hamide/0000-0002-8267-2040; Bozkurt, Ayhan/0000-0003-4201-370X</t>
  </si>
  <si>
    <t>10.1002/app.35081</t>
  </si>
  <si>
    <t>WOS:000298672800036</t>
  </si>
  <si>
    <t>Minami, T</t>
  </si>
  <si>
    <t>Minami, Tsutomu</t>
  </si>
  <si>
    <t>New borate glasses for ionics</t>
  </si>
  <si>
    <t>PHYSICS AND CHEMISTRY OF GLASSES-EUROPEAN JOURNAL OF GLASS SCIENCE AND TECHNOLOGY PART B</t>
  </si>
  <si>
    <t>Many new glasses composed of AgI, Ag2O and oxides, MxOy, where MxOy is B2O3, SiO2, GeO2, P2O5, V2O5, As2O5, CrO3, SeO3 or MoO3, were found. Among these oxides, the B2O3-based glasses, that is, the AgI-Ag2O-B2O3 glasses have several unique properties such as (a) very wide glass forming regions, (b) high glass transition temperatures, (c) network structure with BO3 and BO4 groups, and (d) high conductivities of 10(-2) to 10(-7) S cm(-1) at room temperature. The high temperature form of AgI, alpha-AgI, was stabilized in the borate glasses in two ways; one was the rapid melt quenching, and the other was the annealing of glasses at a suitable temperature below the a a transformation temperature (147 degrees C) for AgI. The latter technique is now usefully applied for the development of glass ceramics as the solid electrolytes for all solid state lithium secondary batteries. Tin oxide containing borate and borophosphate glasses were prepared by the mechanical milling technique as well as melt quenching. These new glasses were proved to work as large capacity negative electrodes for Li+ ion secondary batteries. The capacities and also the glass transition temperatures were strongly related to the amount of four coordinated boron.</t>
  </si>
  <si>
    <t>1753-3562</t>
  </si>
  <si>
    <t>WOS:000308266300001</t>
  </si>
  <si>
    <t>Raguenet, B; Tricot, G; Silly, G; Ribes, M; Pradel, A</t>
  </si>
  <si>
    <t>Raguenet, B.; Tricot, G.; Silly, G.; Ribes, M.; Pradel, A.</t>
  </si>
  <si>
    <t>The mixed glass former effect in twin-roller quenched lithium borophosphate glasses</t>
  </si>
  <si>
    <t>A whole series of lithium borophosphate glasses of composition 45 Li2O-55 [x B2O3-(1 - x) P2O5], 0 &lt;= 1x &lt;= 1 was prepared for the first time, thanks to the use of the twin roller quenching technique. As their more popular sodium counterparts, these glasses exhibit a mixed glass former effect with non linear increase in both glass transition temperature and conductivity when phosphorous is replaced by boron. A fairly good conductivity (similar to 2 x 10(-7) Omega(-1).cm(-1) at room temperature) coupled to a high T-g (similar to 450 degrees C) makes these glasses interesting as solid electrolytes for the development of thin-film batteries. A structural investigation was carried out both by Raman spectroscopy and for the first time, by B-11 NMR at high field, 18.8 T. Raman spectra showed the signature of many types of vibrations indicating the presence of a large variety of entities in the glasses. B-11 NMR at 18.8 T helped in separating the resonances of three-coordinated and four-coordinated boron species and counting them by direct integration. On the whole it was shown that while the T-g evolution relied upon the presence of mixed borophosphate entities, the conductivity was directly linked to the presence of BO4 entities alone irrespective of their specific environment. (C) 2011 Elsevier B.V. All rights reserved.</t>
  </si>
  <si>
    <t>; TRICOT, gregory/Q-2841-2019</t>
  </si>
  <si>
    <t>tricot, gregory/0000-0002-5996-7158;</t>
  </si>
  <si>
    <t>FEB 2</t>
  </si>
  <si>
    <t>10.1016/j.ssi.2011.11.034</t>
  </si>
  <si>
    <t>WOS:000300917000005</t>
  </si>
  <si>
    <t>Shankar, SR; Matsumi, N</t>
  </si>
  <si>
    <t>Shankar, Sonu Ram; Matsumi, Noriyoshi</t>
  </si>
  <si>
    <t>Hyperbranched organoboron polymer electrolytes derived from glycerol</t>
  </si>
  <si>
    <t>POLYMER BULLETIN</t>
  </si>
  <si>
    <t>Solid polymer electrolytes are still collecting attention today for development of safer Li-ion batteries. Introduction of boron moieties to electrolytes generally improves ion conductive properties of resultant electrolytes. Herein, we have undertaken dehydrocoupling reaction between glycerol (Gly)/triethylene glycol (TEG) and hydroborane to synthesize highly branched organoboron polymer electrolytes. Increase in amorphous nature of polymer due to branched structure improved the ionic conduction. This was supported from decreased Vogel-Fulcher-Tammann parameters corresponding to activation energy of ion transport in matrices. When Gly content was increased beyond [Gly]/[TEG] = 15%, ionic conductivity decreased due to decrease in solubility of the salt in organoboron polymer matrix.</t>
  </si>
  <si>
    <t>Matsumi, Noriyoshi/E-9496-2011; Shankar, Sonu/LBI-3096-2024</t>
  </si>
  <si>
    <t>0170-0839</t>
  </si>
  <si>
    <t>1436-2449</t>
  </si>
  <si>
    <t>10.1007/s00289-011-0575-z</t>
  </si>
  <si>
    <t>WOS:000299087100010</t>
  </si>
  <si>
    <t>Arie, AA; Lee, JK</t>
  </si>
  <si>
    <t>Arie, Arenst Andreas; Lee, Joong Kee</t>
  </si>
  <si>
    <t>Synthesis of Boron-Doped C60 Film Using Plasma-Assisted Thermal Evaporation Technique and its Electrochemical Characterizations</t>
  </si>
  <si>
    <t>Boron doped C-60 (B:C-60) thin films were synthesized by a plasma-assisted thermal evaporation system. Scanning electron microscope (SEM), Raman spectroscopy, Fourier transform infra red (FTIR) and X-ray photo electron spectroscopy (XPS) were used to investigate the morphology and structural characteristics of the films, respectively. The electrochemical characterization of B:C-60 films was then introduced as a coating layer for silicon film anodes in a lithium ion battery. Typical electrochemical measurements such as cyclic voltammetry (CV) and impedance spectroscopy were used to characterize the B:C-60 coated silicon electrodes. CV profiles implied that B:C-60 coating layer could act as a passive layer with respect to the insertion and extraction of lithium ions into the silicon film electrode. Moreover, impedance results showed that the coating layer contributed to the smaller charge transfer resistance at the electrode/electrolyte interface.</t>
  </si>
  <si>
    <t>Arie, Arenst/K-5053-2019</t>
  </si>
  <si>
    <t>Arie, Arenst Andreas/0000-0003-0522-5527</t>
  </si>
  <si>
    <t>10.1080/1536383X.2010.542592</t>
  </si>
  <si>
    <t>WOS:000301848600003</t>
  </si>
  <si>
    <t>Guo, YS; Zhang, F; Yang, J; Wang, FF</t>
  </si>
  <si>
    <t>Guo, Yongsheng; Zhang, Fan; Yang, Jun; Wang, Feifei</t>
  </si>
  <si>
    <t>Electrochemical performance of novel electrolyte solutions based on organoboron magnesium salts</t>
  </si>
  <si>
    <t>A novel boron based electrolyte system based on reaction of tri(3,5-dimethylphenyl)borane (Mes(3)B) and PhMgCl in THF solution is proposed for the potential application in rechargeable magnesium battery. The optimized composition of Mes(3)B-(PhMgCl)(2)/THF electrolyte solution presents high ionic conductivity(ca. 2 x 10(-3) S/cm in 0.5 M solution) at room temperature, excellent Mg deposition reversibility as well as the highest anodic potential to date (3.5 V vs. Mg RE). The initial results indicate that the high-performance of the Mes(3)B-(PhMgCl)(2) electrolyte might be attributed to non-covalent interactions arising from the excess amount of Grignard reagent PhMgCl. This study opens the door to the development of boron based electrolyte chemistry for high-energy rechargeable Mg batteries. (C) 2012 Elsevier B.V. All rights reserved.</t>
  </si>
  <si>
    <t>Wang, Feifei/KIB-4621-2024; yang, jun/GQH-0635-2022</t>
  </si>
  <si>
    <t>10.1016/j.elecom.2012.01.026</t>
  </si>
  <si>
    <t>WOS:000304746200007</t>
  </si>
  <si>
    <t>Hong, TE; Jeong, ED; Baek, SR; Byeon, MR; Lee, YS; Khan, FN; Yang, HS</t>
  </si>
  <si>
    <t>Hong, Tae Eun; Jeong, E. D.; Baek, S. R.; Byeon, M. R.; Lee, Young-Suck; Khan, F. Nawaz; Yang, Ho-Soon</t>
  </si>
  <si>
    <t>Nano SIMS characterization of boron- and aluminum-coated LiNi1/3Co1/3Mn1/3O2 cathode materials for lithium secondary ion batteries</t>
  </si>
  <si>
    <t>JOURNAL OF APPLIED ELECTROCHEMISTRY</t>
  </si>
  <si>
    <t>The LiNi1/3Co1/3Mn1/3O2 powders required for the present study, obtained by coprecipitation method has been surface coated with boron and aluminum. The morphology and crystal structure of powders have been characterized using scanning electron microscopy, X-ray diffraction and X-ray photoelectron spectroscopy techniques. The elemental distribution of the coated samples analyzed by transmission electron microscopy images and nano secondary ion mass spectrometry indicates a thin uniform layer of [B, Al](2)O-3 on the surface of spherical LiNi1/3Co1/3Mn1/3O2. The surface-modified LiNi1/3Co1/3Mn1/3O2 has been explored as a cathode material for lithium secondary ion battery applications. The electrochemical charge-discharge results reveal that the capacity retention rate of coated LiNi1/3Co1/3Mn1/3O2 after 40 cycles at 1 C rate maintains 93% of the initial discharge capacity while the rate of bare LiNi1/3Co1/3Mn1/3O2 maintains only 88%. It is noticed that the small amounts of boron and aluminum coatings on the surface of LiNi1/3Co1/3Mn1/3O2 can significantly improve the electrochemical properties of electrode materials because of the suppression of reaction between the cathode and the electrolytes.</t>
  </si>
  <si>
    <t>Jeong, Euh/A-2214-2019; F, Nawaz Khan/C-7055-2013</t>
  </si>
  <si>
    <t>Khan, Nawaz/0000-0002-6531-7733</t>
  </si>
  <si>
    <t>0021-891X</t>
  </si>
  <si>
    <t>1572-8838</t>
  </si>
  <si>
    <t>10.1007/s10800-011-0369-x</t>
  </si>
  <si>
    <t>WOS:000297917600005</t>
  </si>
  <si>
    <t>Aravindan, V; Gnanaraj, J; Madhavi, S; Liu, HK</t>
  </si>
  <si>
    <t>Aravindan, Vanchiappan; Gnanaraj, Joe; Madhavi, Srinivasan; Liu, Hua-Kun</t>
  </si>
  <si>
    <t>Lithium-Ion Conducting Electrolyte Salts for Lithium Batteries</t>
  </si>
  <si>
    <t>This paper presents an overview of the various types of lithium salts used to conduct Li+ ions in electrolyte solutions for lithium rechargeable batteries. More emphasis is paid towards lithium salts and their ionic conductivity in conventional solutions, solid-electrolyte interface (SEI) formation towards carbonaceous anodes and the effect of anions on the aluminium current collector. The physicochemical and functional parameters relevant to electrochemical properties, that is, electrochemical stabilities, are also presented. The new types of lithium salts, such as the bis(oxalato) borate (LiBOB), oxalyldifluoroborate (LiODFB) and fluoroalkylphosphate (LiFAP), are described in detail with their appropriate synthesis procedures, possible decomposition mechanism for SEI formation and prospect of using them in future generation lithium-ion batteries. Finally, the state-of-the-art of the system is given and some interesting strategies for the future developments are illustrated.</t>
  </si>
  <si>
    <t>Liu, Hua/G-1349-2012; Liu, Hua Kun/G-1349-2012; Srinivasan, Madhavi/A-2247-2011; Aravindan, Vanchiappan/A-9801-2012</t>
  </si>
  <si>
    <t>Liu, Hua Kun/0000-0002-0253-647X; Srinivasan, Madhavi/0000-0002-5497-3428; Aravindan, Vanchiappan/0000-0003-1357-7717</t>
  </si>
  <si>
    <t>10.1002/chem.201101486</t>
  </si>
  <si>
    <t>WOS:000298542300001</t>
  </si>
  <si>
    <t>Allen, JL; Han, SD; Boyle, PD; Henderson, WA</t>
  </si>
  <si>
    <t>Allen, Joshua L.; Han, Sang-Don; Boyle, Paul D.; Henderson, Wesley A.</t>
  </si>
  <si>
    <t>Crystal structure and physical properties of lithium difluoro(oxalato)borate (LiDFOB or LiBF2Ox)</t>
  </si>
  <si>
    <t>The structural characterization and properties of lithium difluoro(oxalato)borate (LiDFOB) are reported. LiDFOB was synthesized as previously described in the literature via direct reaction of boron trifluoride diethyl etherate with lithium oxalate. The crystal structure of the salt was determined from single crystal X-ray diffraction yielding a highly symmetric orthorhombic structure (Cmcm, a=6.2623(8)angstrom, b=11.4366(14)angstrom.c = 6.3002(7)angstrom, V=451.22(9)angstrom(3),Z=4 at 110 K). Single crystal X-ray diffraction of a dihydrate of LiDFOB yielded a monoclinic structure (P2(1/c),a =9.5580(3)angstrom, b=12.7162(4)angstrom, c=5.4387(2)angstrom, V=634.63(4)angstrom(3), Z=4 at 110K). Along with the crystal structures, additional structural information and the properties of LiDFOB (via B-11 and F-19 NMR, DSC, TGA and Raman spectroscopy) have been compared with those of LiBF4 and LiBOB to better understand the differences between these lithium battery electrolyte salts. (C) 2011 Elsevier B.V. All rights reserved.</t>
  </si>
  <si>
    <t>10.1016/j.jpowsour.2011.07.065</t>
  </si>
  <si>
    <t>WOS:000295602400084</t>
  </si>
  <si>
    <t>Wu, ZS; Ren, WC; Xu, L; Li, F; Cheng, HM</t>
  </si>
  <si>
    <t>Wu, Zhong-Shuai; Ren, Wencai; Xu, Li; Li, Feng; Cheng, Hui-Ming</t>
  </si>
  <si>
    <t>Doped Graphene Sheets As Anode Materials with Superhigh Rate and Large Capacity for Lithium Ion Batteries</t>
  </si>
  <si>
    <t>One great challenge in the development of lithium ion batteries is to simultaneously achieve high power and large energy capacity at fast charge and discharge rates for several minutes to seconds. Here we show that nitrogen- or boron-doped graphene can be used as a promising anode for high-power and high-energy lithium ion batteries under high-rate charge and discharge conditions. The doped graphene shows a high reversible capacity of &gt;1040 mAh g(-1) at a low rate of 50 mA g(-1). More importantly, it can be quickly charged and discharged in a very short time of 1 h to several tens of seconds together with high-rate capability and excellent long-term cyclability. For example, a very high capacity of similar to 199 and 235 mAh g(-1) was obtained for the N-doped graphene and B-doped graphene at 25 A g(-1) (about 30 s to full charge). We believe that the unique two-dimensional structure, disordered surface morphology, heteroatomic defects, better electrode/electrolyte wettability, increased intersheet distance, improved electrical conductivity, and thermal stability of the doped graphene are beneficial to rapid surface Li+ absorption and ultrafast Li+ diffusion and electron transport, and thus make the doped materials superior to those of pristine chemically derived graphene and other carbonaceous materials.</t>
  </si>
  <si>
    <t>Li, Feng/C-9991-2010; Cheng, Hui-Ming/B-8682-2012; Ren, Wencai/O-8444-2014; Wu, Zhong-Shuai/F-1978-2014</t>
  </si>
  <si>
    <t>Cheng, Hui-Ming/0000-0002-5387-4241; Wu, Zhong-Shuai/0000-0003-1851-4803</t>
  </si>
  <si>
    <t>10.1021/nn2006249</t>
  </si>
  <si>
    <t>WOS:000293035200022</t>
  </si>
  <si>
    <t>Xu, Q; Ban, CM; Dillon, AC; Wei, SH; Zhao, YF</t>
  </si>
  <si>
    <t>Xu, Qiang; Ban, Chunmei; Dillon, Anne C.; Wei, Su-Huai; Zhao, Yufeng</t>
  </si>
  <si>
    <t>First-Principles Study of Lithium Borocarbide as a Cathode Material for Rechargeable Li ion Batteries</t>
  </si>
  <si>
    <t>Computational simulations within density functional theory are performed to investigate the potential application of a lithium borocarbide (LiBC) compound as a unique material for lithium ion batteries. The graphene-like BC sheets are predicted to be Li+ intercalation hosts with the Li ion capacity surprisingly surpassing that of graphite. Here, the layered LixBC structure is preserved with x &gt;= 0.5, indicating that half of the Li ions in the LiBC compound are rechargeable. Furthermore, the intercalation potential (equilibrium lithium-insertion voltage of 2.3-2.4 V relative to lithium metal) is significantly higher than that in graphite, allowing Li0.5BC to function as a cathode material. The reversible electrochemical reaction, LiBC reversible arrow Li0.5BC 0.5Li, enables a specific energy density of 1088 W h/kg and a volumetric energy density of 2463 Wh/L. The volume change is less than 3% during the charging and discharging process. This discovery could lead to the development of a unique high-capacity LiBC Li ion cathode material.</t>
  </si>
  <si>
    <t>Ban, Chunmei/AAD-2859-2019; Wei, Su-Huai/AAE-9616-2019; Xu, Qiang/C-8073-2012; BAN, CHUNMEI/A-7809-2018; Wei, Suhuai/AAE-9616-2019; Zhao, Yufeng/AAM-7599-2020</t>
  </si>
  <si>
    <t>BAN, CHUNMEI/0000-0002-1472-1496; Wei, Suhuai/0000-0003-1563-4738;</t>
  </si>
  <si>
    <t>10.1021/jz200440m</t>
  </si>
  <si>
    <t>WOS:000290843700004</t>
  </si>
  <si>
    <t>Ghosh, PC; Vasudeva, U</t>
  </si>
  <si>
    <t>Ghosh, P. C.; Vasudeva, U.</t>
  </si>
  <si>
    <t>Analysis of 3000 T class submarines equipped with polymer electrolyte fuel cells</t>
  </si>
  <si>
    <t>ENERGY</t>
  </si>
  <si>
    <t>The naval submarines have conventionally been equipped with diesel-electric propulsion. The diesel generators charge the batteries when the submarine is at the surface or at snorkelling depth. This is the biggest short-coming of this system as the submarine can be detected due to the infrared signatures from the exhaust of engines. Present study aims in analysing the feasibility of using fuel cells as a replacement of conventional diesel based system. Fuel cell system is analysed to meet the propulsion load and hotel load. In this purpose, metal hydride and sodium borohydride are considered for fuel and compressed oxygen and liquid oxygen are considered as oxidant. The most effective combination with respect to weight, volume has been analysed. The submerged endurance and distance for various hotel loads under submerged conditions have also been estimated. It is found that the metal hydride and liquid oxygen combination can be easily retrofitted by replacing the conventional system. However, MH/O-2, SBH/O-2 and SBH/LOX require some extra room to be created. All the systems show substantial enhancement in the submerged endurance. (C) 2011 Elsevier Ltd. All rights reserved.</t>
  </si>
  <si>
    <t>0360-5442</t>
  </si>
  <si>
    <t>1873-6785</t>
  </si>
  <si>
    <t>10.1016/j.energy.2011.03.003</t>
  </si>
  <si>
    <t>WOS:000291411400088</t>
  </si>
  <si>
    <t>Lu, DS; Li, WS; Tan, CL; Huang, QM</t>
  </si>
  <si>
    <t>Lu, D. S.; Li, W. S.; Tan, C. L.; Huang, Q. M.</t>
  </si>
  <si>
    <t>In situ electrochemical oxidation of ethylenediamine on Co-B alloy electrode during cycling for improving its electrochemical properties at elevated temperature</t>
  </si>
  <si>
    <t>A Co-B alloy/ethylenediamine (EDA) hybrid electrode system has been developed by adding EDA into electrolyte. Charge-discharge measurements show that the inorganic-organic hybrid electrode system exhibits high discharge capacity and long cycle life at elevated temperature (55 degrees C). Specifically, in the electrolyte containing 0.09 M EDA additive, the discharge capacity of Co-B alloy electrode after 100 cycles is still up to 601.7 m Ah g(-1) at 55 degrees C. However, for the electrode in EDA-free electrolyte, its discharge capacity is sharply decreased to only 138.5 m Ah g(-1) after 100 cycles. ICP-OES and IR measurements are used to clarify the reason of the improvement in the electrochemical properties. These results show that beneficial effect of EDA on electrochemical properties of Co-B alloy electrode can be attributed to in situ electrochemical oxidation of EDA during discharge cycles. First the oxidation of EDA contributes to part of the discharge capacity and secondly the oxidation products absorbed on the electrode may help to suppress the dissolution of Co at elevated temperature. Evidence is presented suggesting that the oxidation of Co can induce co-oxidation of EDA. (c) 2011 Elsevier Ltd. All rights reserved.</t>
  </si>
  <si>
    <t>10.1016/j.electacta.2011.02.070</t>
  </si>
  <si>
    <t>WOS:000290701500017</t>
  </si>
  <si>
    <t>Qiu, WH; Yan, K; Lian, F; Qiao, YF</t>
  </si>
  <si>
    <t>Qiu Weihua; Yan Kun; Lian Fang; Qiao Yafei</t>
  </si>
  <si>
    <t>Application of Boron-Based Lithium Salt for Li-Ion Battery</t>
  </si>
  <si>
    <t>Electrolyte is considered as one of the key materials to decide the performance of Li-ion batteries. Novel boron-based lithium salts have attracted people's interests because of its varieties and environmental-friendly property. Lithium bis(oxalato) borate (LiBOB), as one of boron-based lithium salts, is believed to be a candidate for commercial LiPF6 due to its good film-forming property and high thermal stability. In the paper, the new development of boron-based lithium salts is introduced, and LiBOB is also evaluated as lithium salt of electrolyte for Li-ion battery. The main influencing factors of LiBOB-based electrolyte are summarized. Especially, it has focused on the compatibility of LiBOB-based electrolyte with anode and metal oxide cathode. The application of LiBOB-based polymer electrolyte and LiBOB plastic chip electrolyte are introduced.</t>
  </si>
  <si>
    <t>Lian, Fang/X-5381-2018</t>
  </si>
  <si>
    <t>2-3</t>
  </si>
  <si>
    <t>WOS:000288976500010</t>
  </si>
  <si>
    <t>Aydin, H; Senel, M; Erdemi, H; Baykal, A; Tülü, M; Ata, A; Bozkurt, A</t>
  </si>
  <si>
    <t>Aydin, Hamide; Senel, Mehmet; Erdemi, Hamit; Baykal, Abdulhadi; Tulu, Metin; Ata, Ali; Bozkurt, Ayhan</t>
  </si>
  <si>
    <t>Inorganic-organic polymer electrolytes based on poly(vinyl alcohol) and borane/Poly(ethylene glycol) monomethyl ether for Li-ion batteries</t>
  </si>
  <si>
    <t>In this study, poly(vinyl alcohol) (PVA) was modified with poly(ethylene glycol) monomethyl ether (PEGME) using borane-tetrahydrofuran (BH3/THF) complex. Molecular weights of both PVA and PEGME were varied prior to reaction. Boron containing comb-branched copolymers were produced and abbreviated as PVA1PEGMEX and PVA2PEGMEX. Then polymer electrolytes were successfully prepared by doping of the host matrix with CF3SO3Li at several stoichiomeric ratios with respect to EO to Li. The materials were characterized via nuclear magnetic resonance (H-1 NMR and B-11 NMR). Fourier transform infrared spectroscopy (FT-IR). Thermogravimetry (TG) and differential scanning calorimeter (DSC). The ionic conductivity of these novel polymer electrolytes were studied by dielectric-impedance spectroscopy. Li-ion conductivity of these polymer electrolytes depends on the length of the side units as well as the doping ratio. Such electrolytes possess satisfactory ambient temperature ionic conductivity (&gt;10(-4) Scm(-1)). Cyclic voltammetry results illustrated that the electrochemical stability domain extends over 4V. (C) Elsevier B.V. All rights reserved.</t>
  </si>
  <si>
    <t>Tülü, Metin/AGV-1508-2022; Bozkurt, Ayhan/G-5963-2017; Aydın, Hamide/AAX-1871-2020; Baykal, Abdulhadi/AAF-9826-2019; Senel, Mehmet/V-2463-2018; Bozkurt, Ayhan/AAH-4466-2021</t>
  </si>
  <si>
    <t>Bozkurt, Ayhan/0000-0003-4201-370X; Senel, Mehmet/0000-0001-7366-4746; Baykal, Abdulhadi/0000-0003-3105-0425; Baykal, Abdulhadi/0000-0002-5205-0937; Aydin, Hamide/0000-0002-8267-2040</t>
  </si>
  <si>
    <t>10.1016/j.jpowsour.2010.08.020</t>
  </si>
  <si>
    <t>WOS:000284790200078</t>
  </si>
  <si>
    <t>Ionica-Bousquet, CM; Muñoz-Rojas, D; Casteel, WJ; Pearlstein, RM; Kumar, GG; Pez, GP; Palacín, MR</t>
  </si>
  <si>
    <t>Ionica-Bousquet, C. M.; Munoz-Rojas, D.; Casteel, W. J., Jr.; Pearlstein, R. M.; Kumar, G. Girish; Pez, G. P.; Palacin, M. R.</t>
  </si>
  <si>
    <t>Polyfluorinated boron cluster based slats: A new electrolyte for application in nonaqueous asymmetric AC/Li4Ti5O12 supercapacitors</t>
  </si>
  <si>
    <t>Solution of novel fluorinated lithium dodecaborate (Li2B12FxH12-x) salts have been evaluated as electrolytes in nonaqueous asymmetric supercapacitors with Li4Ti5O12 as negative electrode, and activated (AC) as positive electrode. The results obtained with these new electrolytes were compared with those obtained with cells built using standard 1M LiPF6 dissolved in ethylene carbonate and dimethyl carbonate (EC:DMC; 1:1, v/v) as electrolyte. The Specific energy, rate capability, and cycling performances of nonaqueous asymmetric cells based on these new electrolyte salts were studied. Cells assembled using the new fluoroborate salts show excellent reversibility, coulombic efficiency, rate capability and improved cyclability when compared with the standard electrolyte. These features confirm the suitability of lithium-fluoro-borate based salts to be used in nonaqueous asymmetric supercapacitors. (C) 2010 Elsevier B.V. All rights reserved.</t>
  </si>
  <si>
    <t>Muñoz-Rojas, David/C-1227-2010; Palacin, M. Rosa/H-2163-2012; Palacin, Maria/H-2163-2012</t>
  </si>
  <si>
    <t>Palacin, M. Rosa/0000-0001-7351-2005; Munoz-Rojas, David/0000-0003-1234-0814; Pearlstein, Ronald/0000-0001-9584-1707</t>
  </si>
  <si>
    <t>10.1016/j.jpowsour.2010.08.082</t>
  </si>
  <si>
    <t>WOS:000284790200109</t>
  </si>
  <si>
    <t>Kraytsberg, A; Ein-Eli, Y</t>
  </si>
  <si>
    <t>Kraytsberg, Alexander; Ein-Eli, Yair</t>
  </si>
  <si>
    <t>Review on Li-air batteries-Opportunities, limitations and perspective</t>
  </si>
  <si>
    <t>Li-air batteries are potentially viable ultrahigh energy density chemical power sources, which could potentially offer specific energies up to similar to 3000 Wh kg(-1) being rechargeable. The modern state of art and the challenges in the field of Li-air batteries are considered. Although their implementation holds the greatest promise in a number of applications ranging from portable electronics to electric vehicles, there are also impressive challenges in development of cathode materials and electrolyte systems of these batteries. (C) 2010 Elsevier B.V. All rights reserved.</t>
  </si>
  <si>
    <t>; Ein-Eli, Yair/F-1370-2011</t>
  </si>
  <si>
    <t>Ein-Eli, Yair/0000-0002-3823-4588;</t>
  </si>
  <si>
    <t>10.1016/j.jpowsour.2010.09.031</t>
  </si>
  <si>
    <t>WOS:000284790200002</t>
  </si>
  <si>
    <t>Hiller, MM; Gentschev, AC; Amereller, M; Gores, HJ; Winter, M; Wiemhöfer, HD</t>
  </si>
  <si>
    <t>Lucht, B; Henderson, WA; Jow, TR; Ue, M</t>
  </si>
  <si>
    <t>Hiller, M. M.; Gentschev, A. -C.; Amereller, M.; Gores, H. J.; Winter, M.; Wiemhoefer, H. -D.</t>
  </si>
  <si>
    <t>Salt-in-Polymer Electrolytes Based on Polysiloxanes for Lithium-Ion Cells: Ionic Transport and Electrochemical Stability</t>
  </si>
  <si>
    <t>NON-AQUEOUS ELECTROLYTES FOR LITHIUM BATTERIES</t>
  </si>
  <si>
    <t>ECS Transactions</t>
  </si>
  <si>
    <t>Symposium on Non-Aqueous Electrolytes for Lithium Batteries held during the 218th Meeting of the Electrochemical-Society</t>
  </si>
  <si>
    <t>OCT 10-15, 2010</t>
  </si>
  <si>
    <t>Las Vegas, NV</t>
  </si>
  <si>
    <t>Electrochem Soc (ECS),Battery (BATT),Energy Technol (ETD)</t>
  </si>
  <si>
    <t>In this work, the ion transport and the electrochemical stability has been investigated for cross linked salt-in-polysiloxane membranes containing the two lithium salts with boron based anions, i.e. LiDFOB (lithium difluoro(oxalato) borate) and LiBOB (lithium bis(oxalato) borate) have been investigated. The stability was characterized by cyclic voltammetry at 70 degrees C in a three electrode cell with Li as counter and reference electrodes and a nickel or platinum working electrode. The electrochemical stability window of polysiloxane based electrolytes ranged between 0 V and 4.7 V vs. Li/Li+. The high ionic conductivity of 6.61 x 10(-2) mS/cm at 30 degrees C has been examined with impedance spectroscopy on blocking electrodes. The investigated polymer electrolytes showed an outstanding thermal resistance as confirmed by thermal analysis with DSC. Furthermore, analysis of the lithium transference number has been carried out using the potentiostatic polarization method introduced by BRUCE and VINCENT.</t>
  </si>
  <si>
    <t>Wiemhöfer, Hans-Dieter/E-5381-2010; Gores, Heiner/D-2857-2009; Winter, Martin/AEY-7433-2022</t>
  </si>
  <si>
    <t>Winter, Martin/0000-0003-4176-5811; Hiller, Martin/0000-0001-9680-668X</t>
  </si>
  <si>
    <t>1938-5862</t>
  </si>
  <si>
    <t>978-1-60768-238-7; 978-1-56677-886-2</t>
  </si>
  <si>
    <t>10.1149/1.3563085</t>
  </si>
  <si>
    <t>WOS:000309519200001</t>
  </si>
  <si>
    <t>Oh, SH; Yim, T; Pomerantseva, E; Nazar, LF</t>
  </si>
  <si>
    <t>Oh, Si Hyoung; Yim, Taeeun; Pomerantseva, Ekaterina; Nazar, Linda F.</t>
  </si>
  <si>
    <t>Decomposition Reaction of Lithium Bis(oxalato)borate in the Rechargeable Lithium-Oxygen Cell</t>
  </si>
  <si>
    <t>ELECTROCHEMICAL AND SOLID STATE LETTERS</t>
  </si>
  <si>
    <t>In the Li-oxygen battery, the reactivity of superoxide radicals with the electrolyte system during discharge is known to be one of the key parameters to determine the nature of discharge product. Here, we report that lithium bis(oxalato)borate, a common electrolyte salt, is readily decomposed by superoxide radicals. The solid discharge product from cells using this electrolyte salt was identified as lithium oxalate through ex-situ X-ray diffraction and infrared spectroscopic observations. The nucleophilic substitution reaction at the boron centre by superoxide radicals, followed by a series of reduction and gas evolution reactions, are proposed to account for the overall process which also has implications for other salts. (C) 2011 The Electrochemical Society. [DOI: 10.1149/2.003112esl] All rights reserved.</t>
  </si>
  <si>
    <t>; Nazar, Linda/H-2736-2014; Oh, Sang-Ho/ABB-1412-2021</t>
  </si>
  <si>
    <t>Yim, Taeeun/0000-0002-7057-9308; Nazar, Linda/0000-0002-3314-8197;</t>
  </si>
  <si>
    <t>1099-0062</t>
  </si>
  <si>
    <t>1944-8775</t>
  </si>
  <si>
    <t>A185</t>
  </si>
  <si>
    <t>A188</t>
  </si>
  <si>
    <t>10.1149/2.003112esl</t>
  </si>
  <si>
    <t>WOS:000296661100005</t>
  </si>
  <si>
    <t>Wang, ZJ; Niu, YQ; Du, JL; Xu, NX; Wu, Z</t>
  </si>
  <si>
    <t>Bu, JL; Wang, PC; Ai, L; Sang, XM; Li, YG</t>
  </si>
  <si>
    <t>Wang, Zhenjie; Niu, Yongqiang; Du, Junlin; Xu, Naixin; Wu, Zhu</t>
  </si>
  <si>
    <t>Evaluation of Li-Mg-B alloy anode for intermediate temperature lithium batteries</t>
  </si>
  <si>
    <t>APPLICATIONS OF ENGINEERING MATERIALS, PTS 1-4</t>
  </si>
  <si>
    <t>International Conference on Advanced Engineering Materials and Technology (AEMT2011)International Conference on Civil Engineering and Building Materials (CEBM 2011)</t>
  </si>
  <si>
    <t>JUL 29-31, 2011JUL 29-31, 2011</t>
  </si>
  <si>
    <t>Sanya, PEOPLES R CHINAKunming, PEOPLES R CHINA</t>
  </si>
  <si>
    <t>Hebei United Univ,Inner Mongolia Univ Technol,Korea Maritime UnivKunming Univ Sci &amp; Technol,Int Assoc Sci &amp; High Technol</t>
  </si>
  <si>
    <t>A ternary Li-Mg-B alloy (64%Li, 4%Mg and 32%B, all compositions are reported as weight percent in this paper) foil was prepared and its phase structure and discharge behavior were investigated. The main phases existing in the alloy included Li5B4, Li3Mg7, LiB and Li. Coupled with LiNO3-KNO3 eutectic electrolyte and MnO2 cathode, the anode exhibited great potential in the intermediate temperature lithium batteries. At temperatures above 200 degrees C, two steady voltage plateaus were obtained at near 3V and 2.7V, and the cell displayed an open-circuit voltage exceeding 3.2V. The experimentally measured capacity of the Li-Mg-B alloy was 5427C.g(-1) at 200 degrees C, which was higher than that of LiB alloy (70%Li). Adding magnesium to LiB alloy could lower the cost of anodes without capacity loss.</t>
  </si>
  <si>
    <t>Niu, Yongqiang/G-5091-2018; , wangzhenjie/AHE-4537-2022</t>
  </si>
  <si>
    <t>978-3-03785-192-0</t>
  </si>
  <si>
    <t>287-290</t>
  </si>
  <si>
    <t>1-4</t>
  </si>
  <si>
    <t>10.4028/www.scientific.net/AMR.287-290.1553</t>
  </si>
  <si>
    <t>WOS:000302894000318</t>
  </si>
  <si>
    <t>Zukowska, GZ; Marcinek, M; Drzewiecki, S; Kryczka, J; Syzdek, J; Adamczyk-Wozniak, A; Wieczorek, W; Sporzynski, A</t>
  </si>
  <si>
    <t>Zukowska, Grazyna Z.; Marcinek, Marek; Drzewiecki, Stanislaw; Kryczka, Jolanta; Syzdek, Jaroslaw; Adamczyk-Wozniak, Agnieszka; Wieczorek, Wladyslaw; Sporzynski, Andrzej</t>
  </si>
  <si>
    <t>Studies on the influence of tris(pentafluorophenyl)borane on the properties of ethylene carbonate, dimethyl carbonate and poly(ethylene oxide) dimethyl ether lithium trifluoromethanesulfonate electrolytes</t>
  </si>
  <si>
    <t>In this paper we present our studies on the properties of battery electrolyte based on EC/DMC (ethylene carbonate/dimethyl carbonate, w/w ratio 2:5) and PEODME (poly(ethylene oxide) dimethyl ether) (M-w=500) doped with LiCF3SO3-lithium trifluoromethanesulfonate (LiTf) and modified with TPFPB (tris(pentafluorophenyl)borane) as a potential anion trapping agent. We were particularly interested how this compound behaves in different solvents, e.g. battery mixture EC/DMC and model polymeric matrix PEODME. We also verified stability of the proposed solutions by means of DSC and FTIR, determined influence on conductivity and lithium transference numbers by impedance spectroscopy, and finally attempted to define mechanism of influence of boron addition on different systems. (C) 2010 Elsevier B.V. All rights reserved.</t>
  </si>
  <si>
    <t>; Syzdek, Jaroslaw/AAI-8282-2020; Adamczyk-Woźniak, Agnieszka/F-8786-2013; Żukowska, Grazyna/W-1883-2018</t>
  </si>
  <si>
    <t>Adamczyk-Wozniak, Agnieszka/0000-0002-0571-0197; Wieczorek, Wladyslaw/0000-0002-3881-3838; Marcinek, Marek/0000-0002-7534-0849; Zukowska, Grazyna/0000-0001-5685-1494; Sporzynski, Andrzej/0000-0001-8405-3297</t>
  </si>
  <si>
    <t>10.1016/j.jpowsour.2010.01.026</t>
  </si>
  <si>
    <t>WOS:000280974800002</t>
  </si>
  <si>
    <t>Minakshi, M; Blackford, MG</t>
  </si>
  <si>
    <t>Minakshi, Manickam; Blackford, Mark G.</t>
  </si>
  <si>
    <t>Electrochemical characteristics of B4C or BN added MnO2 cathode material for alkaline batteries</t>
  </si>
  <si>
    <t>Boron compounds generally produce a battery with high energy density. Since boron is an excellent conductor of electricity a battery with a high power density can also be achieved. With this objective, the electrochemical characteristics of boron carbide (B4C) added manganese dioxide (MnO2) for use as a cathode in alkaline battery were investigated during the discharge-charge process. Results of electrochemical measurements, X-ray diffraction and transmission electron microscopy show that boron aids the formation of lithium intercalated MnO2 (LixMnO2) during discharge with some degree of reversibility, however, capacity fade and a steep voltage profile is observed. The addition of boron nitride (BN) improved the discharge performance and characteristics of the cell are also compared and discussed. (C) 2010 Elsevier B.V. All rights reserved.</t>
  </si>
  <si>
    <t>Minakshi, Manickam/K-4891-2012</t>
  </si>
  <si>
    <t>Minakshi, Manickam/0000-0001-6558-8317</t>
  </si>
  <si>
    <t>10.1016/j.matchemphys.2010.05.041</t>
  </si>
  <si>
    <t>WOS:000281175500060</t>
  </si>
  <si>
    <t>Zygadlo-Monikowska, E; Florjanczyk, Z; Kubisa, P; Biedron, T; Tomaszewska, A; Ostrowska, J; Langwald, N</t>
  </si>
  <si>
    <t>Zygadlo-Monikowska, E.; Florjanczyk, Z.; Kubisa, P.; Biedron, T.; Tomaszewska, A.; Ostrowska, J.; Langwald, N.</t>
  </si>
  <si>
    <t>Mixture of LiBF4 and lithium difluoro(oxalato)borate for application as a new electrolyte for lithium-ion batteries</t>
  </si>
  <si>
    <t>4th International Conference on Polymer Batteries and Fuel Cells</t>
  </si>
  <si>
    <t>AUG 02-06, 2009</t>
  </si>
  <si>
    <t>Jeju Isl, SOUTH KOREA</t>
  </si>
  <si>
    <t>An equimolar mixture of fluoroborate salts: LiBF4 and lithium difluoro(oxalate)borate LiBF2(C2O4) (MIX-LiFBs) was obtained from a simple one-step reaction of lithium oxalate and boron fluoride. Voltamperommetry shows that the salt obtained is stable in the potential range of 4.9 V. Impedance measurements of liquid electrolytes involving imidazolium ionic liquid and aliphatic carbonates have been carried out, which show the highest ionic conductivity of the order of 10(-3) S cm(-1) (and low activation energy of 0.14 eV) when using carbonates as the solvent. The mixture of fluoroborate salts MIX-LiFBs used as a component of solid polymer electrolytes provides much higher ionic conductivity values at high salt concentrations in polymer-in-salt systems. The conductivity of solid polymer electrolytes was considerably increased by adding a low-molecular-weight organic plasticizer. (C) 2009 Elsevier B.V. All rights reserved.</t>
  </si>
  <si>
    <t>Kubisa, Przemyslaw/AAO-1578-2021</t>
  </si>
  <si>
    <t>Florjanczyk, Zbigniew/0000-0002-0619-944X; Zygadlo-Monikowska, Ewa/0000-0003-0478-9160</t>
  </si>
  <si>
    <t>10.1016/j.jpowsour.2009.10.083</t>
  </si>
  <si>
    <t>WOS:000279203100065</t>
  </si>
  <si>
    <t>Qin, Y; Chen, ZH; Lee, HS; Yang, XQ; Amine, K</t>
  </si>
  <si>
    <t>Qin, Yan; Chen, Zonghai; Lee, H. S.; Yang, X-Q; Amine, K.</t>
  </si>
  <si>
    <t>Effect of Anion Receptor Additives on Electrochemical Performance of Lithium-Ion Batteries</t>
  </si>
  <si>
    <t>Four boron-based anion receptors were investigated as electrolyte additives for lithium-ion batteries. The electrochemical performance of lithium-ion cells was found to strongly depend on the structure of the anion receptor added to the electrolyte. The capacity retention of the lithium-ion cell was slightly improved by adding 0.07 M bis(1,1,1,3,3,3-hexafluoroisopropyl)pentafluorophenylboronate additive, whereas the addition of 2,5-bis(trifluoromethylphenyl)tetrafluoro-1,3,2-benzodioxaborole dramatically deteriorated the electrochemical performance. The addition of a certain type of anion receptor can promote the electrochemical decomposition of the electrolyte, resulting in high interfacial impedance and accelerated capacity fading of lithium-ion cells. Ab initio calculations showed that the electrochemical performance of anion receptors had good correlation to the degree of localization of the lowest unoccupied molecular orbital at the boron center of anion receptors, which can potentially be used in the search for new anion receptors for lithium-ion batteries.</t>
  </si>
  <si>
    <t>Chen, Zonghai/K-8745-2013; Amine, Khalil/K-9344-2013</t>
  </si>
  <si>
    <t>Amine, Khalil/0000-0001-9206-3719;</t>
  </si>
  <si>
    <t>SEP 9</t>
  </si>
  <si>
    <t>10.1021/jp104341t</t>
  </si>
  <si>
    <t>WOS:000284520100078</t>
  </si>
  <si>
    <t>Celik, Sevim Uenueguer; Bozkurt, Ayhan</t>
  </si>
  <si>
    <t>Polymer electrolytes based on the doped comb-branched copolymers for Li-ion batteries</t>
  </si>
  <si>
    <t>In this work, poly(4-vinylbenzeneboronic acid), PVBBA was synthesized via free-radical polymerization of 4-vinylbenzeneboronic acid (4-VBBA) and followed by modification with polyethylene glycol monomethy-lether (PEGME) with different molecular weights to produce boron containing comb-branched copolymers and abbreviated as PVBBAPEGMEX. Then copolymer electrolytes were successfully prepared by doping of the host matrix with CF3SO3Li at several stoichiometric ratios to get PVBBAPEGMEX-Y (X is the molecular weight of PEGME and Y is the EO/Li ratio). The materials were characterized by using Fourier transform infrared spectroscopy (FT-IR), nuclear magnetic resonance (H-1-NMR and B-11-NMR), thermogravimetry (TG) and differential scanning calorimeter (DSC). The ionic conductivity of these novel copolymer electrolytes was studied by dielectric-impedance spectroscopy. Li-ion conductivity of these copolymer electrolytes depends on the length of the side units as well as the doping ratio. Such electrolytes possess satisfactory ambient temperature ionic conductivity (exceeding 10(-4) S/cm) and good mechanical strength. At higher doping ratios, Vogel-Tamman-Fulcher (VTF) behavior of conductivity implies the coupling of the charge carriers with the segmental motion of the polymer chains. (C) 2010 Elsevier B.V. All rights reserved.</t>
  </si>
  <si>
    <t>Bozkurt, Ayhan/AAH-4466-2021; Bozkurt, Ayhan/G-5963-2017</t>
  </si>
  <si>
    <t>Bozkurt, Ayhan/0000-0003-4201-370X</t>
  </si>
  <si>
    <t>JUL 26</t>
  </si>
  <si>
    <t>21-22</t>
  </si>
  <si>
    <t>10.1016/j.ssi.2010.05.039</t>
  </si>
  <si>
    <t>WOS:000280820200006</t>
  </si>
  <si>
    <t>Xue, ZM; Ji, CQ; Zhou, W; Chen, CH</t>
  </si>
  <si>
    <t>Xue, Zhao-Ming; Ji, Chun-Qin; Zhou, Wei; Chen, Chun-Hua</t>
  </si>
  <si>
    <t>A new lithium salt with 3-fluoro-1,2-benzenediolato and oxalato complexes of boron for lithium battery electrolytes</t>
  </si>
  <si>
    <t>A new unsymmetrical lithium salt, lithium [3-fluoro-1,2-benzenediolato(2-)-o,o' oxalato]borate (FLB-DOB), is synthesized and characterized. The thermal characteristics of FLBDOB and its counterparts lithium bis[3-fluoro-1,2-benzenediolato(2-)-o,o]borate (FLBBB) and lithium bis[oxalate]borate (LBOB) are examined and compared by thermogravimetric analysis (TG). The thermal decomposition of these salts in air is found to begin at 302, 262 and 256 degrees C for LBOB, FLBDOB and FLBBB, respectively. The order of the stability toward oxidation of these organoborates is LBOB&gt;FLBDOB&gt;FLBBB, which is in the same order of the thermal stability. The cyclic voltammetry study shows that the FLBDOB solution in PC is stable up to 4.0V versus Li(+)/Li. It is soluble in common organic solvents such as propylene carbonate (PC), ethylene carbonate (EC), 1,2-dimethoxyethane (DME), and tetrahydrofuran (THF). Ionic dissociation properties of FLBDOB and the counterparts in PC, PC+THF, PC+DME, EC+DME, EC+THF (molar ratio 1: 1) solutions are also examined by conductivity measurements. The conductivity values of the 0.10 mol dm(-3) FLBDOB electrolyte in PC, PC + THF, PC + DME, EC + DME, EC+THF solutions are higher than those of FLBBB, but lower than those of LBOB electrolytes. (C) 2010 Published by Elsevier B.V.</t>
  </si>
  <si>
    <t>10.1016/j.jpowsour.2009.12.049</t>
  </si>
  <si>
    <t>WOS:000275386100048</t>
  </si>
  <si>
    <t>Sasaki, Y; Satake, H; Tsukimori, N; Nanbu, N; Takehara, M; Ue, M</t>
  </si>
  <si>
    <t>Sasaki, Yukio; Satake, Haruhiko; Tsukimori, Naoko; Nanbu, Noritoshi; Takehara, Masahiro; Ue, Makoto</t>
  </si>
  <si>
    <t>Physical and Electrolytic Properties of Partially Fluorinated Methyl Propyl Carbonate and Its Application to Lithium Batteries</t>
  </si>
  <si>
    <t>The physical and electrolytic properties, and charge-discharge characteristics for secondary lithium batteries of partially fluorinated methyl propyl carbonate (MPC) derivatives were examined. Dielectric constants of the fluorinated MPC derivatives except 2,2,3,3,3-pentafluoropropyl methyl carbonate (PFPMC) tend to increase with increasing the number of fluorine atom. Viscosity of PFPMC with the highest molar volume is lower than those of other fluorinated MPC derivatives. Donor numbers (DN) of the fluorinated MPC derivatives were estimated by Si-29 NMR chemical shifts of triphenylsilanol. DN of the fluorinated MPC derivatives except PFPMC tends to decrease with increasing the number of fluorine atom. 3-Fluoropropyl methyl carbonate (FPMC) shows the highest specific conductivity at the temperature above about 25 degrees C. Oxidative decomposition potentials of the fluorinated MPC derivatives tend to increase with increasing the number of fluorine atom. PC-FPMC electrolyte shows higher lithium electrode cycling efficiency. Every PC-based fluorinated MPC derivative electrolyte shows higher discharge capacities for Li vertical bar LiCoO2 cells.</t>
  </si>
  <si>
    <t>UE, Makoto/H-2822-2011</t>
  </si>
  <si>
    <t>takehara, masahiro/0000-0002-9990-4506; Ue, Makoto/0000-0002-3980-9478</t>
  </si>
  <si>
    <t>10.5796/electrochemistry.78.467</t>
  </si>
  <si>
    <t>WOS:000277593800044</t>
  </si>
  <si>
    <t>Lü, DS; Li, WS; Tan, CL; Zeng, RH</t>
  </si>
  <si>
    <t>Lue Dongsheng; Li Weishan; Tan Chunlin; Zeng Ronghua</t>
  </si>
  <si>
    <t>PREPARATION AND ELECTROCHEMICAL BEHAVIORS OF Co-B ALLOY POWDERS</t>
  </si>
  <si>
    <t>ACTA METALLURGICA SINICA</t>
  </si>
  <si>
    <t>Alkaline rechargeable batteries, such as Ni/Cd batteries and Ni/MH batteries have been widely used as power sources, however, their further applications are limited due to contamination of Cd in Ni/Cd batteries and lower discharge capacities of Ni/MH batteries. Some metal borides, such as Co-B, Ni-B, Fe-B, V-B and Ti-B, have been known to own very high discharge capacity in alkaline aqueous solution, in which Co-B alloy exhibits the highest reversible discharge capacity and the best cyclic stability. However, the reversible capacity of Co-B alloy prepared by arc melting process is usually less than 250 mA.h/g, which is only one fourth of the theoretical capacity of the alloy electrode (908 mA.h/g). In the present study, chemical reduction method was used to prepare Co-B alloy to further enhance the electrochemical capacity of the alloy. A series of ultrafine powders of amorphous Co-B alloys, Co0.68B0.32, Co0.55B0.45 and Co0.50B0.50, were prepared by reducing CoSO4 with solution of NaBH4. Electrochemical measurements indicate that the prepared alloys exhibit excellent electrochemical properties. At a high current density of 300 mA/g, the initial discharge capacities of these alloys are 510.6, 666.4 and 667.2 mA.h/g, respectively, their discharge capacities still keep 331.6, 379.5 and 390.5 mA.h/g after 60 eye, respectively Even at a discharge current density as high as 1200 mA/g, the three alloys still deliver reversible capacities of 336.2, 373.4 and 390.1 mA.h/g, respectively. In the Co-B alloy electrodes, the boron atoms have two functions. First, boron can be oxidized to BO33-, thereby partly contributes to the discharge capacity. Second, most importantly, the gradual dissolution of boron into the electrolyte (in the form of BO33-) during the charging/discharging creates a new surface in the electrodes, which can effectively increase the surface area of the active material in contact with the electrolyte. The alloy with higher boron content thereby can produce a larger reaction surface area by boron dissolution than the alloy prepared with lower B content. So the higher B content in the Co-B alloys can be helpful for improving their electrochemical properties.</t>
  </si>
  <si>
    <t>Tan, Chunlin/MZQ-5167-2025</t>
  </si>
  <si>
    <t>0412-1961</t>
  </si>
  <si>
    <t>MAR 11</t>
  </si>
  <si>
    <t>10.3724/SP.J.1037.2010.00346</t>
  </si>
  <si>
    <t>WOS:000276824000013</t>
  </si>
  <si>
    <t>Shanmukaraj, D; Grugeon, S; Gachot, G; Laruelle, S; Mathiron, D; Tarascon, JM; Armand, M</t>
  </si>
  <si>
    <t>Shanmukaraj, Devaraj; Grugeon, Sylvie; Gachot, Gregory; Laruelle, Stephane; Mathiron, David; Tarascon, Jean-Marie; Armand, Michel</t>
  </si>
  <si>
    <t>Boron Esters as Tunable Anion Carriers for Non-Aqueous Batteries Electrochemistry</t>
  </si>
  <si>
    <t>Compounds like LiF, Li2O, and Li2O2 have considerable importance in batteries; the first two are ubiquitous in the protective SEI at the negative electrode, or the result of conversion reactions with fluorides and oxides. The latter, Li2O2. forms from oxygen reduction in the much vaunted Li/air batteries. Mastering their solubility in Li-based electrolytes is viewed as essential for further progress in battery safety, lifetime, or capacity. Aprotic solvents cannot provide the H-bonds necessary to their dissolution, and simple practical solutions have yet to materialize. Here we disclose a novel and large family of boron esters of general formula Y-C((CH2O)(Z(1)O)(Z(2)O))B whose Lewis acidity stems from geometrical constraint and can be tuned via electron affinity either by Y = CH3 double right arrow Y = NO2 or Z(1,2) = CH2 double right arrow Z(1,2) = CO so as to partially or fully dissolve the above compounds both in battery solvent EC/DMC and in DMF. The extreme simplicity of synthesis and variability of these boron-based anion carriers, where the exchange rate is fast, are not only a valuable addition to coordination science but also a step forward to improve present battery systems.</t>
  </si>
  <si>
    <t>Armand, Michel/HMV-0633-2023; Tarascon, Jean-Marie/B-5952-2016; Devaraj, Shanmukaraj/F-8437-2016</t>
  </si>
  <si>
    <t>Devaraj, Shanmukaraj/0000-0001-8315-2699</t>
  </si>
  <si>
    <t>10.1021/ja9093814</t>
  </si>
  <si>
    <t>WOS:000275660500044</t>
  </si>
  <si>
    <t>Ionica-Bousquet, CM; Muñoz-Rojas, D; Casteel, WJ; Pearlstein, RM; GirishKumar, G; Pez, GP; Palacín, MR</t>
  </si>
  <si>
    <t>Ionica-Bousquet, C. M.; Munoz-Rojas, D.; Casteel, W. J.; Pearlstein, R. M.; GirishKumar, G.; Pez, G. P.; Palacin, M. R.</t>
  </si>
  <si>
    <t>Polyfluorinated boron cluster-based salts: A new electrolyte for application in Li4Ti5O12/LiMn2O4 rechargeable lithium-ion batteries</t>
  </si>
  <si>
    <t>The cycling performance of Li4Ti5O12 and LiMn2O4 electrode materials has been studied in half and complete Li-ion cells with two new polyfluorinated boron cluster lithium salts (Li2B12FxH12-x) as the electrolytes. The results were compared with those obtained for the standard electrolyte, 1 M LiPF6 dissolved in ethylene carbonate and dimethyl carbonate (EC:DMC: 1:1, v/v). Three different technologies were employed for electrode fabrication: powder mixture, self-standing films and films deposited on the current collector. The latter exhibit the most interesting behavior and best performance. Cells assembled using the new electrolyte salts show excellent reversibility. coulombic efficiency, rate capability and cyclability comparable with the standard electrolyte. These features confirm the feasibility of using these polyfluorinated boron cluster-based salts as new stable Li-ion battery electrolytes. (C) 2009 Elsevier B.V. All rights reserved.</t>
  </si>
  <si>
    <t>; Palacin, Maria/H-2163-2012; Muñoz-Rojas, David/C-1227-2010; Palacin, M. Rosa/H-2163-2012</t>
  </si>
  <si>
    <t>Munoz-Rojas, David/0000-0003-1234-0814; Pearlstein, Ronald/0000-0001-9584-1707; Palacin, M. Rosa/0000-0001-7351-2005</t>
  </si>
  <si>
    <t>10.1016/j.jpowsour.2009.09.023</t>
  </si>
  <si>
    <t>WOS:000272058600027</t>
  </si>
  <si>
    <t>Tong, DG; Wang, D; Chu, W; Sun, JH; Wu, P</t>
  </si>
  <si>
    <t>Tong, D. G.; Wang, D.; Chu, W.; Sun, J. H.; Wu, P.</t>
  </si>
  <si>
    <t>Cobalt-boron amorphous alloy prepared in water/cetyl-trimethyl-ammonium bromide/n-hexanol microemulsion as anode for alkaline secondary batteries</t>
  </si>
  <si>
    <t>Amorphous cobalt-boron (Co-B) with uniform nanoparticles was prepared for the first time via reduction of cobalt acetate by potassium borohydride in the water/cetyl-trimethyl-ammonium bromide/n-hexanol microemulsion system. The sample was characterized by X-ray diffraction, transmission electron microscopy, nitrogen adsorption-desorption, X-ray photoelectron spectroscopy, inductively coupled plasma, cyclic voltammetry, differential scanning calorimetry, temperature-programmed desorption. scanning electron microscopy, charge-discharge test and electrochemical impedance spectra. The results demonstrate that electrochemical activity of the as-synthesized Co-B was higher than that of the regular Co-B prepared in aqueous solution. It indicates that the homogeneous distribution and large specific surface area helped the electrochemical hydrogen storage of the as-synthesized Co-B. Furthermore, the as-synthesized Co-B even had 347 mAh g(-1) after 50 cycles, while the regular Co-B prepared in aqueous solution only had 254 mAh g(-1) after 30 cycles at a current of 100 mA g(-1). The better cycling performance can be ascribed to its smaller interfacial impedance between electrode and electrolyte. (C) 2009 Elsevier Ltd. All rights reserved.</t>
  </si>
  <si>
    <t>Chu, Wei/C-6140-2011</t>
  </si>
  <si>
    <t>Chu, Wei/0000-0002-7166-5443; Tong, Dong Ge/0000-0001-9106-4373</t>
  </si>
  <si>
    <t>10.1016/j.electacta.2009.11.082</t>
  </si>
  <si>
    <t>WOS:000275540100013</t>
  </si>
  <si>
    <t>Xue, ZM; Zhao, JF; Ding, J; Chen, CH</t>
  </si>
  <si>
    <t>Xue, Zhao-Ming; Zhao, Jun-Fei; Ding, Jia; Chen, Chun-Hua</t>
  </si>
  <si>
    <t>LBDOB, a new lithium salt with benzenediolato and oxalato complexes of boron for lithium battery electrolytes</t>
  </si>
  <si>
    <t>A new unsymmetrical lithium salt containing C(6)H(4)O(2)(2-)[dianion of 1,2-benzenediol] and C(2)O(4)(2-)[dianion of oxalic acid], lithium [1,2-benzenediolato(2-)-O,O' oxalato]borate (LBDOB), is synthesized and characterized. The thermal characteristics of it, lithium bis[1,2-benzenediolato(2-)-O,O']borate (LBBB) and lithium bis(oxalate)borate (LiBOB) are examined by thermogravimetric (TG) analysis. The thermal decomposition in Ar begins at 250, 256, and 302 degrees C for LBBB, LBDOB, and LBOB, respectively. The order of the stability toward oxidation of these organoborates is LBOB &gt; LBDOB &gt; LBBB, which is in the same order of the thermal stability. The cyclic voltammetry Study shows that the LBDOB solution in PC is stable up to 3.7 V vs. Li(+)/Li. They are soluble in common organic solvents. Ionic dissociation properties of LBDOB and its derivatives are examined by conductivity measurements in PC, PC+DME, EC+DME, PC+THF, EC+THF(molar ratio 1:1)solutions. The conductivity values of the 0.10mold m(-3) LBDOB electrolyte in PC, PC + DME, EC + DME, PC + THF, EC + THF solutions are higher than those of LBBB. but lower than those of LBOB electrolytes. (C) 2009 Elsevier B.V. All rights reserved.</t>
  </si>
  <si>
    <t>Chen, Chunhua/F-5897-2010</t>
  </si>
  <si>
    <t>Chen, Chunhua/0000-0001-9589-6329</t>
  </si>
  <si>
    <t>10.1016/j.jpowsour.2009.08.038</t>
  </si>
  <si>
    <t>WOS:000271171900023</t>
  </si>
  <si>
    <t>Horino, T; Tamada, H; Kishimoto, A; Kaneko, J; Iriyama, Y; Tanaka, Y; Fujinami, T</t>
  </si>
  <si>
    <t>Horino, T.; Tamada, H.; Kishimoto, A.; Kaneko, J.; Iriyama, Y.; Tanaka, Y.; Fujinami, T.</t>
  </si>
  <si>
    <t>High Voltage Stability of Interfacial Reaction at the LiMn2O4 Thin-Film Electrodes/Liquid Electrolytes with Boroxine Compounds</t>
  </si>
  <si>
    <t>Liquid electrolytes with boroxine compounds were prepared, and interfacial reactions at the liquid electrolytes/LiMn2O4 thin-film electrodes were investigated. Boroxine compounds, B3O3(OR)(3), with different kinds of substituents [R = CH3, CH2CH3, (CH2)(2)CH3, and CH(CH3)(2)] were dissolved in 1 mol kg(-1) LiCF3SO3/ethylene carbonate + EMC (1:1 by volume). Both cyclic voltammetry and electrical impedance spectroscopy measurements revealed that interfacial resistance depended on the chain length in the substituent of the boroxine compounds, and the resistance decreased with the increase in the chain length. Moreover, the anodic stability of the electrolytes was improved up to 5.0 V (vs Li/Li+) on the film electrodes by the addition of tri-isopropoxy boroxine [R = CH(CH3)(2)] with a steric structure (branched chain substituent). These results indicate that mixing boroxine compounds with both appropriate chain length and steric structure can be an effective way to develop advanced liquid electrolytes for high voltage rechargeable lithium ion batteries. (C) 2010 The Electrochemical Society. [DOI: 10.1149/1.3374638] All rights reserved.</t>
  </si>
  <si>
    <t>A677</t>
  </si>
  <si>
    <t>A681</t>
  </si>
  <si>
    <t>10.1149/1.3374638</t>
  </si>
  <si>
    <t>WOS:000277260200010</t>
  </si>
  <si>
    <t>Minakshi, M; Blackford, MG; Thorogood, GJ; Issa, TB</t>
  </si>
  <si>
    <t>Minakshi, Manickam; Blackford, Mark G.; Thorogood, Gordon J.; Issa, Touma B.</t>
  </si>
  <si>
    <t>The effect of B4C addition to MnO2 in a cathode material for battery applications</t>
  </si>
  <si>
    <t>Boron carbide (B4C) added manganese dioxide (MnO2) used as a cathode material for a Zn-MnO2 battery using aqueous lithium hydroxide (LiOH) as the electrolyte is known to have higher discharge capacity but with a lower average discharge voltage than pure MnO2 (additive free). The performance is reversed when using potassium hydroxide (KOH) as the electrolyte. Herein, the MnO2 was mixed with 0, 5,7 and 10 wt.% of boron carbide during the electrode preparation. The discharge performance of the Zn vertical bar LiOH vertical bar MnO2 battery was improved by the addition of 5-7 wt.% boron carbide in MnO2 cathode as compared with the pure MnO2. However, increasing the additive to 10 wt.% causes a decrease in the discharge capacity. The performance of the Zn vertical bar KOH vertical bar MnO2 battery was retarded by the boron carbide additive. Transmission electron microscopy (TEM), and energy dispersive X-ray spectroscopy analysis (EDS) results show evidence of crystalline MnO2 particles during discharging in LiOH electrolyte, whereas, manganese oxide particles with different oxygen and manganese counts leading to mixture of phases is observed for KOH electrolyte which is in agreement with X-ray diffraction (XRD) data. The enhanced discharge capacity indicates that boron atoms promote lithium intercalation during the electrochemical process and improved the performance of the Zn vertical bar LiOH vertical bar MnO2 battery. This observed improvement may be a consequence of B4C suppressing the formation of undesirable Mn(III) phases, which in turn leads to enhanced lithium intercalation. Too much boron carbide hinders the charge carrier which inhibits the discharge capacity. (C) 2009 Elsevier Ltd. All rights reserved.</t>
  </si>
  <si>
    <t>; Issa, Touma/C-6295-2013; Thorogood, Gordon/A-7411-2008; Minakshi, Manickam/K-4891-2012</t>
  </si>
  <si>
    <t>Minakshi, Manickam/0000-0001-6558-8317; Thorogood, Gordon/0000-0001-9993-7896; Issa, Touma/0000-0003-0913-3857;</t>
  </si>
  <si>
    <t>10.1016/j.electacta.2009.09.062</t>
  </si>
  <si>
    <t>WOS:000274020200060</t>
  </si>
  <si>
    <t>Horopanitis, EE; Perentzis, G; Beck, A; Guczi, L; Peto, G; Papadimitriou, L</t>
  </si>
  <si>
    <t>Horopanitis, E. E.; Perentzis, G.; Beck, A.; Guczi, L.; Peto, G.; Papadimitriou, L.</t>
  </si>
  <si>
    <t>Identification of the presence of crystalline phase in lithiated boron oxide ionic glass conductors</t>
  </si>
  <si>
    <t>5th International Workshop on Nanosciences and Nanotechnologies</t>
  </si>
  <si>
    <t>JUL 14-16, 2008</t>
  </si>
  <si>
    <t>Thessaloniki, GREECE</t>
  </si>
  <si>
    <t>The presence of crystalline phase in low and medium lithium content boron oxide glasses xLi(2)O-B2O3, with x = 0.3-2.5, has been detected by combined infrared and impedance measurements. The borate glass samples apparently consist of one single phase, the vitreous. However, characteristic absorption bands appearing in infrared spectra of samples with x &gt;= 0.8 indicate the presence of crystalline Li2O. Further evidence is provided by the gradual appearance and disappearance with increasing temperature of an additional electrical relaxation in impedance spectra, corresponding to the crystalline phase present in the borate glasses, which is associated with Li2O. (c) 2009 Elsevier B.V. All rights reserved.</t>
  </si>
  <si>
    <t>10.1016/j.mseb.2009.09.015</t>
  </si>
  <si>
    <t>WOS:000273157800005</t>
  </si>
  <si>
    <t>Muñoz, F; Montagne, L; Pascual, L; Durán, A</t>
  </si>
  <si>
    <t>Munoz, Francisco; Montagne, Lionel; Pascual, Luis; Duran, Alicia</t>
  </si>
  <si>
    <t>Composition and structure dependence of the properties of lithium borophosphate glasses showing boron anomaly</t>
  </si>
  <si>
    <t>JOURNAL OF NON-CRYSTALLINE SOLIDS</t>
  </si>
  <si>
    <t>This work presents a study on the structure, microstructure and properties of 50Li(2)O center dot xB(2)O(3)center dot(50 - x)P(2)O(5) glasses. The structure has been studied through NMR spectroscopy and the microstructure by TEM. The properties of the glasses are discussed according to their structure and microstructural features. The introduction of boron produces new linkages between phosphate chains through P-O-B bonds, whose amount increases with boron incorporation; at the same time, a depolymerisation of the phosphate chains into Q(1)-type phosphate units takes place. The introduction of boron produces an increase in T(g) together with a decrease in the molar volume. The room temperature electrical conductivity increases with boron content as well. However, B(2)O(3) contents higher than 20 mol% lead to crystallisation of lithium orthophosphate which contributed to hinder ionic conduction of the glasses. (C) 2009 Elsevier B.V. All rights reserved.</t>
  </si>
  <si>
    <t>; montagne, lionel/C-8622-2011; Duran, Alicia/IUN-6439-2023</t>
  </si>
  <si>
    <t>Duran, Alicia/0000-0002-0067-1934; montagne, lionel/0000-0001-7607-8558; Munoz, Francisco/0000-0002-7322-6559</t>
  </si>
  <si>
    <t>0022-3093</t>
  </si>
  <si>
    <t>52-54</t>
  </si>
  <si>
    <t>10.1016/j.jnoncrysol.2009.09.013</t>
  </si>
  <si>
    <t>WOS:000272760700008</t>
  </si>
  <si>
    <t>Li, LF; Lee, HS; Li, H; Yang, XQ; Huang, XJ</t>
  </si>
  <si>
    <t>Li, L. F.; Lee, H. S.; Li, H.; Yang, X. Q.; Huang, X. J.</t>
  </si>
  <si>
    <t>A pentafluorophenylboron oxalate additive in non-aqueous electrolytes for lithium batteries</t>
  </si>
  <si>
    <t>A novel compound named pentafluorophenyl boron oxalate (PFPBO) has been synthesized. PFPBO has a unique molecular structure containing a boron atom center with electron deficiency and an oxalate group. It is found that when PFPBO is used as additive, the solubility of lithium fluoride (LiF) or lithium oxide (Li2O, Li2O2) in propylene carbonate (PC) and dimethyl carbonate (DMC) solvents can be increased dramatically. The new electrolytes show high ionic conductivity, high lithium ion transference number and good compatibility with LiMn2O4 cathode and MCMB anode. PFPBO was synthesized with the designed structure to act as a bi-functional additive: boron-based anion receptor (BBAR) additive and stable solid electrolyte interphase (SEI) formation additive in PC-based electrolytes. The results show it does possess these two desired functionalities. (C) 2009 Elsevier B.V. All rights reserved.</t>
  </si>
  <si>
    <t>LI, Hong/C-4643-2008; Huang, Xuejie/ACZ-0959-2022; Li, Hong/C-4643-2008</t>
  </si>
  <si>
    <t>LI, Hong/0000-0002-8659-086X;</t>
  </si>
  <si>
    <t>10.1016/j.elecom.2009.10.015</t>
  </si>
  <si>
    <t>WOS:000272573700010</t>
  </si>
  <si>
    <t>Wang, Y; Guang, XY; Cao, YL; Ai, XP; Yang, HX</t>
  </si>
  <si>
    <t>Wang, Y.; Guang, X. Y.; Cao, Y. L.; Ai, X. P.; Yang, H. X.</t>
  </si>
  <si>
    <t>Electrooxidation and dischargeability of transition-metal borides as possible anodic materials in neutral aqueous electrolytes</t>
  </si>
  <si>
    <t>A number of transition-metal borides were studied as anodic materials for neutral aqueous batteries. These borides are shown to have considerably high electrochemical activities in neutral electrolytes. The discharge capacities for TiB2 reach 1,350 mAh g(-1) at a constant current density of 50 mA g(-1), exceeding those for all the metal electrodes reported so far. Amorphous CoBx can deliver a discharge capacity of &gt; 650 mAh g(-1), and even simply ball-milled FeBx can also give a discharge capacity of &gt; 200 mAh g(-1). These results suggest the possible use of boride compounds as a large family of new anodic materials for constructing neutral aqueous batteries with high electrochemical capacity and rate capability.</t>
  </si>
  <si>
    <t>Cao, Yuliang/AFM-3253-2022</t>
  </si>
  <si>
    <t>Cao, Yuliang/0000-0001-6092-5652</t>
  </si>
  <si>
    <t>10.1007/s10800-008-9753-6</t>
  </si>
  <si>
    <t>WOS:000266821100012</t>
  </si>
  <si>
    <t>Itoh, T; Mitsuda, Y; Ebina, T; Uno, T; Kubo, M</t>
  </si>
  <si>
    <t>Itoh, Takahito; Mitsuda, Yukihiro; Ebina, Takayuki; Uno, Takahiro; Kubo, Masataka</t>
  </si>
  <si>
    <t>Solid polymer electrolytes composed of polyanionic lithium salts and polyethers</t>
  </si>
  <si>
    <t>14th International Meeting on Lithium Batteries</t>
  </si>
  <si>
    <t>JUN 22-28, 2008</t>
  </si>
  <si>
    <t>Tianjin, PEOPLES R CHINA</t>
  </si>
  <si>
    <t>Tianjin Inst Power Sources,China Ind Assoc Power Sources,Tianjin Local Govt</t>
  </si>
  <si>
    <t>Solid polymer electrolytes are prepared by the combination of a polyether, poly(ethylene oxide) (PEO) or poly(ethylene oxide-co-propylene oxide) (P(EO/PO)), and a polyanionic lithium salt, (poly(lithium sorbate) (Poly(Li-Sorb)) or poly(lithium muconate) (Poly(Li-Muco)), and their ionic conductivities, lithium ion transference number electrochemical stabilities, thermal properties, and mechanical strength were investigated in the absence and presence of BF3 center dot OEt2. The ionic conductivities of all solid polymer electrolytes were enhanced by one to two orders of magnitude with addition of BF3 center dot OEt2, because the dissociation of lithium ion and carboxylate anion was promoted by complexation with BF3. The lithium ion transference number in these solid polymer electrolytes showed relatively high values of 0.45-0.88, due to the suppression of the transport of the large counter polymeric anion. These solid polymer electrolytes showed good electrochemical and thermal stabilities. and also, the mechanical strength of the solid polymer electrolytes was improved by the function of crystalline poly(lithium carboxylate)s as a sort of filler. (c) 2008 Elsevier B.V. All rights reserved.</t>
  </si>
  <si>
    <t>10.1016/j.jpowsour.2008.10.113</t>
  </si>
  <si>
    <t>WOS:000265317600088</t>
  </si>
  <si>
    <t>Li, LF; Xie, B; Lee, HS; Li, H; Yang, XQ; McBreen, J; Huang, XJ</t>
  </si>
  <si>
    <t>Li, L. F.; Xie, B.; Lee, H. S.; Li, H.; Yang, X. Q.; McBreen, J.; Huang, X. J.</t>
  </si>
  <si>
    <t>Studies on the enhancement of solid electrolyte interphase formation on graphitized anodes in LiX-carbonate based electrolytes using Lewis acid additives for lithium-ion batteries</t>
  </si>
  <si>
    <t>The new electrolyte systems utilizing one type of Lewis acids, the boron based anion receptors (BBARs) with LiF, Li2O, or Li2O2 in carbonate solutions have been developed and reported by us. These systems open up a new approach in developing non-aqueous electrolytes with higher operating voltage and less moisture sensitivity for lithium-ion batteries. However. the formation of a stable solid electrolyte interphase (SEI) layer on the graphitized anodes is a serious problem needs to be solved for these new electrolyte systems, especially when propylene carbonate (PC) is used as a co-solvent. Using lithium bis(oxalato)borate (LiBOB) as an additives, the SEI layer formation on mesophase carbon microbeads (MCMB) anode is significantly enhanced in these new electrolytes containing boron-based anion receptors. Such as tris(pentafluorophenyl) borane, and lithium salt such as LiF, or lithium oxides such as Li2O or Li2O2 in PC and dimethyl carbonate (DMC) solvents. The cells using these electrolytes and MCMB anodes cycled very well and the PC co-intercalation was suppressed. Fourier transform infrared spectroscopy (FTIR) studies show that one of the electrochemical decomposition products of LiBOB, lithium carbonate (Li2CO3), plays a quite important role in the stablizing SEI layer formation. (c) 2008 Elsevier B.V. All rights reserved.</t>
  </si>
  <si>
    <t>Huang, Xuejie/ACZ-0959-2022; Xie, Baoquan/A-1417-2012; Li, Hong/C-4643-2008; LI, Hong/C-4643-2008</t>
  </si>
  <si>
    <t>10.1016/j.jpowsour.2008.10.063</t>
  </si>
  <si>
    <t>WOS:000265317600090</t>
  </si>
  <si>
    <t>Matsuo, M; Takamura, H; Maekawa, H; Li, HW; Orimo, S</t>
  </si>
  <si>
    <t>Matsuo, Motoaki; Takamura, Hitoshi; Maekawa, Hideki; Li, Hai-Wen; Orimo, Shin-ichi</t>
  </si>
  <si>
    <t>Stabilization of lithium superionic conduction phase and enhancement of conductivity of LiBH4 by LiCl addition</t>
  </si>
  <si>
    <t>LiBH4 exhibits lithium superionic conduction accompanied by structural transition at around 390 K. Addition of LiCl to LiBH4 drastically affects both the transition and electrical conductivity: Transition from low-temperature (LT) to high-temperature (HT) phases in LiBH4 is observed at 370 K upon heating and the HT phase can be retained at 350-330 K upon cooling. Further, the conductivity in the LT phase is more than one or two orders of magnitude higher than that of pure LiBH4. These properties could be attributed to the dissolution of LiCl into LiBH4, suggested by in situ x-ray diffraction measurement.</t>
  </si>
  <si>
    <t>Takamura, Hitoshi/B-9514-2014; matsuo, motoaki/M-9636-2014; Li (李海文), Hai-Wen/B-9260-2009; ORIMO, Shin-ichi/A-4971-2011</t>
  </si>
  <si>
    <t>Takamura, Hitoshi/0000-0002-4841-4582; ORIMO, Shin-ichi/0000-0002-4216-0446; Li, Hai-Wen/0000-0001-7223-1754</t>
  </si>
  <si>
    <t>10.1063/1.3088857</t>
  </si>
  <si>
    <t>WOS:000263804400097</t>
  </si>
  <si>
    <t>Maekawa, H; Matsuo, M; Takamura, H; Ando, M; Noda, Y; Karahashi, T; Orimo, SI</t>
  </si>
  <si>
    <t>Maekawa, Hideki; Matsuo, Motoaki; Takamura, Hitoshi; Ando, Mariko; Noda, Yasuto; Karahashi, Taiki; Orimo, Shin-ichi</t>
  </si>
  <si>
    <t>Halide-Stabilized LiBH4, a Room-Temperature Lithium Fast-Ion Conductor</t>
  </si>
  <si>
    <t>Solid state lithium conductors are attracting much attention for their potential applications to solid-state batteries and supercapacitors of high energy density to overcome safety issues and irreversible capacity loss of the currently commercialized ones. Recently, we discovered a new class of lithium super ionic conductors based on lithium borohydride (LiBH4)center dot LiBH4 was found to have conductivity as high as 10(-2) Scm(-1) accompanied by orthorhombic to hexagonal phase transition above 115 degrees C. Polarization to the lithium metal electrode was shown to be extremely low, providing a versatile anode interface for the battery application. However, the high transition temperature of the superionic phase has limited its applications. Here we show that a chemical modification of LiBH4 can stabilize the superionic phase even below room temperature. By doping of lithium halides, high conductivity can be obtained at room temperature. Both XRD and NMR confirmed room - temperature stabilization of superionic phase for Lil-doped LiBH4. The electrochemical measurements showed a great advantage of this material as an extremely lightweight lithium electrolyte for batteries of high energy density. This material will open alternative opportunities for the development of solid ionic conductors other than previously known lithium conductors.</t>
  </si>
  <si>
    <t>ORIMO, Shin-ichi/A-4971-2011; matsuo, motoaki/M-9636-2014; Takamura, Hitoshi/B-9514-2014; Noda, Yasuto/LMN-1742-2024</t>
  </si>
  <si>
    <t>ORIMO, Shin-ichi/0000-0002-4216-0446; Takamura, Hitoshi/0000-0002-4841-4582; Noda, Yasuto/0000-0003-4971-4023;</t>
  </si>
  <si>
    <t>10.1021/ja807392k</t>
  </si>
  <si>
    <t>WOS:000264791600011</t>
  </si>
  <si>
    <t>Chen, ZH; Amine, K</t>
  </si>
  <si>
    <t>Chen, Zonghai; Amine, K.</t>
  </si>
  <si>
    <t>Computational Estimates of Fluoride Affinity of Boron-Based Anion Receptors</t>
  </si>
  <si>
    <t>Ab initio calculations were carried out to study the structure-property relationship of anion receptors to establish a guidance for developing advanced electrolyte for lithium-ion batteries. A group of 25 well-selected anion receptors was investigated to illustrate the impact of structural rigidity and the substitution of electron-withdrawing groups, such as F and CF(3), as well as the substitution of alkoxyl groups. The calculation results showed that the fluoride affinity of an anion receptor can be reduced by the introduction of alkoxyl groups to the boron center and that the fluoride affinity increases with the substitution of electron-withdrawing groups.</t>
  </si>
  <si>
    <t>Amine, Khalil/K-9344-2013; Chen, Zonghai/K-8745-2013</t>
  </si>
  <si>
    <t>A672</t>
  </si>
  <si>
    <t>A676</t>
  </si>
  <si>
    <t>10.1149/1.3139042</t>
  </si>
  <si>
    <t>WOS:000267798500007</t>
  </si>
  <si>
    <t>Cho, YD; Fey, GTK</t>
  </si>
  <si>
    <t>Cho, Yung-Da; Fey, George Ting-Kuo</t>
  </si>
  <si>
    <t>Surface treatment of zinc anodes to improve discharge capacity and suppress hydrogen gas evolution</t>
  </si>
  <si>
    <t>Meeting of the International-Battery-Material-Association</t>
  </si>
  <si>
    <t>NOV 16-20, 2007</t>
  </si>
  <si>
    <t>Shenzhen, PEOPLES R CHINA</t>
  </si>
  <si>
    <t>Int Battery Mat Assoc</t>
  </si>
  <si>
    <t>The shape change and redistribution of zinc anode material over the electrode during repeated cycling have been identified as the main factors that can limit the life of alkaline zinc-air batteries. Li2O-2B(2)O(3) (lithium boron oxide, LBO)glass with high Li+ concluctivity and stability can be coated on the surface of zinc powders. The structures of the surface-treated and pristine zinc powders were characterized by XRD, SEM, TEM, ESCA and BET analyses. XRD patterns of LBO-coated zinc powders revealed that the coating did not affect the crystal structure. TEM images of LBO-coated on the zinc particles were compact with an average passivation layer of about 250 nm. The LBO layer can prevent zinc from coming into direct contact with the KOH electrolyte and minimize the side reactions within the batteries. The 0.1 wt.% LBO-coated zinc anode material provided an initial discharge capacity of 1.70 Ah at 0.5 V, while the pristine zinc electrode delivered only 1.57 Ah. A surface-treated zinc electrode can increase discharge capacity. decrease hydrogen evolution reaction, and reduce self-discharge. The results indicated that surface treatment should be effective for improving the comprehensive properties of anode materials for zinc-air batteries. (C) 2008 Elsevier B.V. All rights reserved.</t>
  </si>
  <si>
    <t>10.1016/j.jpowsour.2008.04.081</t>
  </si>
  <si>
    <t>WOS:000259889100053</t>
  </si>
  <si>
    <t>Li, LF; Lee, HS; Li, H; Yang, XQ; Yang, KW; Yoon, WS; McBreen, J; Huang, XJ</t>
  </si>
  <si>
    <t>Li, L. F.; Lee, H. S.; Li, H.; Yang, X. Q.; Yang, K. W.; Yoon, W. S.; McBreen, J.; Huang, X. J.</t>
  </si>
  <si>
    <t>New electrolytes for lithium ion batteries using LiF salt and boron based anion receptors</t>
  </si>
  <si>
    <t>The thermal and electrochemical stability, as well as compatibility with various bench mark cathode and anode materials of two new lithium fluoride salt (LiF) based electrolytes have been studied. These two new electrolytes are formed by using boron-based anion receptors, tris(pentafluorophenyl) borane (TPFPB), or tris(2H-hexafluoroisopropyl) borate (THFPB) as additives, which were designed and synthesized at Brookhaven National Laboratory (BNL), to dissolve the LiF salt in carbonate solvents. The transference number of Li+ for these electrolytes is as high as 0.7 and the room-temperature conductivity is around 2 x 10(-3) S cm(-1). The electrolytes containing propylene carbonate (PC) show superior low-temperature conductivity properties. The electrochemical window is approaching 5.0 V. It was also found that the new electrolytes work well with LiCoO2 or LiMn2O4 Cathodes. However, when PC containing electrolytes were used, PC co-intercalation is still a problem for graphite anodes. The formation of a stable solid electrolyte interface layer on the surface of anode in this type of electrolyte needs to be studied further. (C) 2008 Elsevier B.V. All rights reserved.</t>
  </si>
  <si>
    <t>LI, Hong/C-4643-2008; Li, Hong/C-4643-2008; Yoon, Won-Sub/HHC-0266-2022; Nam, Kyung-Wan/B-9029-2013; Yoon, Won-Sub/H-2343-2011; Huang, Xuejie/ACZ-0959-2022</t>
  </si>
  <si>
    <t>LI, Hong/0000-0002-8659-086X; Nam, Kyung-Wan/0000-0001-6278-6369; Yoon, Won-Sub/0000-0002-6922-2088;</t>
  </si>
  <si>
    <t>10.1016/j.jpowsour.2008.03.016</t>
  </si>
  <si>
    <t>WOS:000259889100034</t>
  </si>
  <si>
    <t>Choi, NS; Ryu, SW; Park, JK</t>
  </si>
  <si>
    <t>Choi, Nam-Soon; Ryu, Sang-Woog; Park, Jung-Ki</t>
  </si>
  <si>
    <t>Effect of tris(methoxy diethylene glycol) borate on ionic conductivity and electrochemical stability of ethylene carbonate-based electrolyte</t>
  </si>
  <si>
    <t>The effect of tris(methoxy diethylene glycol) borate (TMDGB) on the coordination structure between ethylene carbonate (EC) solvents with high permittivity and ClO4- anions has been investigated by using a Fourier transform infrared (FT-IR) spectroscopy. The results of Fr-IR analyses manifested that the boron atom of TMDGB anion receptor forms the complex with ClO4- anions. Even though Lewis acid-base interaction between the TMDGB anion receptor and ClO4- anions in the electrolyte solution lead to the prominent enhancement of both the dissociation degree of lithium salts and the lithium ion transference number, the ionic conductivity of the EC-based electrolyte solution decreased due to the trap Of ClO4- anions by introducing the TMDGB anion receptor. The electrochemical stability of gel polymer electrolyte based on semi-interpenetrating network (IPN) structure with tris(pentafluoro phenyl) borane (TPFPB) or TMDGB anion receptor was obviously improved. (C) 2008 Elsevier Ltd. All rights reserved.</t>
  </si>
  <si>
    <t>Choi, Nam-Soon/E-6083-2010; Park, Jung-Ki/C-1966-2011</t>
  </si>
  <si>
    <t>Choi, Nam-Soon/0000-0003-1183-5735;</t>
  </si>
  <si>
    <t>10.1016/j.electacta.2008.04.070</t>
  </si>
  <si>
    <t>WOS:000258009800040</t>
  </si>
  <si>
    <t>Xie, B; Lee, HS; Li, H; Yang, XQ; McBreen, J; Chen, LQ</t>
  </si>
  <si>
    <t>Xie, B.; Lee, H. S.; Li, H.; Yang, X. Q.; McBreen, J.; Chen, L. Q.</t>
  </si>
  <si>
    <t>New electrolytes using Li2O or Li2O2 oxides and tris(pentafluorophenyl) borane as boron based anion receptor for lithium batteries</t>
  </si>
  <si>
    <t>A new system of electrolytes has been developed and studied for lithium-ion batteries. This new system is based on the interactions between Li2O or Li2O2 and tris(pentafluorophenyl) borane (TPFPB) in carbonate based organic solvents. This opens up a completely new approach in developing non-aqueous electrolytes. In general, the solubility of Li2O or Li2O2 is very low in organic solvents and the ionic conductivities of these solutions are almost undetectable. By adding certain amount of tris(pentafluorophenyl) borane (TPFPB), one type of boron based anion receptors (BBARs), the solubility of Li2O or Li2O2 in carbonate based solvents was significantly enhanced. In addition, the Li+ transference numbers of these new electrolytes measured were as high as 0.7, which are more than 100% higher than the values for the conventional electrolytes for lithium-ion batteries. The room-temperature conductivities are around 1 X 10(-3) S/cm. These new electrolytes are compatible with LiMn2O4 cathode for lithium-ion batteries. (C) 2008 Elsevier B.V. All rights reserved.</t>
  </si>
  <si>
    <t>Xie, Baoquan/A-1417-2012; Li, Hong/C-4643-2008; LI, Hong/C-4643-2008</t>
  </si>
  <si>
    <t>10.1016/j.elecom.2008.05.043</t>
  </si>
  <si>
    <t>WOS:000258994100023</t>
  </si>
  <si>
    <t>Shin, H; Nguyen, C; Kim, B; Han, M; Kim, JS; Kim, J</t>
  </si>
  <si>
    <t>Shin, Hyunmin; Nguyen, Congtranh; Kim, Byeongyeol; Han, Myonghee; Kim, Ju Sung; Kim, Jinhwan</t>
  </si>
  <si>
    <t>Synthesis and characteristics of acrylol borate as new acrylic gelator for lithium secondary battery</t>
  </si>
  <si>
    <t>MACROMOLECULAR RESEARCH</t>
  </si>
  <si>
    <t>A novel acrylol borate was designed and synthesized by reacting acrylate monomer and boric acid. The obtained acrylol borate was used as both gelator and anion receptor for the liquid electrolyte in a lithium secondary battery. It was found that the ionic conductivity of the gel polymer electrolyte (GPE) was as high as that of the liquid electrolyte, and the thermal stability of GPE was increased when only 2 wt% acrylol borate was incorporated into the liquid electrolyte. These results suggest that acrylol borate can be used as an effective additive to enhance the thermal stability of the electrolyte without adversely affecting its conductivity. It is believed that the strong complex formation between boron in the gelator and the anion of the salt is responsible for the enhanced thermal stability of the electrolyte solution and the increased ionic conductivity.</t>
  </si>
  <si>
    <t>Kim, Seong Cheol/ABD-1493-2022</t>
  </si>
  <si>
    <t>1598-5032</t>
  </si>
  <si>
    <t>2092-7673</t>
  </si>
  <si>
    <t>10.1007/BF03218842</t>
  </si>
  <si>
    <t>WOS:000253947100007</t>
  </si>
  <si>
    <t>Correlation between structural and electrical properties of heavily lithiated boron oxide solid electrolytes</t>
  </si>
  <si>
    <t>11th International Conference on the Physics of Non-Crystalline Solids</t>
  </si>
  <si>
    <t>OCT 29-NOV 03, 2006</t>
  </si>
  <si>
    <t>Rhodes Isl, GREECE</t>
  </si>
  <si>
    <t>Infrared and impedance measurements have been carried out on high lithium content boron oxide solid electrolytes xLi(2)O-B2O3, with x = 3.0-4.5, in order to establish the correlation between their structural and electrical properties. The samples are two-phase materials, in which crystalline islands are scattered throughout the vitreous background phase. The evolution of structural and electrical properties with increasing x exhibits a marked differentiation around x = 4.0, which is associated with increasing crystallization in the material. (C) 2007 Elsevier B.V. All rights reserved.</t>
  </si>
  <si>
    <t>1873-4812</t>
  </si>
  <si>
    <t>2-9</t>
  </si>
  <si>
    <t>10.1016/j.jnoncrysol.2007.07.046</t>
  </si>
  <si>
    <t>WOS:000252860800052</t>
  </si>
  <si>
    <t>Zygadlo-Monikowska, E; Florjanczyk, Z; Tomaszewska, A; Pawlicka, M; Langwald, N; Kovarsky, R; Mazor, H; Golodnitsky, D; Peled, E</t>
  </si>
  <si>
    <t>Zygadlo-Monikowska, E.; Florjanczyk, Z.; Tomaszewska, A.; Pawlicka, M.; Langwald, N.; Kovarsky, R.; Mazor, H.; Golodnitsky, D.; Peled, E.</t>
  </si>
  <si>
    <t>New boron compounds as additives for lithium polymer electrolytes</t>
  </si>
  <si>
    <t>10th International Symposium on Polymer Electrolytes</t>
  </si>
  <si>
    <t>OCT 15-19, 2006</t>
  </si>
  <si>
    <t>Foz do Iguaco, BRAZIL</t>
  </si>
  <si>
    <t>A new class of difluoroalkoxyborane compounds ([RnOBF2](2)) containing oligooxyethylene groups of various molecular weight in the form of a methyl monoether (R-n = CH3(OCH2CH2)(n), n = 1, 2, 3 and 7) has been obtained in the reaction of BF3 etherate with appropriate glycols. H-1, B-11 and F-19 NMR spectral analysis of the derivatives obtained was carried out and the properties as Lewis acids of these derivatives have been compared with that of corresponding trialkoxyboranes and boron trifluoride in reaction with pyridine. The strength of-the interaction of [RnOBF2](2) with the differing in hardness anions of various lithium salts has been analyzed on the basis of NMR spectra. The [RnOBF2](2) obtained were used as additives for polymer electrolytes containing PEO as polymer matrix and various lithium salts at an equimolar ratio of the boron compound to salt. The highest ionic conductivities, in the order 10(-5) to 10(-4) S cm(-1) at 20-70 degrees C, were achieved for systems containing LiI and LiN(CF3SO2)(2). The lithium transference number (t(+)) values, determined by the electrochemical method by steady-state technique for LiF and LiCF3SO3 are in the 0.6-0.8 range. (c) 2007 Elsevier Ltd. All rights reserved.</t>
  </si>
  <si>
    <t>Peled, Emanuel/IUQ-6216-2023; Golodnitsky, Diana/AAI-7385-2020</t>
  </si>
  <si>
    <t>PAWLICKA, MARZENA/0000-0003-4168-9097; Florjanczyk, Zbigniew/0000-0002-0619-944X; Zygadlo-Monikowska, Ewa/0000-0003-0478-9160;</t>
  </si>
  <si>
    <t>10.1016/j.electacta.2007.02.046</t>
  </si>
  <si>
    <t>WOS:000251759900015</t>
  </si>
  <si>
    <t>Xue, ZM; Ding, YZ; Chen, CH</t>
  </si>
  <si>
    <t>Xue, Zhao-Ming; Ding, Yu-Zhen; Chen, Chun-Hua</t>
  </si>
  <si>
    <t>A DFT study of electronic structures, energies, and molecular properties of lithium bis[croconato]borate and its derivatives</t>
  </si>
  <si>
    <t>Theoretical studies on electrolyte salts, lithium bis[croconato(2-)]borate (LBCB) and its derivatives, lithium [croconato(2-) salicylato(2-)]borate (LCSB), and bis[salicylato(2-)]borate (LBSB) are carried out using density functional theory (DFT) method and B3LYP theory level for the first time. Bidentate structures involving two oxygen atoms are preferred. Based on these conformations, a linear correlation was observed between the highest occupied molecular orbital (HOMO) energies and the limiting oxidation potentials measured by linear sweep voltammetry, which supports experimental results that strongly electron-withdrawing substituent anions are more resistant against oxidation than their organic counterparts. The correlations were also observed between ionic conductivity and binding energy, solubility and theoretical set of parameters of anion, thermal stability and the hardness (eta). Wave function analyses have been performed by natural bond orbital (NBO) method to further investigate the cation-anion interactions. (C) 2007 Elsevier Ltd. All rights reserved.</t>
  </si>
  <si>
    <t>10.1016/j.electacta.2007.08.013</t>
  </si>
  <si>
    <t>WOS:000251480900096</t>
  </si>
  <si>
    <t>Xue, ZM; Wu, KN; Liu, B; Chen, CH</t>
  </si>
  <si>
    <t>Xue, Zhao-Ming; Wu, Ke-Neng; Liu, Bing; Chen, Chun-Hua</t>
  </si>
  <si>
    <t>New lithium salts with croconato-complexes of boron for lithium battery electrolytes</t>
  </si>
  <si>
    <t>A new lithium salt containing C5O52-, lithium bis[croconatolborate (LBCB), and its novel derivative, lithium [croconato salicylato]borate (LCSB) were synthesized and characterized. The thermal characteristics of them and lithium bis[salicylato(2-)]-borate (LBSB) were examined by thermogravimetric analysis (TG). The thermal decomposition in Ar begins at 250, 328, and 350 degrees C for LBCB, LCSB, and LBSB, respectively. The order of the stability toward oxidation of these organoborates is LBCB &gt; LCSB &gt; LBSB, which differs from the thermal stability. The cyclic voltammetry study shows that the LiBCB and LCSB solutions in PC are stable up to 5.5 and 4.8 V versus Li+/Li, respectively. They are moderately soluble in common organic solvents, being 0.14, 0.16, and 1.4 mol dm(-3) at 20 degrees C in EC + DME (molar ratio 1: 1) for LBCB, LCSB, and LBSB, respectively. Ionic dissociation properties of LBCB and its derivatives were examined by conductivity measurements in PC, PC + DME, EC + DME, PC + THF, EC + THF (molar ratio 1: 1) solutions. The conductivity values of the 0.10 mol dm(-3) LBCB electrolyte in PC, PC + DME, EC + DME, PC + THF, EC + THF solutions are higher than those of LCSB and LBSB electrolytes. It means that LBCB has the higher dissociation ability in those solutions. (C) 2007 Elsevier B.V. All rights reserved.</t>
  </si>
  <si>
    <t>10.1016/j.jpowsour.2007.05.100</t>
  </si>
  <si>
    <t>WOS:000250066900090</t>
  </si>
  <si>
    <t>Bifunctional electrolyte additive for lithium-ion batteries</t>
  </si>
  <si>
    <t>2-(Pentafluorophenyl)-tetrafluoro-1,3,2-benzodioxaborole was reported as a bifunctional electrolyte additive for lithium-ion batteries. It was found that the reported additive had a redox potential of 4.43 V vs. Li+/Li with a reversible oxidation/reduction reaction. Therefore, it is a promising redox shuttle for overcharge protection of most positive electrode materials for current lithium-ion-battery technology. At the same time, the boron center of this additive is a strong Lewis acid and can act as an anion receptor to dissolve LiF generated during the operation of lithium-ion batteries. The possibility of using the novel additive as both the redox shuttle and the anion receptor was discussed. (c) 2006 Elsevier B.V. All rights reserved.</t>
  </si>
  <si>
    <t>10.1016/j.elecom.2006.11.002</t>
  </si>
  <si>
    <t>WOS:000246053700033</t>
  </si>
  <si>
    <t>Nagasubramanian, G; Sanchez, B</t>
  </si>
  <si>
    <t>Nagasubramanian, Ganesan; Sanchez, Bryan</t>
  </si>
  <si>
    <t>A new chemical approach to improving discharge capacity of Li/(CFx)n cells</t>
  </si>
  <si>
    <t>Joint Meeting of the International-Battery-Association/Hawaii Battery Conference (IBA-HBC 2006)</t>
  </si>
  <si>
    <t>JAN 09-12, 2006</t>
  </si>
  <si>
    <t>Hilo, HI</t>
  </si>
  <si>
    <t>TIMCAL</t>
  </si>
  <si>
    <t>Although (CFx)(n) has the highest theoretical specific energy of all lithium primary batteries known, the practical specific energy (including packaging) is very small on the order of similar to 10% for small capacity cells (&lt; 5 Ah) and between 20 and 30% for large capacity cells (&gt; 100 Ah). Even these can be achieved only at a very low discharge rate &lt; C/250 (250 h rate). If either the discharge rate is increased or the discharge temperature is reduced below 0 degrees C the % delivered energy goes down even further. At Sandia National Laboratories we are performing research to improving % delivered energy by: (1) incorporating engineering solution and (2) adopting a new chemical approach. The engineering solution effort will not be discussed here except to mention that light weight metal such as titanium (Ti) will be considered for hardware instead of stainless steel. The chemical approach involves adding an anion-binding-agent (ABA) to the electrolyte solution to dissolve the LiF generated in the discharge reaction. We studied three boron containing neutral ABAs and the most promising ABA {Tris(1,1,1,3,3,3-hexafluoroisopropyl)borate} will be discussed further. The delivered capacity/energy (per unit weight of the cathode) is higher for SNL-built coin cells containing the ABA additive than for the commercial coin cells by 80%. These cells were tested at a C/44 rate. This improvement especially at a high discharge rate is attributed to the ability of the ABA to dissolve the LiF from plugging the cathode pores and thus keep the bulk of the cathode accessible for further discharge reaction. We have also tested commercial cells and commercial electrodes in coin cells. In general, at high rate discharge, the performance of SNL cells containing our electrolyte and electrode were better than the rest. (c) 2006 Elsevier B.V. All rights reserved.</t>
  </si>
  <si>
    <t>10.1016/j.jpowsour.2006.10.037</t>
  </si>
  <si>
    <t>WOS:000245369100019</t>
  </si>
  <si>
    <t>Lee, S; Kim, J; Shin, D</t>
  </si>
  <si>
    <t>Lee, Sunhwa; Kim, Jisook; Shin, Dongwook</t>
  </si>
  <si>
    <t>Modification of network structure induced by glass former composition and its correlation to the conductivity in lithium borophosphate glass for solid state electrolyte</t>
  </si>
  <si>
    <t>The xLi(2)O-(1-x)(yB(2)O(3)-(1-y)P2O5) glasses system is one of the parent compositions for chemically and electrochemically stable solid state electrolyte applicable to thin film battery. The purpose of this study was to seek an optimum composition maximizing the ionic conductivity for the deposition of thin film electrolytes. xLi(2)O-(1-x)(yB(2)O(3)-(1-y)P2O5) glasses were prepared with wide range of composition, i.e. x=0.40-0.47 and B2O3/B2O3 + P2O5) ratio was 0. 17-0.67 (y = xx similar to xx). The structural variation of the oxide Li2O-B2O3-P2O5 system was investigated by Raman spectroscopy to find out the correlation with the electrical conductivity. It was shown that under 40 mol% of Li2O the ionic conductivity monotonically increasedwith increasing of B2O3, while overthe 40 mol% of Li2O it exhibited a maximum at a specific B2O3/(B2O3+P2O5) ratio, typically similar to 0.5. The structural investigation indicated that the variation in conductivity was closely correlated to the variation of 4-coordinated boron groups. (c) 2007 Elsevier B.V. All rights reserved.</t>
  </si>
  <si>
    <t>5-6</t>
  </si>
  <si>
    <t>10.1016/j.ssi.2007.01.011</t>
  </si>
  <si>
    <t>WOS:000245846600009</t>
  </si>
  <si>
    <t>Tatsumisago, M; Hayashi, A</t>
  </si>
  <si>
    <t>Tatsumisago, Masahiro; Hayashi, Akitoshi</t>
  </si>
  <si>
    <t>Electrochemical properties and local structure of tin borate glasses for lithium secondary batteries</t>
  </si>
  <si>
    <t>GLASS TECHNOLOGY-EUROPEAN JOURNAL OF GLASS SCIENCE AND TECHNOLOGY PART A</t>
  </si>
  <si>
    <t>SnO-B2O3 glasses were prepared by melt quenching and mechanical milling. SnO-B2O3 glasses had relatively low glass transition temperatures and worked as high capacity reversible electrode materials in lithium cells with, not only liquid electrolytes, but also solid electrolytes. The thermal and electrochemical properties of the glasses were closely related to the local structure around the boron atoms in the glass network. The relationship between reversible capacity and local structure of the glasses are discussed on the basis of the electrochemical Li insertion mechanism. The electrochemical performance of the SnO-based glassy electrodes depended largely on both the charge-discharge cutoff voltages and the local structure of the glasses.</t>
  </si>
  <si>
    <t>Hayashi, Akitoshi/H-9773-2017</t>
  </si>
  <si>
    <t>Hayashi, Akitoshi/0000-0001-9503-5561</t>
  </si>
  <si>
    <t>1753-3546</t>
  </si>
  <si>
    <t>1753-3554</t>
  </si>
  <si>
    <t>WOS:000246295600002</t>
  </si>
  <si>
    <t>Cho, K; Lee, T; Oh, J; Shin, D</t>
  </si>
  <si>
    <t>Cho, Kihyun; Lee, Teawon; Oh, Jangwon; Shin, Dongwook</t>
  </si>
  <si>
    <t>Fabrication of Li2O-B2O3-P2O5 solid electrolyte by aerosol flame deposition for thin film batteries</t>
  </si>
  <si>
    <t>Amorphous Li2O-B2O3-P2O5 thin films were prepared from an aqueous precursor solution of a LiNO3 and BCl3, POCl3 by Aerosol Flame Deposition. The aqueous precursor solution of the LiNO3 was first atomized with an ultrasonic vibrator (1.7 MHz), and B2O3 and P2O5 were synthesized from BCl3 and POCl3 by an oxygen-hydrogen flame. Their microstructure and electrical properties were investigated by SEM, XRD, Raman spectroscopy and impedance spectroscopy. XRD analysis revealed that a crystalline phase of LiCl was formed in the glass soot as well as amorphous boron and phosphorus oxides, and the crystalline LiCl found in deposited glass soot completely disappeared by heat treatment. The correlation between the structural modification of glass network, compositional variation and the conductivity was characterized by Raman spectroscopy. The glass electrolyte fabricated in this study exhibited a maximum conductivity of about 10(-7) S/cm at 30 sccm flow rate of BCl3 and POCl3. (c) 2006 Elsevier B.V. All rights reserved.</t>
  </si>
  <si>
    <t>1-2</t>
  </si>
  <si>
    <t>10.1016/j.ssi.2006.11.005</t>
  </si>
  <si>
    <t>WOS:000244410000015</t>
  </si>
  <si>
    <t>Chen, ZH; Liu, J; Amine, K</t>
  </si>
  <si>
    <t>Chen, Zonghai; Liu, J.; Amine, K.</t>
  </si>
  <si>
    <t>Lithium difluoro(oxalato)borate as salt for lithium-ion batteries</t>
  </si>
  <si>
    <t>Lithium difluoro (oxalato) borate is reported as a salt for high-performance lithium-ion batteries with improved cycle life and power capability. The experimental results showed that lithium difluoro (oxalato) borate, LiC2O4BF2, can be reduced at about 1.7 V vs Li+/Li and forms a robust protective SEI film on the graphite surface, as lithium bis (oxalato) borate does. The lithium-ion cells using lithium difluoro (oxalato) borate-based electrolyte had very good capacity retention at 55 degrees C. The lithium-ion cells using the lithium difluoro (oxalato) borate-based electrolyte had very low interfacial impedance. Therefore, lithium difluoro (oxalato) borate is a promising salt for advanced lithium-ion batteries with improved capacity retention and power capability. (c) 2006 The Electrochemical Society.</t>
  </si>
  <si>
    <t>; Chen, Zonghai/K-8745-2013; Amine, Khalil/K-9344-2013</t>
  </si>
  <si>
    <t>A45</t>
  </si>
  <si>
    <t>A47</t>
  </si>
  <si>
    <t>10.1149/1.2409743</t>
  </si>
  <si>
    <t>WOS:000243583700001</t>
  </si>
  <si>
    <t>Wachtler, M; Wohlfahrt-Mehrens, M; Ströbele, S; Panitz, JC; Wietelmann, U</t>
  </si>
  <si>
    <t>Wachtler, Mario; Wohlfahrt-Mehrens, Margret; Stroebele, Sandra; Panitz, Jan-Christoph; Wietelmann, Ulrich</t>
  </si>
  <si>
    <t>The behaviour of graphite, carbon black, and Li4Ti5O12 in LiBOB-based electrolytes</t>
  </si>
  <si>
    <t>The film formation behaviour of lithium bis(oxalato)borate (LiBOB), a new electrolyte salt for lithium batteries, on graphite, carbon black and lithium titanate is reported. LiBOB is actively involved in the formation of the solid electrolyte interphase (SEI) at the anode. Part of this formation is an irreversible reductive reaction which takes place at potentials of around 1.75 V vs Li/Li+ and contributes to the irreversible capacity of anode materials in the first cycle. Carbon black interacts strongly with LiBOB-based electrolytes, which results in strong film formation and loss of electronic conductivity within the composite electrode. In LiBOB-based electrolytes the electrode kinetics increase in the order: carbon black &lt;&lt; fine particulate graphite similar to metal powder, due to decreased film formation of the conductive additive. The influence of various solvents, surfactant additives, and potential impurities was also studied.</t>
  </si>
  <si>
    <t>10.1007/s10800-006-9175-2</t>
  </si>
  <si>
    <t>WOS:000240854100004</t>
  </si>
  <si>
    <t>Seino, Y; Takada, K; Kim, BC; Zhang, LQ; Ohta, N; Wada, H; Osada, M; Sasaki, T</t>
  </si>
  <si>
    <t>Seino, Yoshikatsu; Takada, Kazunori; Kim, Bong-Chull; Zhang, Lianqi; Ohta, Narumi; Wada, Hiroaki; Osada, Minoru; Sasaki, Takayoshi</t>
  </si>
  <si>
    <t>Synthesis and electrochemical propeities of Li2S-B2S3-Li4SiO4</t>
  </si>
  <si>
    <t>15th International Conference on Solid State Ionics</t>
  </si>
  <si>
    <t>Baden Baden, GERMANY</t>
  </si>
  <si>
    <t>New Li+ ion-conductive glasses Li2S-B2S3-Li4SiO4 were synthesized by rapid quenching, and they were transformed into glass ceramics by heat treatment. The heat treatment increased the ionic conductivities of the Li4SO4-doped glasses, and the highest ionic conductivity observed in the system was 1.0 x 10(-3) S cm(-1) at room temperature. The glass ceramics were highly stable against electrochemical oxidation with a wide electrochemical window of 10 V. (c) 2006 Elsevier B.V. All rights reserved.</t>
  </si>
  <si>
    <t>Ohta, Narumi/B-9577-2013; Sasaki, Takayoshi/H-2956-2011; Zhang, Lianqi/AFS-3606-2022; Takada, Kazunori/H-2842-2011; SASAKI, Takayoshi/H-2956-2011</t>
  </si>
  <si>
    <t>Sasaki, Takayoshi/0000-0002-2872-0427; Ohta, Narumi/0000-0002-6353-4806</t>
  </si>
  <si>
    <t>26-32</t>
  </si>
  <si>
    <t>10.1016/j.ssi.2006.01.005</t>
  </si>
  <si>
    <t>WOS:000242611800076</t>
  </si>
  <si>
    <t>Delabarre, C; Dubois, M; Giraudet, J; Guérin, K; Hamwi, A</t>
  </si>
  <si>
    <t>Delabarre, C.; Dubois, M.; Giraudet, J.; Guerin, K.; Hamwi, A.</t>
  </si>
  <si>
    <t>Electrochemical performance of low temperature fluorinated graphites used as cathode in primary lithium batteries</t>
  </si>
  <si>
    <t>1st International Conference on Carbon for Energy Storage and Environment Protection</t>
  </si>
  <si>
    <t>OCT 02-06, 2005</t>
  </si>
  <si>
    <t>Orleans, FRANCE</t>
  </si>
  <si>
    <t>The present study highlights the electrochemical performance of two series of fluorinated graphites used as the cathode in primary lithium batteries. These compounds were prepared under fluorine gas at room temperature using a catalytic atmosphere made of boron or chlorine fluoride, and then thermally treated between 100 and 600 degrees C. The electrochemical properties are correlated to a complete physico-chemical characterization, already performed by XRD, NMR, FT-IR and EPR. In particular, important parameters are taken into account: C-F bonding, carbon hybridization, fluorine content (i.e. F/C ratio) and amount of intercalated catalyst residues. It is shown that the average discharge potential of fluorinated graphite used in primary lithium batteries can be predicted owing to the chemical shift values (delta(C-F)) obtained by solid C-13 NMR. On the other hand, the higher capacity values are achieved for low temperature fluorinated graphite treated at the highest temperatures, i.e. for high fluorination level. The electrochemical performance study of these materials is completed by the study of the effect of simulated storage. The differences between the various samples during electrochemical tests and those observed using different electrolytes are discussed. Fluorinated graphites obtained with a chlorine catalyst or post-treated at temperatures higher than 450 degrees C are unaffected by ageing. (c) 2006 Elsevier Ltd. All rights reserved.</t>
  </si>
  <si>
    <t>Guérin, katia/F-8663-2019; guerin, katia/F-8663-2019; Dubois, Marc/AAU-5691-2020</t>
  </si>
  <si>
    <t>guerin, katia/0000-0002-6184-2143; Dubois, Marc/0000-0002-9192-0931;</t>
  </si>
  <si>
    <t>10.1016/j.carbon.2006.05.013</t>
  </si>
  <si>
    <t>WOS:000240813000024</t>
  </si>
  <si>
    <t>Zhou, DB; Liu, ZJ; Lv, XK; Zhou, GS; Yin, J</t>
  </si>
  <si>
    <t>Zhou, Debi; Liu, Zhijian; Lv, Xinkun; Zhou, Guishu; Yin, Jian</t>
  </si>
  <si>
    <t>Electrochemical studies of LiB compound as anode material for lithium-ion battery</t>
  </si>
  <si>
    <t>Electrochemical studies of LiB compound were carried out for its application as anode for lithium-ion battery. The compound exhibited a reversible discharge-charge behavior between 0 and 0.75 V versus Li/Li+ with a first discharge capacity of 293 mA h g(-1). Discharging to 1.0 V, the first discharge capacity of LiB compound was 660 mA h g(-1), but a part of this capacity was irreversible. Impedance spectra were measured at several potentials corresponding to different discharge plateaus. The impedance spectra obtained below and above 0.8V presented significantly different features. The solid electrolyte interphase layer (SEI) was formed below 0.8 V and assumed a good performance of LiB electrode in this potential range. The SEI was found to deteriorate above 0.8 V, which might be associated with the irreversible discharge capacity. (c) 2006 Elsevier Ltd. All rights reserved.</t>
  </si>
  <si>
    <t>Yin, Jian/C-1430-2011</t>
  </si>
  <si>
    <t>10.1016/j.electacta.2006.03.023</t>
  </si>
  <si>
    <t>WOS:000240167400021</t>
  </si>
  <si>
    <t>Chan, HW; Duh, JG; Sheen, SR</t>
  </si>
  <si>
    <t>Chan, H. W.; Duh, J. G.; Sheen, S. R.</t>
  </si>
  <si>
    <t>Microstructure and electrochemical properties of LBO-coated Li-excess Li1+xMn2O4 cathode material at elevated temperature for Li-ion battery</t>
  </si>
  <si>
    <t>An amorphous glass film, Li2O-2B(2)O(3) (LBO) glass, was coated on the surface of the cathode material by solution method. The Li-excess cathode powder Li1+xMn2O4 derived from co-precipitation method was calcined with various weight percentage of the surface modified lithium boron glass. Fine powders with distinct particle size, size distribution and morphology were fabricated. The electron probe microanalyzer (EPMA) was employed to evaluate the composition of LBO-coated Li1+xMn2O4. The morphology was observed with a field emission scanning electron microscope (FE-SEM), and the particle size in the range of several microns measured by laser scattering. The electrochemical behavior of the cathode powder was examined by using two-electrode test cells consisted of a cathode, metallic lithium as anode, and an electrolyte of I M lithium hexafluorophosphate (LiPF6). Cyclic charge/discharge testing of the coin cells, fabricated by both LBO-coated and base Li1+xMn2O4 material were conducted. The LBO-coated cathode powder with the fading rate of only 7% after 25 cycles showed better cycleability than the base one with the fading rate of 17% after 25 cycles, particularly at higher temperature. It is demonstrated that the employment of LBO glass coated Li1+xMn2O4 cathode material exhibited higher discharge capacity and significantly reduced the fading rate after cyclic test. (c) 2005 Elsevier Ltd. All rights reserved.</t>
  </si>
  <si>
    <t>10.1016/j.electacta.2005.10.018</t>
  </si>
  <si>
    <t>WOS:000237647300005</t>
  </si>
  <si>
    <t>Sasaki, Y; Takehara, M; Watanabe, S; Oshima, M; Nanbu, N; Ue, M</t>
  </si>
  <si>
    <t>Electrolytic behavior and application to lithium batteries of monofluorinated dimethyl carbonate</t>
  </si>
  <si>
    <t>Dimethyl carbonate (DMC) was fluorinated by F-2 gas (direct fluorination) to form four fluorinated DNIC derivatives, such as monofluorinated DMC (MFDMC), two difluorinated DMCs (DFDMC(a) and DFDMC(b)) and trifluorinated DMC (TFDMC). The electrolytic behavior and charge-discharge characteristics of the lithium electrode were examined in MFDMC and MFDMC-ethylene carbonate (EC) equimolar binary solutions. The dielectric constant and viscosity of MFDMC are higher than those of DNIC. This means that the molecular interaction in MFDMC becomes larger due to the introduction of a high electron withdrawing fluorine atom. In addition, oxidation durability of MFDMC is higher than that of DMC. The specific conductivity in EC-MFDMC equimolar binary solution containing 1 M LiPF6 is 8.5 mS cm(-1) at 25 degrees C which means a good electrolyte for lithium batteries. The lithium electrode cycling efficiency in EC-MFDMC equimolar binary solution containing 1 M LiPF6 is higher than 70%. The surface of the film formed on the electrode in the solution is homogeneous, and consists of the uniform and small grain size. (c) 2005 Elsevier B.V. All rights reserved.</t>
  </si>
  <si>
    <t>3-4</t>
  </si>
  <si>
    <t>10.1016/j.ssi.2005.10.022</t>
  </si>
  <si>
    <t>WOS:000235540500015</t>
  </si>
  <si>
    <t>Hasegawa, Y; Tamura, S; Imanaka, N</t>
  </si>
  <si>
    <t>Effect of low-melting oxide additives on the sinterability and ion conductivity of Al3+ ion conducting solid electrolytes with the NASICON type structure</t>
  </si>
  <si>
    <t>In order to improve both the mechanical strength and the Al3+ ion conducting properties of (Al0.2Zr0.8)(20/19)Nb(PO4)(3) solid electrolyte with the NASICON type structure, low-melting oxide additives were added. With the low melting B2O3 (m.p. ca 450 degrees C) addition, the matrix of the NASICON type phase was maintained, and the grains were tightly kept in contact with each other because B2O3 melted at the grain boundary of (Al0.2Zr0.8)(20/19)Nb(PO4)(3) polycrystalline solid and completely vaporized during the sintering procedure. Since the sample added with the 6wt% B2O3 showed both the highest mechanical strength and the highest Al3+ ion conductivity suitable for practical application uses among the (Al0.2Zr0.8)(20/19)Nb(PO4)(3) series with B2O3, the present solid electrolyte is greatly expected to be applied for the devices such as rechargeable batteries and chemical gas sensors.</t>
  </si>
  <si>
    <t>WOS:000232617100006</t>
  </si>
  <si>
    <t>Pan, W; Gong, JH; Ge, CC; Li, JF</t>
  </si>
  <si>
    <t>Surface treatment of the lithium boron oxide coated LiMn2O4 cathode material in Li-ion battery</t>
  </si>
  <si>
    <t>HIGH-PERFORMANCE CERAMICS III, PTS 1 AND 2</t>
  </si>
  <si>
    <t>Key Engineering Materials</t>
  </si>
  <si>
    <t>3rd China International Conference on High-Performance Ceramics (CICC-3)</t>
  </si>
  <si>
    <t>MAY 09-12, 2004</t>
  </si>
  <si>
    <t>Chinese Ceram Soc,Natl Nat Sci Fdn China,Tsinghua Univ</t>
  </si>
  <si>
    <t>Surface modification on the electrode has a vital impact on lithium-ion batteries, and it is essential to probe the mechanism of the modified film on the surface of the electrode. In this study, a Li2O-2B(2)O(3) film was coated on the surface of the cathode material by solution method. The cathode powders derived from co-precipitation method were calcined with various weight percent of the surface modified glass to form fine powder of single spinel phase with different particle size, size distribution and morphology. The thermogravimetry/differential thermal analysis was used to evaluate the appropriate heat treatment temperature. The structure was confirmed by the X-ray diffractometer along with the composition measured by the electron probe microanalyzer. From the field emission scanning electron microscope image and Laser Scattering measurements, the average particle size was in the range of 7-8mum. The electrochemical behavior of the cathode powder was examined by using two-electrode test cells consisted of a cathode, metallic lithium anode, and an electrolyte of 1M LiPF6. Cyclic charge/discharge testing of the coin cells, fabricated by both coated and un-coated cathode material, provided high discharge capacity. Furthermore, the coated cathode powder showed better cyclability than the un-coated one after the cyclic test. The introduction of the glass-coated cathode material revealed high discharge capacity and appreciably decreased the decay rate after cyclic test.</t>
  </si>
  <si>
    <t>1013-9826</t>
  </si>
  <si>
    <t>0-87849-959-8</t>
  </si>
  <si>
    <t>280-283</t>
  </si>
  <si>
    <t>10.4028/www.scientific.net/KEM.280-283.671</t>
  </si>
  <si>
    <t>WOS:000227051400166</t>
  </si>
  <si>
    <t>Sasaki, Y; Takehara, M; Watanabe, S; Nanbu, N; Ue, M</t>
  </si>
  <si>
    <t>Physical and electrolytic properties of difluorinated dimethyl carbonate</t>
  </si>
  <si>
    <t>Symposium on Fluorine in Alternative Energy Sources</t>
  </si>
  <si>
    <t>SEP 07-11, 2003</t>
  </si>
  <si>
    <t>New York, NY</t>
  </si>
  <si>
    <t>The physical and electrolytic properties of difluorinated dimethyl carbonate (DFDMC) synthesized using F-2 gas (direct fluorination) were examined. The dielectric constant and viscosity of DFDMC are higher than those of monofluorinated dimethyl carbonate (MFDMC) and dimethyl carbonate (DMC). The oxidative decomposition voltage of DFDMC is higher than those of DMC and MFDMC. The specific conductivity in DFDMC solution is considerably lower than those in MFDMC and DMC solutions. The ethylene carbonate (EC)-DFDMC equimolar binary solution containing 1 mol dm(-3) LiPF6 shows a moderate conductivity of 6.91 mS cm(-1) at 25 degreesC. The lithium electrode cycling efficiency (charge-discharge coulombic cycling efficiency of lithium electrode) in EC-DFDMC equimolar binary solution containing 1 mol dm(-3) LiPF6 is higher than 80%. The EC-DFDMC solution is a good electrolyte for rechargeable lithium batteries. (C) 2004 Elsevier B.V. All rights reserved.</t>
  </si>
  <si>
    <t>; UE, Makoto/H-2822-2011</t>
  </si>
  <si>
    <t>Ue, Makoto/0000-0002-3980-9478; takehara, masahiro/0000-0002-9990-4506;</t>
  </si>
  <si>
    <t>10.1016/j.jfluchem.2004.05.008</t>
  </si>
  <si>
    <t>WOS:000223685400004</t>
  </si>
  <si>
    <t>Morita, T; Takami, N</t>
  </si>
  <si>
    <t>Characterization of oxidized boron-doped carbon fiber anodes for Li-ion batteries by analysis of heat of immersion</t>
  </si>
  <si>
    <t>Surface oxidation treatment in the temperature range of 500-1400degreesC was applied to a graphitized boron-doped mesophase-pitch-based carbon fiber (B-MCF), anode material for Li-ion battery. The correlation between physical properties and lithium intercalation of B-MCF was investigated from measurement of heat of immersion. The surface analysis of heat of immersion and X-ray photoelectron spectroscopy (XPS) indicated that the strength of surface electrostatic field of B-MCF increased with the composition of oxygen on the surface as a result of treatment of the oxidation. Analysis of electrochemical impedance spectroscopy (EIS) indicated that the charge transfer resistance of lithium intercalated B-MCF anode decreased with increase of surface electrostatic field strength. Oxygen atoms on surface as a result of treatment of oxidation caused high surface electrostatic field strength that enhanced an affinity of B-MCF for electrolytes. It was supposed that the low impedance of oxidized B-MCF anode was due to the enhancement of surface polarity and the affinity. (C) 2004 Elsevier Ltd. All rights reserved.</t>
  </si>
  <si>
    <t>10.1016/j.electacta.2004.02.010</t>
  </si>
  <si>
    <t>WOS:000221076700007</t>
  </si>
  <si>
    <t>Mizumo, T; Sakamoto, K; Matsumi, N; Ohno, H</t>
  </si>
  <si>
    <t>Facile preparation of anion trapping polymer electrolytes by reaction between 9-borabicyclo[3.3.1]nonane (9-BBN) and poly(propylene oxide)</t>
  </si>
  <si>
    <t>CHEMISTRY LETTERS</t>
  </si>
  <si>
    <t>Novel polymer electrolyte showing relatively high lithium ion transference number of over 0.5 due to anion trapping effect of boron atoms was readily prepared by the reaction between poly(propylene oxide) oligomers and 9-borabicyclo[3.3.1]nonane.</t>
  </si>
  <si>
    <t>Mizumo, Tomonobu/AAN-4607-2021; Matsumi, Noriyoshi/E-9496-2011; Ohno, Hiroyuki/F-6459-2012</t>
  </si>
  <si>
    <t>Mizumo, Tomonobu/0000-0002-4654-6469; Ohno, Hiroyuki/0000-0001-9716-3495;</t>
  </si>
  <si>
    <t>0366-7022</t>
  </si>
  <si>
    <t>1348-0715</t>
  </si>
  <si>
    <t>10.1246/cl.2004.396</t>
  </si>
  <si>
    <t>WOS:000220913500016</t>
  </si>
  <si>
    <t>Lee, HS; Ma, ZF; Yang, XQ; Sun, X; McBreen, J</t>
  </si>
  <si>
    <t>Synthesis of a series of fluorinated boronate compounds and their use as additives in lithium battery electrolytes</t>
  </si>
  <si>
    <t>A new series of anion receptors based on boronate compounds have been synthesized. These compounds can be used as anion receptors in lithium battery electrolytes. The so-called boronate means that the compounds contain a boron bonded with two oxygen atoms and one carbon atom. This series includes various boronate compounds with different fluorinated aryl and fluorinated alkyl groups. When these anion receptors are used as additives in 1,2-dimethoxyethane (DME) solutions containing various lithium salts, the ionic conductivities of these solutions are greatly increased. The electrolytes tested in this study were DME solutions containing the following lithium salts: LiF, CF3COOLi, and C2F5COOLi. Without the additive, the solubility of LiF in DME (and all other nonaqueous solvents! is very low. With some of these boronate compounds as additives, LiF solutions in DME with concentration as high as 1 M were obtained. The solubilities of the other salts were also increased by these additives. Near-edge X-ray absorption fine structure (NEXAFS) spectroscopy studies show that I- anions are complexed with these compounds in DME solutions containing LiI salts. The degree of complexation is also closely related to the structures of the fluorinated aryl and alkyl groups which act as electron-withdrawing groups. The NEXAFS results are in good agreement with ionic conductivity studies. (C) 2004 The Electrochemical Society.</t>
  </si>
  <si>
    <t>A1429</t>
  </si>
  <si>
    <t>A1435</t>
  </si>
  <si>
    <t>10.1149/1.1779407</t>
  </si>
  <si>
    <t>WOS:000223622000020</t>
  </si>
  <si>
    <t>Schmidt, M; Ewald, B; Prots, Y; Cardoso-Gil, R; Armbrüster, M; Loa, I; Zhang, L; Huang, YX; Schwarz, U; Kniep, R</t>
  </si>
  <si>
    <t>Growth and characterization of BPO4 single crystals</t>
  </si>
  <si>
    <t>Single crystals of BPO4 were grown by chemical transport reactions with PCl5 using a gradient from 1073 K to 973 K as well as with solvothermal syntheses in the temperature range between 413 K and 523 K using water, ethanol or 2-propanol as polar protic solvents. The atomic arrangement of BPO4 was reinvestigated by means of single crystal X-ray diffraction data and confirmed the earlier findings with significantly smaller standard deviations. Thermogravimetric investigations of powdered samples which show no extra lines in X-ray diffraction diagrams revealed weight decrements which are attributed to water losses. The presence of protonated borate and phosphate species in a number of X-ray pure solvothermally grown BPO4 samples is evidenced by infrared spectroscopy.</t>
  </si>
  <si>
    <t>; Huang, YX/G-4105-2010; Armbrüster, Marc/B-4810-2009; Armbruster, Marc/B-4810-2009</t>
  </si>
  <si>
    <t>Prots, Yurii/0000-0002-7418-9892; Kniep, Rudiger/0000-0003-0679-5468; Armbruster, Marc/0000-0002-2914-0600</t>
  </si>
  <si>
    <t>10.1002/zaac.200400002</t>
  </si>
  <si>
    <t>WOS:000221884100008</t>
  </si>
  <si>
    <t>Xu, W; Shusterman, AJ; Marzke, R; Angell, CA</t>
  </si>
  <si>
    <t>LiMOB, an unsymmetrical nonaromatic orthoborate salt for nonaqueous solution electrochemical applications</t>
  </si>
  <si>
    <t>Synthesis, characterization, ionic conductivity, electrochemical stability, and lithium-ion transport number of an asymmetric version of the successful orthoborate lithium salt lithium bis(oxalato) borate (LiBOB), are described. The salt, lithium (malonato oxalato) borate (LiMOB), is thermally stable up to 273degreesC. It is poorly soluble in common organic solvents such as 1,2-dimethoxyethane, tetrahydrofuran, acetonitrile, dimethyl carbonate, and propylene carbonate, but has moderate solubility in gamma-butyrolactone (GBL) and N,N-dimethylformamide (DMF), and high solubility in dimethyl sulfoxide (DMSO). The 0.5 M solutions of LiMOB in GBL, DMSO, and DMF show high conductivities (5.0 x 10(-3) S cm(-1), 5.1 x 10(-3) S cm(-1), and 11.8 x 10(-3) S cm(-1) at 25degreesC, respectively) relative to most 0.5 M nonaqueous solutions. Even the room temperature conductivity of the 0.08 M LiMOB-PC solution is close to 10(-3) S cm(-1). The conductivities of LiMOB solutions are close to those of LiBOB solutions, which has been demonstrated in recent studies to be a successful substitute for LiPF6 in lithium-ion batteries. The cyclic voltammograms show that LiMOB solutions in PC and GBL have electrochemical stability as high as 4.3 V vs. Li+/Li. The lithium-ion transport number at room temperature for 0.5 M LiMOB in DMSO-d(6) was 0.36, obtained from self-diffusivity measurement by the pulsed field gradient spin echo nuclear magnetic resonance technique. The highest occupied molecular orbital energy, which is usually correlated with electrochemical stability has been calculated, and electrostatic potential maps for the new anion and its fluorinated derivatives are presented. They suggest that the fluorinated analogue of LiMOB should be more stable and more soluble, and may have unique properties. (C) 2004 The Electrochemical Society.</t>
  </si>
  <si>
    <t>Xu, Wu/AGU-0925-2022</t>
  </si>
  <si>
    <t>Xu, Wu/0000-0002-2685-8684</t>
  </si>
  <si>
    <t>A632</t>
  </si>
  <si>
    <t>A638</t>
  </si>
  <si>
    <t>10.1149/1.1651528</t>
  </si>
  <si>
    <t>WOS:000220560700021</t>
  </si>
  <si>
    <t>Horopanitis, EE; Perentzis, G; Samaras, I; Dikonimos-Makris, T; Lisi, N; Papadimitriou, L</t>
  </si>
  <si>
    <t>Preparation by e-gun evaporation and study of cathode-electrolyte thin-film bi-layers for solid state microbatteries</t>
  </si>
  <si>
    <t>3rd International Meeting on Advanced Batteries and Accumulators</t>
  </si>
  <si>
    <t>JUN 16-20, 2002</t>
  </si>
  <si>
    <t>BRNO, CZECH REPUBLIC</t>
  </si>
  <si>
    <t>In this paper, thin film bi-layers of LiCoO2 cathode material and xLi(2)O-B2O3 electrolyte glasses were prepared by e-gun evaporation. The ionic conductivity of the electrolyte films was measured by employing impedance spectroscopy technique and the results, for different chemical compositions of the electrolyte, are compared. Auger electron spectroscopy was employed to examine the successive thin-film layers of the bi-layer devices.</t>
  </si>
  <si>
    <t>lisi, nicola/K-5784-2017</t>
  </si>
  <si>
    <t>lisi, nicola/0000-0003-1215-945X</t>
  </si>
  <si>
    <t>10.1007/s10008-003-0400-1</t>
  </si>
  <si>
    <t>WOS:000187186000016</t>
  </si>
  <si>
    <t>Takehara, M; Tsukimori, N; Nanbu, N; Ue, M; Sasaki, Y</t>
  </si>
  <si>
    <t>Physical and electrolytic properties of fluoroethyl methyl carbonate</t>
  </si>
  <si>
    <t>The physical and electrolytic properties of the fluoroethyl methyl carbonate (FEMC) obtained chemically were examined. The dielectric constant, density and viscosity of FEMC were much higher than those of ethyl methyl carbonate (EMC). This means that the molecular interaction in FEMC becomes large with introducing a fluorine atom with high electron withdrawing into EMC molecule. The oxidative decomposition voltage (oxidation durability) of FEMC is slightly higher than that of EMC. At relatively low electrolyte concentrations, the specific conductivities in FEMC solutions are higher than those in EMC solutions because of high dielectric constant for FEMC. The conductivity in EC-FEMC binary solution decreases gradually with increasing FEMC concentration. The lithium electrode cycling efficiencies in EC-FEMC equimolar binary solutions containing 1.0 mol dm(-3) LiPF6 and LiBF4 are higher than those in EC-EMC solutions. In particular, the LiBF4 solution shows the high efficiency of more than 70% at a high range of cycle number. The surface of the films formed on the electrode after cycling in EC-FEMC solutions is homogeneous, and consists of an uniform and small grain size.</t>
  </si>
  <si>
    <t>10.5796/electrochemistry.71.1201</t>
  </si>
  <si>
    <t>WOS:000187246700059</t>
  </si>
  <si>
    <t>Barbarich, TJ; Driscoll, PF</t>
  </si>
  <si>
    <t>A lithium salt of a lewis acid-base complex of imidazolide for lithium-ion batteries</t>
  </si>
  <si>
    <t>We report the synthesis of a class of lithium salts in which the two strongly Lewis basic sites of lithium imidazolide are each complexed by the Lewis acid BF3 to yield lithium bis(trifluoroborane)imidazolide [LiIm(BF3)(2)]. The anion has a high degree of charge delocalization over the aromatic ring and two four-coordinate boron centers and has only very weakly basic sites on the periphery which keep the coordinating ability to the lithium cation low. The salt has a conductivity of 5.06 mS/cm in 1:3 ethylene carbonate: ethylmethyl carbonate solution and has high oxidative stability. Lithium cells made with common anode and cathode materials using an electrolyte containing this salt had performance similar to cells using an electrolyte containing LiPF6. (C) 2003 The Electrochemical Society.</t>
  </si>
  <si>
    <t>Driscoll, Peter/KHV-9727-2024</t>
  </si>
  <si>
    <t>A113</t>
  </si>
  <si>
    <t>A116</t>
  </si>
  <si>
    <t>10.1149/1.1568831</t>
  </si>
  <si>
    <t>WOS:000182269700005</t>
  </si>
  <si>
    <t>Vijayakumar, M; Hirankumar, G; Bhuvaneswari, MS; Selvasekarapandian, S</t>
  </si>
  <si>
    <t>Influence of B2O3 doping on conductivity of LiTiO2 electrode material</t>
  </si>
  <si>
    <t>Fast ionic conductors XLiTiO2-YB2O3 with X:Y = 90:10 and 80:20 are prepared by the solid-state reaction method and subjected to ac conductivity measurements with silver electrodes in the frequency range 42 Hz to 5 MHz. The ac conductivity values are 6.47 x 10(-5) and 2.2 x 10(-7) Omega(-1) cm(-1), respectively. The ion hopping rate and charge carrier concentration are calculated by fitting the conductance spectra to the power law equation, using Almond and West formalisms. The charge carrier concentration is in the order of 10(25) and is independent of temperature, which supports the strong electrolyte model. The conductivity relaxation time is calculated from the peak frequency of the modulus spectra. The effect of B2O3 substitution is discussed. (C) 2003 Elsevier Science B.V. All rights reserved.</t>
  </si>
  <si>
    <t>S, Bhuvaneswari/AAC-3226-2022; Murugesan, Vijayakumar/C-6643-2011; G, Hirankumar/H-4054-2019; G, Hirankumar/GQH-4017-2022</t>
  </si>
  <si>
    <t>Murugesan, Vijayakumar/0000-0001-6149-1702; G, Hirankumar/0000-0002-1724-2001</t>
  </si>
  <si>
    <t>10.1016/S0378-7753(03)00110-1</t>
  </si>
  <si>
    <t>WOS:000183155700020</t>
  </si>
  <si>
    <t>Hayashi, A; Nakai, M; Tatsumisago, M; Minami, T; Katadab, M</t>
  </si>
  <si>
    <t>Structural studies in lithium insertion into SnO-B2O3 glasses and their applications for all-solid-state batteries</t>
  </si>
  <si>
    <t>The local structure of electrochemically lithium-inserted SnO-B2O3 glasses was investigated by several spectroscopic techniques to clarify a lithium insertion mechanism into the glasses. 50SnO.50B(2)O(3) (mol %) glass showed two plateaus around 1.5 and 0.5 V (vs. Li+/Li) on the lithium insertion process and exhibited a high capacity of 1240 mAh g(-1) in the case of using a conventional liquid electrolyte. On the first plateau (1.5 V vs. Li+/Li), metallic Sn with small domains was formed and the coordination environment at boron in the glass network was not changed. On the second plateau (0.5 V vs. Li+/ Li), the borate glass network was rearranged by a transformation from tetrahedral BO4 to trianglar BO3 boron units, which provides an additional free space compensating an increase in volume followed by a formation of Li-Sn alloy domains. Hence, the larger the fraction of tetrahedral BO4 unit is in the SnO-B2O3 glasses, the higher the charge-discharge capacities are. The SnO-B2O3 glasses are applicable to all-solid-state lithium rechargeable batteries as anode materials with high capacity. (C) 2003 The Electrochemical Society.</t>
  </si>
  <si>
    <t>A582</t>
  </si>
  <si>
    <t>A587</t>
  </si>
  <si>
    <t>10.1149/1.1565134</t>
  </si>
  <si>
    <t>WOS:000182184200006</t>
  </si>
  <si>
    <t>Sun, XH; Lee, HS; Yang, XQ; McBreen, J</t>
  </si>
  <si>
    <t>The compatibility of a boron-based anion receptor with the carbon anode in lithium-ion batteries</t>
  </si>
  <si>
    <t>The electrochemical stability of the boron anion receptor, tris(pentafluorophenyl) borane (TPFPB), on a carbonaceous mesocarbon microbeads (MCMB) electrode and its compatibility with the passivated solid electrolyte interphase (SEI) layer on the carbon anode were investigated. Comparison of the irreversible capacity loss of the MCMB electrode during initial galvanostatic cycling using electrolyte with and without the TPFPB additive indicates excellent electrochemical stability of TPFPB on the carbonaceous electrode. Cyclic voltammetry studies show that the SEI layer on the surface of the carbon electrode can be formed through the decomposition of ethylene carbonate in the presence of TPFPB. Prolonged cycling test verifies the long-term stability of the SEI layer on carbon in the presence of the TPFPB additive. The SEI layer is not dissolved by TPFPB even after heat-treatment under conditions which dissolve LiF salt. This suggested a cross-linked structure for the SEI layer on carbon electrode. A Li-ion cell using an electrolyte containing TPFPB displays better cycling performance than a cell without TPFPB under the same conditions. (C) 2003 The Electrochemical Society.</t>
  </si>
  <si>
    <t>A43</t>
  </si>
  <si>
    <t>A46</t>
  </si>
  <si>
    <t>10.1149/1.1536475</t>
  </si>
  <si>
    <t>WOS:000180249700007</t>
  </si>
  <si>
    <t>Dodd, AJ; van Eck, ERH</t>
  </si>
  <si>
    <t>Identification and inspection of the vacancy site in Li doped BPO4 ceramic electrolyte by NMR</t>
  </si>
  <si>
    <t>CHEMICAL PHYSICS LETTERS</t>
  </si>
  <si>
    <t>A study of the properties of the high temperature ceramic electrolyte LixB1-x/3PO4 (lithium boron phosphate) is reported. XRD and NMR are used to investigate changes of the material as a function of heat treatment. It was found that after synthesis at 450 degreesC the material contains a phase of Li4P2O7 in addition to the BPO4 phase. This second phase is removed by heat treatment at temperatures higher than 600 degreesC. Boron vacancies are present, REDOR and CPMAS techniques are used to investigate this defect site and show that for the heat treated material Li ions are present at the vacancy site. (C) 2002 Elsevier Science B.V. All rights reserved.</t>
  </si>
  <si>
    <t>van Eck, Ernst/F-9704-2015</t>
  </si>
  <si>
    <t>Eck, Ernst/0000-0002-2365-9583</t>
  </si>
  <si>
    <t>0009-2614</t>
  </si>
  <si>
    <t>NOV 5</t>
  </si>
  <si>
    <t>PII S0009-2614(02)01443-4</t>
  </si>
  <si>
    <t>10.1016/S0009-2614(02)01443-4</t>
  </si>
  <si>
    <t>WOS:000178872300017</t>
  </si>
  <si>
    <t>Sun, X; Lee, HS; Yang, XQ; McBreen, J</t>
  </si>
  <si>
    <t>Using a boron-based anion receptor additive to improve the thermal stability of LiPF6-based electrolyte for lithium batteries</t>
  </si>
  <si>
    <t>The possibility of using a strong anion coordinate agent, tris(pentafluorophenyl) borane (TPFPB), to suppress the thermal decomposition of LiPF6-based electrolyte was studied. Cyclic voltammogram measurements showed that addition of 0.1 M TPFPB maintained electrochemical stability of a LiPF6-based electrolyte at 55degreesC for a week, while under the same conditions severe degradation in electrochemical stability was observed in the same LiPF6-based electrolyte without the TPFPB additive. A Li/LiMn2O4 cell with a composite LiPF6-based electrolyte containing 0.1 M TPFPB additive also exhibited superior capacity retention and cycling efficiency at 55degreesC than a cell with an electrolyte without additive. These data demonstrate the excellent effect of TPFPB additive in improving the thermal stability of LiPF6-based electrolyte. (C) 2002 The Electrochemical Society.</t>
  </si>
  <si>
    <t>A248</t>
  </si>
  <si>
    <t>A251</t>
  </si>
  <si>
    <t>10.1149/1.1510321</t>
  </si>
  <si>
    <t>WOS:000178145200004</t>
  </si>
  <si>
    <t>Nanbu, N; Tsuchiya, K; Shibazaki, T; Sasaki, Y</t>
  </si>
  <si>
    <t>Lithium tris[3-fluoro-1,2-benzenediolato(2-)-O,O′]phosphate as a novel lithium salt for lithium battery electrolytes</t>
  </si>
  <si>
    <t>We have synthesized a novel lithium salt with a chelate compound of phosphorus, lithium tris[3-fluoro-1,2-benzenediolato(2-)-O,O']phosphate (3-FLTBP). The thermal stability and electrolytic properties of 3-FLTBP, and the coulombic efficiency of the deposition/dissolution cycling for a lithium metal (lithium electrode cycling efficiency! are investigated. 3-FLTBP is more thermally stable than lithium tris[1,2-benzenediolato(2-)-O,O']phosphate (LTBP) and lithium tris[4-methyl-1,2-benzenediolato(2-)O, O']phosphate (4-MLTBP), which we previously synthesized. The electrochemical stability in propylene carbonate solutions and the specific conductivities in ethylene carbonate-dimethyl carbonate (mole ratio 1: 1) binary solutions decrease in the following ascending order: 3-FLTBP, LTBP, and 4-MLTBP. The mixing of the lithium organophosphate and LiPF6 enhances the cycling efficiency over the range of high cycle numbers. (C) 2002 The Electrochemical Society.</t>
  </si>
  <si>
    <t>A202</t>
  </si>
  <si>
    <t>A205</t>
  </si>
  <si>
    <t>10.1149/1.1496535</t>
  </si>
  <si>
    <t>WOS:000177572800006</t>
  </si>
  <si>
    <t>Zhang, SS; Xu, K; Jow, TR</t>
  </si>
  <si>
    <t>A thermal stabilizer for LiPF6-based electrolytes of Li-ion cells</t>
  </si>
  <si>
    <t>We report that tris(2,2,2- trifluoroethyl) phosphite (TTFP), in which the oxidization number of phosphor is three (III), can effectively improve thermal stability of LiPF6-based electrolytes of Li-ion cells. Effect of TTFP on the performance of Li/graphite, Li/cathode, and Li-ion cells is estimated using cyclic voltammetry and galvanostatic cycling. Results show that TTFP is electrochemically stable in Li-ion chemistry. We also found that TTFP can prevent propylene carbonate (PC) decomposition and graphite exfoliation in Li/graphite half-cell. We propose a mechanism of TTFP protecting LiPF6 and discuss the effect of TTFP on cell performance. (C) 2002 The Electrochemical Society.</t>
  </si>
  <si>
    <t>Zhang, Shengshui/A-4456-2012; Xu, Kang/ABG-3307-2020; Zhang, Sheng/A-4456-2012</t>
  </si>
  <si>
    <t>Zhang, Shengshui/0000-0003-4435-4110; Xu, Kang/0000-0002-6946-8635;</t>
  </si>
  <si>
    <t>A206</t>
  </si>
  <si>
    <t>A208</t>
  </si>
  <si>
    <t>10.1149/1.1499669</t>
  </si>
  <si>
    <t>WOS:000177572800007</t>
  </si>
  <si>
    <t>Eriksson, T; Andersson, AM; Gejke, C; Gustafsson, T; Thomas, JO</t>
  </si>
  <si>
    <t>Influence of temperature on the interface chemistry of LixMn2O4 electrodes</t>
  </si>
  <si>
    <t>The temperature dependence of surface layer formation on LixMn2O4 electrodes in carbonate-based electrolytes has been studied. No significant differences were observed in the elemental composition of the surface film for cycled and stored samples. This argues against an electrochemical contribution to the surface film formation at elevated temperature, A surface film is formed at higher temperatures containing poly(oxyethylene)/polycarbonate, LiF, LixPOyFz and phosphorus oxides (or LixBOyFz and boron oxides, depending on the electrolyte salt). The thickness and coverage increase at higher temperatures. No onset temperature could be found for the formation process, suggesting a general increase in reaction kinetics with temperature. A model is presented for the surface layer formed on LixMn2O4 (0 less than or equal to x less than or equal to 1) electrodes in contact with carbonate-based electrolytes. Polymeric compounds were found to precipitate closest to the electrode surface, with an intermediate layer of LiF and a phosphorus-rich layer outermost.</t>
  </si>
  <si>
    <t>Eriksson, Thomas/F-9362-2016; Andersson, Anna/F-6541-2014</t>
  </si>
  <si>
    <t>Andersson, Anna/0000-0003-4057-6402</t>
  </si>
  <si>
    <t>10.1021/la011354m</t>
  </si>
  <si>
    <t>WOS:000175289600036</t>
  </si>
  <si>
    <t>Downard, A; Nieuwenhuyzen, M; Seddon, KR; van den Berg, JA; Schmidt, MA; Vaughan, JFS; Welz-Biermann, U</t>
  </si>
  <si>
    <t>Structural features of lithium organoborates</t>
  </si>
  <si>
    <t>The NMR and crystallographic characterization of lithium bis[salicylato(2-)]borate, Li(BSB), and lithium bis[1,2-benzenediolato(2-)-O,O']borate, Li(BBB), are reported. The single-strand polymer {(MeCN)(2) Li(BSB)}(infinity) crystallizes from a saturated solution of Li(BSB) in ethanenitrile and consists of mu(2)-{(MeCN)(2)Li}(+) cations bridging the exocyclic oxygen atoms of two [BSB](-) anions. Crystallization of Li(BSB) from tetrahydrofuran produces {(THF)(2)Li(BSB)}eta(infinity), which has essentially the same structure as {(MeCN)(2)Li(BSB)}(infinity). In contrast, crystals of Li(BBB) grown from THF/diethyl ether or THF/toluene mixtures (1:1) contain adventitious water and form a hydrogen-bonded, three-dimensional lattice comprising {(H2O)(2)(THF)Li(BBB)} units. This novel structural motif contains the first example of lithium bound to one THF and two water molecules, and also exhibits hydrogen bonding between the water and the THF. Ab initio calculations suggest that the Li-O-BBB bond in {(H2O)(2)(THF)Li(BBB)}(infinity), while still predominantly ionic in character, is more covalent than an analogous Na-O-BBB bond. Crystallization of Li(BBB) from ethanenitrile produces {[(H2O)(MeCN)Li(BBB)](2)}(infinity), which contains the first example of lithium bound to one MeCN and one water molecule. In this case, hydrogen bonding occurs between dimeric {(H2O)(MeCN)Li(BBB)}(2) units to form two-dimensional sheets in the ab crystal plane.</t>
  </si>
  <si>
    <t>MAR-APR</t>
  </si>
  <si>
    <t>10.1021/cg010035q</t>
  </si>
  <si>
    <t>WOS:000174533900007</t>
  </si>
  <si>
    <t>Takami, N; Ohsaki, T; Hasebe, H; Yamamoto, M</t>
  </si>
  <si>
    <t>Laminated thin Li-ion batteries using a liquid electrolyte</t>
  </si>
  <si>
    <t>Thin Li-ion batteries with a laminated film bag as a casing were developed by using a liquid electrolyte and a graphitized boron-doped mesophase-pitch-based carbon fiber (B-MCF) anode. The thin Li-ion batteries exhibited excellent discharge performance, long cycle life, and very low swelling under high-temperature storage. A 1.5 M solution of LiBF4 in an ethylene carbonate (EC)/gamma -butyrolactone (GBL) (1:3 by volume) mixed solvent is advantageous for use as the electrolyte in the laminated film bag because of its high flame point of 129 degrees C, high boiling point of 216 degrees C, low vapor pressure, and high conductivity of 2.1 mS/cm at -20 degrees C. The B-MCF anode in the LiBF4-EC/GBL electrolyte exhibited a high reversible capacity of 345 mAh/g, a high coulombic efficiency of 94% at the first cycle, and high rate capability. It was demonstrated that the thin Li-ion battery with a thickness of 3.6 mm has a high energy density of 172 Wh/kg, high rate capability between 0.2 and 3C rate discharge, a high capacity ratio of 50% at 1C rate discharge and -20 degrees C, and a long cycle life of more than 500 cycles at 1C rate charge-discharge cycling. The B-MCF anode led to the high rate discharge performance and the long cycle life of the thin Li-ion batteries using the LiBF4-EC/GBL electrolyte. The very low swelling and small evolution of gas under the high-temperature storage at 85 degreesC were attributable to the stability of LiBF4-EC/GBL electrolyte against the fully charged LiCoO2 cathode material. (C) 2001 The Electrochemical Society.</t>
  </si>
  <si>
    <t>A9</t>
  </si>
  <si>
    <t>A12</t>
  </si>
  <si>
    <t>10.1149/1.1420704</t>
  </si>
  <si>
    <t>WOS:000172938900002</t>
  </si>
  <si>
    <t>Nanbu, N; Shibazaki, T; Sasaki, Y</t>
  </si>
  <si>
    <t>A novel lithium salt with a chelate compound of phosphorus for lithium battery electrolytes</t>
  </si>
  <si>
    <t>We have synthesized a novel Li salt with a chelate compound of phosphorus, lithium tris[4-methyl-1,2-benzenediolato(2-)-O,O']phosphate (4-MLTBP). The thermal stability and electrolytic properties of 4-MLTBP, and the charge-discharge characteristics of a lithium electrode are investigated. The thermal decomposition temperature of 4-MLTBB is higher than those of a common lithium salt with phosphorus, LiPF6, and lithium tris [1,2-benzenediolato(2-)-O,O']phosphate, which we previously synthesized. The specific conductivities and the cycling efficiencies become higher in an ethylene carbonate- and a propylene carbonate-dimethyl carbonate equimolar binary solutions containing a mixture of 4-MLTPB with LiPF6.</t>
  </si>
  <si>
    <t>WOS:000171210200007</t>
  </si>
  <si>
    <t>Sasaki, Y; Handa, M; Kurashima, K; Tonuma, T; Usami, K</t>
  </si>
  <si>
    <t>Application of lithium organoborate with salicylic ligand to lithium battery electrolyte</t>
  </si>
  <si>
    <t>The thermal characteristics of lithium bis[salicylato(2-)]borate (LBSB) and its novel derivatives synthesized by us, such as lithium bis[3-methylsalicylato(2-)]borate (3-MLBSB), lithium bis[3,5-dichlorosalicylato(2-)]borate (DCLBSB), and lithium bis[3,5,6-trichlorosalicylato(2-)]borate (TCLBSB) were examined by thermogravimetric analysis (TG). The thermal decomposition in air begins at 260, 290, 310, and 320 degreesC for TCLBSB, LBSB, DCLBSB, and 3-MLBSB, respectively. The thermal stabilities of 3-MLBSB and DCLBSB are nearly equal to those of LiN(CF3SO2)(2) and LiN(C2F5SO2)(2). The order of the stability toward oxidation of these organoborates is TCLBSB approximate to DCLBSB &gt; LBSB &gt; 3-MLBSB, which differs from the thermal stability. Ionic dissociation properties of LBSB and its derivatives were examined by conductivity measurements in ethylene carbonate-1,2-dimethoxyethane (EC-DME) equimolar binary dilute solutions. The conductivities of the 0.1 mol dm(-3) DCLBSB and TCLBSB electrolytes become higher than those in the LBSB and 3-MLBSB electrolytes. It means that DCLBSB and TCLBSB have high dissociating abilities in EC-DME mixture. The 0.5 mol dm(-3) LBSB/EC-DME equimolar binary solution exhibits the highest lithium electrode cycling efficiency of more than 85% in the higher range of cycle numbers. This is a good electrolyte for rechargeable batteries. (C) 2001 The Electrochemical Society.</t>
  </si>
  <si>
    <t>A999</t>
  </si>
  <si>
    <t>A1003</t>
  </si>
  <si>
    <t>10.1149/1.1390343</t>
  </si>
  <si>
    <t>WOS:000170813000006</t>
  </si>
  <si>
    <t>Netz, A; Huggins, RA; Weppner, W</t>
  </si>
  <si>
    <t>Netz, A.; Huggins, R. A.; Weppner, W.</t>
  </si>
  <si>
    <t>Investigations of a Number of Alternative Negative Electrode Materials for Use in Lithium Cells</t>
  </si>
  <si>
    <t>There is a considerable interest in the replacement of graphite as the negative electrode reactant in rechargeable lithium batteries by composite electrodes containing alloys or convertible oxides. Some such materials can have much higher theoretical specific capacities than graphite, more than a factor of ten in some cases. In addition it would be desirable to eliminate the irreversible loss of capacity during the first charging cycle that is characterisitic of graphite electrodes, as well to raise the operating potential somewhat in order to reduce the danger of the formation of elemental lithium during recharging. The several strategies that have been followed in the search for attractive alternatives will be briefly described. It has been found to be difficult to obtain the desired combination of high capacity, low first cycle loss and capacity retention upon cycling. Investigations of the electrochemical behaviour of elemental boron and borides (B4C, CaB6, LaB6, AIB(2), SiB3), elemental silicon and silicides (Mg2Si, FeSi2, CoSi2, NiSi2, TiSi2, VSi2) and of siliconmonoxide, SiO, will be reported. The galvanostatic cycling method was used, with thick layer electrodes (30 mu m) deposited upon copper foil in coffee bag-type cells with a liquid electrolyte. Lithium foil was used for the counter and reference electrodes. The results of the investigation of the morphological changes upon cycling, as observed by the use of SEM, will also be presented.</t>
  </si>
  <si>
    <t>4-6</t>
  </si>
  <si>
    <t>10.1007/BF02373580</t>
  </si>
  <si>
    <t>WOS:000208028900024</t>
  </si>
  <si>
    <t>Sasaki, Y; Handa, M; Sekiya, S; Kurashima, K; Usami, K</t>
  </si>
  <si>
    <t>Application to lithium battery electrolyte of lithium chelate compound with boron</t>
  </si>
  <si>
    <t>10th International Meeting on Lithium Batteries</t>
  </si>
  <si>
    <t>MAY 28-JUN 02, 2000</t>
  </si>
  <si>
    <t>COMO, ITALY</t>
  </si>
  <si>
    <t>The electrolytic conductivities and charge-discharge characteristics of Lithium electrode are examined in propylene carbonate (PC)- and ethylene carbonate (EC) tetrahydrofurans, such as 2-methyltetrahydrofuran (2-MeTHF) and 2,5-dimethyltetrahydrofuran (2,5-DMeTHF), binary solvent electrolytes containing lithium bis[1,2-benzenediolato(2-)-O,O ' ]borate (LBBB), Lithium bis[2,3-naphthalenediolato(2-)O,O ' ]borate (LBNB), lithium bis[2,2 ' -biphenyldiolato(2-)-O,O ' ]borate (LBBPB) and lithium bis[salicylato(2-)]borate (LBSB). The order of specific conductivities in PC- and EC-based equimolar binary solutions containing these organoborates is LBBB greater than or equal to LBNB &gt; LBSB &gt; LBBPB. The conductivity in LBNB electrolyte with higher viscosity than that in LBSB electrolyte becomes high. The PC-2-MeTHF and PC-2,5-DMeTHF equimolar binary solutions containing LBSB and a mixed electrolyte (LBBPB + LiPF6) show very high cycling efficiencies more than 90% at a higher range of cycle number. The EC-THF and EC-2-MeTHF equimolar binary solutions are moderate electrolytes with about 80% cycling efficiencies. It is found by using scanning electron microscope (SEM) that the films formed on the electrode in PC-2-MeTHF and PC-2,5-DMeTHF electrolytes with higher cycling efficiencies have a homogeneous surface with uniform grain size. (C) 2001 Elsevier Science B.V. All rights reserved.</t>
  </si>
  <si>
    <t>97-8</t>
  </si>
  <si>
    <t>10.1016/S0378-7753(01)00745-5</t>
  </si>
  <si>
    <t>WOS:000169836000134</t>
  </si>
  <si>
    <t>Dodd, AJ; van Eck, ERH; Jak, MJG; Kelder, EM; Schoonman, J</t>
  </si>
  <si>
    <t>NMR study of ionic distribution in Li-doped BPO4</t>
  </si>
  <si>
    <t>Li-7 nuclear magnetic resonance studies of a series of lithium-doped boron phosphates (LixB1-xPO4, 0 &lt; x &lt; 0.2) are reported, Second moment calculations have been made using basic structural models and have been used in conjunction with experimental data to present a model for the distribution of Li ions in the lattice. It is shown that Li ions form in clusters, most likely around a boron vacancy. High-temperature measurements are used to obtain ionic mobility as a function of concentration, and activation energy for hopping of Li ions is shown to increase with concentration, (C) 2000 Academic Press.</t>
  </si>
  <si>
    <t>; van Eck, Ernst/F-9704-2015</t>
  </si>
  <si>
    <t>Eck, Ernst/0000-0002-2365-9583;</t>
  </si>
  <si>
    <t>10.1006/jssc.2000.8759</t>
  </si>
  <si>
    <t>WOS:000089082800012</t>
  </si>
  <si>
    <t>McBreen, J; Lee, HS; Yang, XQ; Sun, X</t>
  </si>
  <si>
    <t>New approaches to the design of polymer and liquid electrolytes for lithium batteries</t>
  </si>
  <si>
    <t>Solid State Lithium Battery Workshop</t>
  </si>
  <si>
    <t>JUL, 1999</t>
  </si>
  <si>
    <t>TOWSON, MARYLAND</t>
  </si>
  <si>
    <t>All non-aqueous lithium battery electrolytes are Lewis bases that interact with cations. Unlike water, they do not interact with anions. The result is a high degree of ion pairing and the formation of triplets and higher aggregates. This decreases the conductivity and the lithium ion transference, and results in polarization losses in batteries. Approaches that have been used to increase ion dissociation in poly(ethylene oxide) (PEO)-based electrolytes are the use of salts with low lattice energy, the addition of polar plasticizers to the polymer, and the addition of cation complexing agents such as crown ethers or cryptands. Complexing of the anions is a more promising approach, since it should increase both ion dissociation and the lithium transference. At Brookhaven National Laboratory (BNL) we have synthesized two new families of neutral anion complexing agents, each based on Lewis acid centers. One is based on electron deficient nitrogen sites on substituted aza-ethers, wherein the hydrogen on the nitrogen is replaced by electron withdrawing groups such as CF3SO3-. The other is based on electron deficient boron sites on borane or berate compounds with various fluorinated aryl or alkyl groups. Some of the borane-based anion receptors can promote the dissolution of LiF in several solvents. Several of these compounds, when added in equivalent amounts, produce 1.2 M LiF solutions in DME, an increase in solubility of LiF by six orders of magnitude. Some of these LiF electrolytes have conductivities as high as 6 X 10(-3) S cm(-1),The LiF electrolytes with borane anion accepters in PC:EC:DEC solvents have excellent electrochemical stability. This has been demonstrated in small Li/LiMn2O4 cells. (C) 2000 Elsevier Science S.A. All rights reserved.</t>
  </si>
  <si>
    <t>10.1016/S0378-7753(00)00425-0</t>
  </si>
  <si>
    <t>WOS:000087938100008</t>
  </si>
  <si>
    <t>Handa, M; Sekiya, S; Kurashima, K; Usami, K; Sasaki, Y</t>
  </si>
  <si>
    <t>Surampudi, S; Marsh, RA; Ogumi, Z; Prakash, J</t>
  </si>
  <si>
    <t>Application to lithium battery electrolytes of lithium organoborate complexes</t>
  </si>
  <si>
    <t>LITHIUM BATTERIES, PROCEEDINGS</t>
  </si>
  <si>
    <t>ELECTROCHEMICAL SOCIETY SERIES</t>
  </si>
  <si>
    <t>International Symposium on Lithium Batteries of the 196th Electrochemical-Society Fall Meeting</t>
  </si>
  <si>
    <t>OCT 17-22, 1999</t>
  </si>
  <si>
    <t>HONOLULU, HI</t>
  </si>
  <si>
    <t>Electrochem Soc, Battery Div,Electrochem Soc, Energy Technol Div</t>
  </si>
  <si>
    <t>The possibility as useful lithium battery electrolytes of lithium organoborate complexes based on a chelate-type anion such as lithium bis[1,2-benzenediolato(2-)O,O']borate (LBBB), lithium bis[2,3-naphthalenediolato(2-)-O,O']borate (LBNB), lithium bis[2,2'-biphenyldiolato(2-)-O,O']borate (LBBPB) and lithium bis[salicylato(2-)]borate (LBSB) are studied. The electrolytic behavior and charge-discharge characteristics of lithium electrodes are examined in propylene carbonate and ethylene carbonate-based binary and ternary solvent electrolytes containing LBBB, LBNB, LBBPB and LBSB in comparison with common lithium salts such as LiClO4, LIPF6, LIBF4 and LiCF3SO3. Lithium cycling efficiencies due to the lithium deposition and dissolution processes on a Ni electrode in LBBB, LBNB, LBBPB and LBSB solutions are highly stable at higher cycle numbers. LBBPB and LiPF6 mixed salt of propylene carbonate - 2,5 dimethyltetrahydrofuran solution shows the highest efficiency more than 90%. On the electrode surface homogeneous distribution are shown with scanning electron microscope.</t>
  </si>
  <si>
    <t>1-56677-248-6</t>
  </si>
  <si>
    <t>WOS:000088014200048</t>
  </si>
  <si>
    <t>Kim, C; Nishimura, K; Fujino, T; Miyashita, K; Endo, M; Dresselhaus, MS</t>
  </si>
  <si>
    <t>Structure and anode performance of pristine and B-doped graphites for Li-ion batteries</t>
  </si>
  <si>
    <t>MOLECULAR CRYSTALS AND LIQUID CRYSTALS</t>
  </si>
  <si>
    <t>10th International Symposium on Intercalation Compounds (ISIC 10)</t>
  </si>
  <si>
    <t>MAY 30-JUN 03, 1999</t>
  </si>
  <si>
    <t>OKAZAKI CONF CTR, OKAZAKI, JAPAN</t>
  </si>
  <si>
    <t>Inoue Fdn Sci,Izumi Sci &amp; Technol Fdn,Ogasawara Fdn Promot Sci &amp; Engn</t>
  </si>
  <si>
    <t>OKAZAKI CONF CTR</t>
  </si>
  <si>
    <t>The microstructure and electrochemical properties of pristine graphitized and boron-doped materials have been comparatively analyzed by x-ray photoelectron spectroscopy (XPS), x-ray diffraction (XRD), and electrochemical measurements. The electrochemical properties in a Li ion secondary battery of boron-doped graphitized materials depends strongly on the structural geometry and chemical composition of the pristine host materials.</t>
  </si>
  <si>
    <t>Endo, Morinobu/0000-0002-7034-3143</t>
  </si>
  <si>
    <t>1542-1406</t>
  </si>
  <si>
    <t>1563-5287</t>
  </si>
  <si>
    <t>10.1080/10587250008025508</t>
  </si>
  <si>
    <t>WOS:000089195500077</t>
  </si>
  <si>
    <t>New polymer and liquid electrolytes for lithium batteries</t>
  </si>
  <si>
    <t>All non-aqueous lithium battery electrolytes are Lewis bases that interact with cations. Unlike water, they don't interact with anions. The result is a high degree of ion pairing and the formation of triplets and higher aggregates. This decreases the conductivity and the lithium ion transference and results in polarization losses in batteries. Approaches that have been used to increase ion dissociation in PEO based electrolytes are the use of salts with low lattice energy, the addition of polar plasticizers to the polymer, and the addition of cation complexing agents such as crown ethers or cryptands. Complexing of the anions is a more promising approach since it should increase both ion dissociation and the lithium transference. At Brookhaven National Laboratory (BNL) we have synthesized two new families of neutral anion complexing agents, each based on Lewis acid centers. One is based on electron deficient nitrogen sites on substituted aza-ethers, wherein the hydrogen on the nitrogen is replaced by electron withdrawing groups such as CF3SO3-. The other is based on electron deficient boron sites on borane or berate compounds with various fluorinated aryl or alkyl groups. Some of the borane based anion receptors can promote the dissolution of LIF in several solvents. Several of these compounds, when added in equivalent amounts, produce 1.2 M LiF solutions in DME, an increase in solubility of LiF by six orders of magnitude. Some of these LiF electrolytes have conductivities as high as 6x10(-3) Scm(-1). The LiF electrolytes with borane anion acceptors in PC:EC:DEC solvents have excellent electrochemical stability. This has been demonstrated in small Li/LiMn2O4 cells.</t>
  </si>
  <si>
    <t>WOS:000088014200049</t>
  </si>
  <si>
    <t>Yang, XQ; Lee, HS; Sun, X; McBreen, J</t>
  </si>
  <si>
    <t>Comparative studies of the electrochemical and thermal stability of composite electrolytes for lithium battery using two types of boron-based anion receptors</t>
  </si>
  <si>
    <t>Comparative studies were done on two new types of boron based anion receptors, tris(pentafluorophenyl) borane (TFPB) and tris(pentafluorophenyl) berate (TFPBO), regarding conductivity enhancement, electrochemical and thermal stability when used as additives in composite electrolytes for lithium batteries. Both additives enhance the ionic conductivity of electrolytes of simple lithium salts, LiF, CF3CO2Li and C2F5CO2Li in several organic solvents. The electrochemical windows of TPFB based electrolytes in ethylene carbonate (EC)-propylene carbonate (PC)-dimethyl carbonate (DMC) (1:1:3, v/v) are up to 5, 4.76 and 4.96 V for LiF, CF3CO2Li and C2F5CO2Li respectively. TPFBO has lower electrochemical stability compared to TPFB. The thermal stability of purl TFPB is better than TFPBO. The lithium salt complexes have higher thermal stability than these two compounds. TPFB based electrolytes showed high cycling efficiencies and good cycleability when they were tested in Li/LiMn2O4 cells. The capacity retention of the cells using TFPB based electrolytes during multiple cycling is better than those using TFPBO based electrolytes.</t>
  </si>
  <si>
    <t>WOS:000088014200054</t>
  </si>
  <si>
    <t>Comparative studies of the electrochemical and thermal stability of two types of composite lithium battery electrolytes using boron-based anion receptors</t>
  </si>
  <si>
    <t>Comparative studies were done on two new types of boron based anion receptors, tris(pentafluorophenyl) borane (TFPB) and tris(pentafluorophenyl) berate (TFPBO), regarding conductivity enhancement, and electrochemical and thermal stability when used as additives in composite electrolytes for lithium batteries. Both additives enhance the ionic conductivity of electrolytes of simple lithium salts, LiF CF3CO2Li, and C2F5CO2Li in several organic solvents. The electrochemical windows of TPFB based electrolytes in ethylene carbonate-propylene carbonate-dimethyl carbonate (1:1:3, v/v) are up to 5, 4.76, and 4.96 V for LiF CF3CO2Li, and C2F5CO2Li, respectively. TPFBO has Tower electrochemical stability compared to TPFB. The thermal stability of pure TFPB is better than TFPBO. Complexation with the salt improves the thermal stability of these additives. TPFB based electrolytes showed high cycling efficiencies and good cycleability when they were tested in Li/LiMn2O4 cells. TFPBO based electrolytes were tested in Li/LiNiO2 cells; the cells delivered high discharge capacity and good cycling efficiencies. The capacity retention of the cells using TFPB based electrolytes during multiple cycling is better than those using TFPBO based electrolytes. (C) 1999 The Electrochemical Society. S0013-4651(99)04-036-7. All rights reserved.</t>
  </si>
  <si>
    <t>10.1149/1.1392529</t>
  </si>
  <si>
    <t>WOS:000083126400019</t>
  </si>
  <si>
    <t>Jak, MJG; Verhoeven, VWJ; de Schepper, IM; Mulder, FM; Kelder, EM; Schoonman, J</t>
  </si>
  <si>
    <t>Neutron and X-ray scattering on Li-doped BPO4</t>
  </si>
  <si>
    <t>PHYSICA B</t>
  </si>
  <si>
    <t>4th International Workshop on Quasi-Elastic Neutron Scattering (QENS 98)</t>
  </si>
  <si>
    <t>AUG 06-08, 1998</t>
  </si>
  <si>
    <t>NYKOPING, SWEDEN</t>
  </si>
  <si>
    <t>Swedish Res Council Nat Sci</t>
  </si>
  <si>
    <t>The structure of pure BPO4 and Li-doped BPO4 has been studied by neutron and X-ray scattering. Rietveld refinement of the neutron and X-ray spectra of the doped material did not show additional phases or a lithium superstructure. It appears that the interstitial Li+-ions as well as the charge compensating boron vacancies and substitutionally incorporated Li+-ions on boron sites are randomly distributed over the lattice resulting only in a slight change in peak intensities. The relevance of QENS for ceramic Li-ion batteries is discussed. (C) 1999 Elsevier Science B.V. All rights reserved.</t>
  </si>
  <si>
    <t>; Mulder, Fokko/E-7113-2013</t>
  </si>
  <si>
    <t>Mulder, Fokko/0000-0003-0526-7081;</t>
  </si>
  <si>
    <t>0921-4526</t>
  </si>
  <si>
    <t>10.1016/S0921-4526(98)01502-6</t>
  </si>
  <si>
    <t>WOS:000079692200018</t>
  </si>
  <si>
    <t>Sasaki, Y; Sekiya, S; Handa, M; Usami, K</t>
  </si>
  <si>
    <t>Chelate complexes with boron as lithium salts for lithium battery electrolytes</t>
  </si>
  <si>
    <t>The electrolytic conductivity and charge-discharge characteristics of lithium electrodes are examined in propylene carbonate (PC)and ethylene carbonate (EC)-based binary solvent electrolytes containing lithium bis[l,2-benzenediolato(2-)-O,O']borate (LBBB), lithium bis[2,3-naphthalenediolato(2-)-O,O']borate (LBNB) and lithium bis[2,2'-biphenyldiolato(2-)-O,O']borate (LBBPB). The LBBPB exhibits high thermal and electrochemical stability compared with LBBB and LBNB. Conductivities in PC-THF and EC-THF binary solvent electrolytes at X-THF (mole fraction of tetrahydrofuran, THF) = 0.5 containing 0.5 M LBBB and LBNB are nearly equal to that in 0.5 M LiCF3SO3 electrolyte as a typical lithium battery electrolyte. The conductivity in 0.3 M LBBPB/PC-DME (DME: 1,2-dimethoxyethane) electrolyte is fairly low compared with that in other electrolytes. The energy density with the LBNB electrolyte is higher than that with LBBB or LBBPB electrolyte. In general, lithium cycling efficiencies in THF-based LBBB and LBNB electrolytes become higher than those in DME-based electrolytes. The 0.5 M LBNB/PC-THF electrolyte is a moderately rechargeable lithium battery electrolyte. The 0.3 M LBBPB/PC-DME equimolar solvent electrolyte displays the highest cycling efficiency, viz., &gt; 70%, at a high range of cycle number. (C) 1999 Elsevier Science S.A. All rights reserved.</t>
  </si>
  <si>
    <t>10.1016/S0378-7753(99)00049-X</t>
  </si>
  <si>
    <t>WOS:000080241100014</t>
  </si>
  <si>
    <t>Shirasaki, T; Derré, A; Guérin, K; Flandrois, S</t>
  </si>
  <si>
    <t>Chemical and electrochemical intercalation of lithium into boronated carbons</t>
  </si>
  <si>
    <t>Boron-substituted carbons have been produced by chemical vapour deposition from acetylene and boron trichloride precursors at 1140 degrees C. Li intercalation was investigated, chemically from the Li vapour and electrochemically in Li-carbon cells. In both cases, the amount of intercalated Li increases with the boron content of the carbon, up to a value of 13 at.% boron. Above this value, the intercalation of lithium is not so efficient. This behaviour is understood by assuming that boron, which acts as an electron acceptor and hence favours the intercalation of electron donors like lithium, can enter substitutionally into the carbon lattice up to a certain limit, which is close to 13 at.% for the materials deposited at 1140 degrees C. (C) 1999 Elsevier Science Ltd. All rights reserved.</t>
  </si>
  <si>
    <t>Guérin, katia/F-8663-2019; Shirasaki, Takayoshi/JCE-9100-2023; guerin, katia/F-8663-2019</t>
  </si>
  <si>
    <t>guerin, katia/0000-0002-6184-2143; Shirasaki, Takayoshi/0000-0001-9756-8935</t>
  </si>
  <si>
    <t>10.1016/S0008-6223(99)00060-3</t>
  </si>
  <si>
    <t>WOS:000083985000012</t>
  </si>
  <si>
    <t>Sun, X; Lee, HS; Lee, S; Yang, XQ; McBreen, J</t>
  </si>
  <si>
    <t>A novel lithium battery electrolyte based on lithium fluoride and a tris(pentafluorophenyl) borane anion receptor in DME</t>
  </si>
  <si>
    <t>For the first time, lithium fluoride has been successfully used as a salt in a novel, highly conductive, nonaqueous electrolyte in a rechargeable Li/LiMn2 O-4 cell. This was accomplished by using LiF with a new boron-based anion receptor additive in a 1,2-dimethoxyethane (DME) solvent. The additive increases the solubility of LiF in DME to as high as 1 M and results in a conductivity of 6.8 x 10(-3) S/ cm at 25 degrees C. On a glassy carbon working electrode, the electrolyte was electrochemically stable up to 4.46 V. The upper voltage limit is due to the solvent and not the additive. The feasibility of using the electrolyte in a rechargeable lithium battery was studied. A test cell with a LiMn2O4 cathode and the new electrolyte was cycled 51 times between 3.5 and 4.3 V. The initial capacity was almost identical to that found in a cell with a commercial electrolyte [1 M LiPF6 in propylene carbonate/ethylene carbonate/dimethyl carbonate (1: 1: 3)]. With the new electrolyte, there was some capacity fade and an increase in cell polarization with cycling due to decomposition of the solvent. New, more stable solvents with similar solubilities for the additive are needed. (C) 1998 The Electrochemical Society. S1099- 0062(98) 06-016-7. All rights reserved.</t>
  </si>
  <si>
    <t>WOS:000079696400001</t>
  </si>
  <si>
    <t>Lee, HS; Yang, XQ; Xiang, CL; McBreen, J; Choi, LS</t>
  </si>
  <si>
    <t>The synthesis of a new family of boron-based anion receptors and the study of their effect on ion pair dissociation and conductivity of lithium salts in nonaqueous solutions</t>
  </si>
  <si>
    <t>A new family of anion receptors based on boron compounds has been synthesized. These compounds can be used as anion receptors in lithium battery electrolytes. This family includes various borane and berate compounds with different fluorinated aryl and fluorinated alkyl groups. When these anion receptors are used as additives in 1,2-dimethoxyethane (DME) solutions containing various lithium salts, the ionic conductivities of these solutions are greatly increased. The electrolytes tested in this study were DME solutions containing the following lithium salts: LiF, LiCl, LiBr, LiI, CF3COOLi, and C2F5COOLi. Without the additive, the solubility of LiF in DME land all other nonaqueous solvents) is very low With some of these boron compounds as additives, LiF solutions in DME with concentration as high as 1 M were obtained. The solubilities of the other salts were also increased by these additives. Near edge X-ray absorption fine structure (NEXAFS) spectroscopy studies show that Cl- and I- anions are complexed with these compounds in DME solutions containing LiCl or LiI salts. The degree of complexation is also closely related to the structures of the fluorinated aryl and alkyl groups, which act as electron-withdrawing groups. The NEXAFS results are in good agreement with ionic conductivity studies.</t>
  </si>
  <si>
    <t>10.1149/1.1838719</t>
  </si>
  <si>
    <t>WOS:000074991700031</t>
  </si>
  <si>
    <t>Chen, CH; Kelder, EM; Schoonman, J</t>
  </si>
  <si>
    <t>Electrode and solid electrolyte thin films for secondary lithium-ion batteries</t>
  </si>
  <si>
    <t>8th International Meeting on Lithium Batteries</t>
  </si>
  <si>
    <t>JUN 16-21, 1996</t>
  </si>
  <si>
    <t>NAGOYA, JAPAN</t>
  </si>
  <si>
    <t>Electrostatic spray deposition (ESD) was employed to prepare thin layers of Li1.2Mn2O4 (nominal composition) and BPO4:0.035Li(2)O for all-solid-state thin film lithium-ion batteries. The relationships between layer morphologies and deposition conditions such as solvent composition of the precursor solutions and substrate temperature were investigated. It was found that a low substrate temperature and/or high boiling point of the solvent may lead to a relatively dense structure. Reticular porous structures are formed, if films were deposited at 250 degrees C and a mixture of 85 vol.% butyl carbitol and 15 vol.% ethanol was used as the solvent. The Li1.2Mn2O4 layers, formed in the 250-400 degrees C temperature range, were amorphous or micro-crystalline. After annealing beyond 600 degrees C, they could be crystallized into a spinel-structured material. Glassy BPO4:0.035Li(2)O layers could fill the pores of porous Li1.2Mn2O4 layers to form a dense intermediate electrolyte layer. Thin-film rocking-chair batteries, Li1.2Mn2O4\BPO4:0.035Li(2)O\Li1.2Mn2O4/Al, were prepared and revealed an open-circuit voltage of about 1.2 V after charging. (C) 1997 Elsevier Science S.A.</t>
  </si>
  <si>
    <t>10.1016/S0378-7753(97)02588-3</t>
  </si>
  <si>
    <t>WOS:000071251300045</t>
  </si>
  <si>
    <t>Handa, M; Fukuda, S; Sasaki, Y; Usami, K</t>
  </si>
  <si>
    <t>Use of a chelate complex with boron as a lithium salt for lithium battery electrolytes</t>
  </si>
  <si>
    <t>A chelate complex with boron, lithium bis[2,3-naphthalenediolato(2-)-O,O']borate was used in lithium battery electrolytes for Li/V2O5 prototype cells. This lithium salt remains a safe and thermally stable compound up to 320 degrees C without melting. A high specific conductivity (4.63 mS cm(-1)) is exhibited in spite of its high viscosity (1.732 cP) in a 0.5 mol dm(-3) electrolyte(ethylene carbonate-1,2-dimethoxyethane (mol ratio 2:3) binary solvent mixture at 25 degrees C. Based on the discharge characteristics of a Li/V2O5 prototype cell, this lithium salt electrolyte resulted in high energy density (460 Wh kg(-1)) at a cutoff potential of 2.5 V vs. Li/Li+.</t>
  </si>
  <si>
    <t>L235</t>
  </si>
  <si>
    <t>L237</t>
  </si>
  <si>
    <t>10.1149/1.1837927</t>
  </si>
  <si>
    <t>WOS:A1997XY20000001</t>
  </si>
  <si>
    <t>Miles, MH</t>
  </si>
  <si>
    <t>AMER INST CHEM ENGINEERS</t>
  </si>
  <si>
    <t>The effect of passivating films involving the lithium anode in thionyl chloride, bromine trifluoride, molten nitrates, and molten perchlorates</t>
  </si>
  <si>
    <t>IECEC-97 - PROCEEDINGS OF THE THIRTY-SECOND INTERSOCIETY ENERGY CONVERSION ENGINEERING CONFERENCE, VOLS 1-4: VOL.1: AEROSPACE POWER SYSTEMS AND TECHNOL; VOL 2: ELECTROCHEMICAL TECHNOL, CONVERSION TECHNOL, THERMAL MANAGEMENT; VOLS 3: ENERGY SYSTEMS, RENEWABLE ENERGY RESOURCES, ENVIRONMENTAL IMPACT, POLICY IMPACTS ON ENERGY; VOL 4: POST DEADLINE PAPERS, INDEX</t>
  </si>
  <si>
    <t>32nd Intersociety Energy Conversion Engineering Conference (IECEC-97)</t>
  </si>
  <si>
    <t>JUL 27-AUG 02, 1997</t>
  </si>
  <si>
    <t>Amer Inst Chem Engineers,Amer Nucl Soc,SAE Int,AIAA,ASME,IEEE</t>
  </si>
  <si>
    <t>The use of lithium metal anodes in oxidizing solvents requires the formation of a stable passivating film at the anode surface. This film acts as a solid electrolyte interface that transfers ions between the lithium metal and the oxidizing solvent while protecting the lithium from direct chemical attack by the solvent. These protective films generally determine the stability of the lithium anode in the oxidizing solvent as well as the discharge rates and cell voltages that can be attained. For battery applications, the ideal film would be an excellent ion conductor with all of the charge being transported by the metal ion. The passivating film for lithium anodes consists mainly of LiCl in SOCl2, LiF or LiBrF4 in BrF3, and Li2O in molten nitrates and molten perchlorates. The theoretical cell potential and energy density for Li/BrF3 are 5.26 V at 25 degrees C and 2680 W . hr/kg compared with 3.64 V and 1470 W . hr/kg for Li/SOCl2. Experimentally, the open-circuit potential is measured as 5.12 V for Li/BrF3. The discharge of the lithium anode in BrF3 appears to be limited by the passivating film that forms at the anode. Nevertheless, nearly flat discharge curves are obtained for lithium in BrF3 at current densities of 20 mA/cm(2) or less. Cell voltages greater than 3 V can be obtained for lithium anodes in molten nitrates. The discharge characteristics of the lithium anode in molten nitrates improve markedly at temperatures above the melting point of lithium (mp = 181 degrees C). Discharge rates as large as 1000 mA/cm(2) have been attained far liquid lithium anodes in molten nitrates. The liquid lithium anodes can be immobilized in molten nitrates by a lithium-boron matrix or by the use of iron powder. The Li(B) anode is quite stable in the LiNO3-KNO3 eutectic melt at temperatures up to 300 degrees C and yields discharge current efficiencies exceeding 90%. This stability is lost in initially Li+-free nitrate melts such as NaNO3-KNO3 where rapid deterioration of the anode is observed. These experimental results can be explained by a thin passivating Li2O film on the anode that is destabilized in nitrate melts having low lithium-ion concentrations. There is generally a striking difference in behavior between the lithium anode and the calcium or magnesium anode in oxidizing solvents.</t>
  </si>
  <si>
    <t>0-7803-4515-0</t>
  </si>
  <si>
    <t>WOS:000072467900014</t>
  </si>
  <si>
    <t>Zhang, SS; Angell, CA</t>
  </si>
  <si>
    <t>A novel electrolyte solvent for rechargeable lithium and lithium-ion batteries</t>
  </si>
  <si>
    <t>We describe a new type of electrolyte solvent which provides remarkable improvement in properties of electrolyte systems containing it. These solvents contain acidic boron atoms, in most cases Linked into heterocycles by reaction of boric acid, or oxide, with glycols. Nicknamed BEG solvents (for boric acid esters of glycol), these show great propensity for dissolving salts, stabilizing alkali metals against corrosion, and in some cases, stabilizing other solvents particularly alkene carbonates), against anodic decomposition. In the most favorable case so far, the 1,3 propylene glycol boric acid ester (BEG-1) which contains two linked berate groups, the mixed solvent formed by mixing 1 part BEG-1 with two parts ethylene carbonate provides an electrochemical stability window in excess of 5.8 V (cf. 4.5 V for ethylene carbonate alone against metallic Li, which remains shiny on prolonged (days) immersion at 100 degrees C. We present data on various electrolyte solutions containing these components and then show their utility in devices by rubberizing them with polymers and constructing voltaic cells Li/LiMn2O4 and C/LiMn2O4, which show excellent charge/discharge characteristics and cyclability.</t>
  </si>
  <si>
    <t>Zhang, Sheng/A-4456-2012; Zhang, Shengshui/A-4456-2012</t>
  </si>
  <si>
    <t>Zhang, Shengshui/0000-0003-4435-4110</t>
  </si>
  <si>
    <t>10.1149/1.1837334</t>
  </si>
  <si>
    <t>WOS:A1996VZ93300042</t>
  </si>
  <si>
    <t>BARTHEL, J; WUHR, M; BUESTRICH, R; GORES, HJ</t>
  </si>
  <si>
    <t>NEW CLASS OF ELECTROCHEMICALLY AND THERMALLY STABLE LITHIUM-SALTS FOR LITHIUM BATTERY ELECTROLYTES .1. SYNTHESIS AND PROPERTIES OF LITHIUM BIS[1,2-BENZENEDIOLATO(2-)-O,O']BORATE</t>
  </si>
  <si>
    <t>Disclosed is a new class of nontoxic thermally, chemically, and electrochemically stable, inexpensive lithium salts based on a chelate complex anion of boron with aromatic or aliphatic diols or carboxylic acids. The synthesis, purification, and analysis of the first member of this class, lithium bis[1,2-benzenediolato(2-)-O,O']borate (Li[B(C6H4O2)(2)]) is described and some results are given from electrochemical experiments of its solution in various aprotic solvents. The voltage window of Li[B(C6H4O2)(2)] based solutions is limited by the oxidation of the borate at about 3.6 V vs. lithium. Lithium can be cycled in solutions of lithium bis[1,2-benzenediolato(2-)-O,O']borate based on different aprotic solvents. Cycling efficiencies depend strongly on the solvents used, but scarcely on contact times of the solution with Lithium, or on the use of mixed electrolytes (Li[B(C6H(4)O(2))(2)]/[N(CH3)(4)][B(C6H4O2)(2)]).</t>
  </si>
  <si>
    <t>Gores, Heiner/D-2857-2009</t>
  </si>
  <si>
    <t>10.1149/1.2050048</t>
  </si>
  <si>
    <t>WOS:A1995RN05300007</t>
  </si>
  <si>
    <t>ISHIKAWA, M; NAKAMURA, T; MORITA, M; MATSUDA, Y; TSUJIOKA, S; KAWASHIMA, T</t>
  </si>
  <si>
    <t>BORON-CARBON-NITROGEN COMPOUNDS AS NEGATIVE ELECTRODE MATRICES FOR RECHARGEABLE LITHIUM BATTERY SYSTEMS</t>
  </si>
  <si>
    <t>Boron-carbon-nitrogen composite (BCxN) matrices (BC3N, BC7N, and BC10N) for rechargeable lithium batteries are synthesized by a thermal decomposition method. BC10NLi0.5 is prepared by the thermal decomposition of a mixture of the starting materials for BC10N and lithium hydroxide (LiOH). The charge/discharge behaviour of these layered-structure compounds is investigated in an organic electrolyte that contains lithium salts. The capacity increases with an increase in the carbon content. The LiOH treatment causes an increase in the discharge capacity of boron-carbon-nitrogen material.</t>
  </si>
  <si>
    <t>Ishikawa, Masashi/LVR-3187-2024</t>
  </si>
  <si>
    <t>Ishikawa, Masashi/0000-0003-4812-7505</t>
  </si>
  <si>
    <t>10.1016/0378-7753(94)02173-Z</t>
  </si>
  <si>
    <t>WOS:A1995RD34100022</t>
  </si>
  <si>
    <t>SANCHEZ, P; BELIN, C; CREPY, G; DEGUIBERT, A</t>
  </si>
  <si>
    <t>PREPARATION AND CHARACTERIZATION OF LITHIUM-BORON ALLOYS - ELECTROCHEMICAL STUDIES AS ANODES IN MOLTEN-SALT MEDIA, AND COMPARISON WITH PURE LITHIUM-INVOLVING SYSTEMS</t>
  </si>
  <si>
    <t>Because of its low melting point (180.5-degrees-C), lithium cannot be used as a negative electrode in high current density generators (particularly thermally activated batteries). The lithium-boron alloy, first discovered in 1978, presents advantageous properties: it remains solid and stable up to 650-degrees-C and its electrochemical behaviour is very close to that of pure lithium. Conditions of synthesis of a metal lithium-rich alloy have been analysed; the multiphase material consisted of a porous refractory matrix filled with pure metal lithium, it was studied by nuclear magnetic resonance and its matrix examined by electron microscopy and porosimetry. Lithium-boron alloy electrochemical properties were analysed in LiCl-KCl media. In a flooded electrolyte, the behaviour of LiB is similar to that observed in non-aqueous media, particularly in dioxolane (DOL) 1.5 M LiAsF6. In the case of single cell discharges (starved electrolyte), some problems arose from the nature of the electrolyte used (LiCl-KCl + SiO2), which were solved by the substitution of SiO2 by MgO in the electrolyte. Discharge curves were then identical to those obtained in flooded electrolytes and were characterized by two plateaux corresponding to the discharge of metallic lithium, and ionic lithium from the matrix, respectively.</t>
  </si>
  <si>
    <t>WOS:A1992HA17000034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</si>
</sst>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9"/>
      <name val="宋体"/>
      <charset val="134"/>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2">
    <xf numFmtId="0" fontId="0" fillId="0" borderId="0" xfId="0"/>
    <xf numFmtId="0" fontId="2" fillId="0" borderId="0" xfId="1"/>
  </cellXfs>
  <cellStyles count="2">
    <cellStyle name="常规" xfId="0" builtinId="0"/>
    <cellStyle name="常规 2" xfId="1" xr:uid="{48BF3513-2C0D-428A-B02A-00CC1CCBBC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0B423-6DFC-45E6-A11C-2DE6C8B4E317}">
  <dimension ref="A1:BT1029"/>
  <sheetViews>
    <sheetView tabSelected="1" topLeftCell="A1001" workbookViewId="0">
      <selection activeCell="G1023" sqref="G1023"/>
    </sheetView>
  </sheetViews>
  <sheetFormatPr defaultRowHeight="12.75" x14ac:dyDescent="0.2"/>
  <sheetData>
    <row r="1" spans="1:7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x14ac:dyDescent="0.2">
      <c r="A2" t="s">
        <v>72</v>
      </c>
      <c r="B2" t="s">
        <v>73</v>
      </c>
      <c r="C2" t="s">
        <v>74</v>
      </c>
      <c r="D2" t="s">
        <v>74</v>
      </c>
      <c r="E2" t="s">
        <v>74</v>
      </c>
      <c r="F2" t="s">
        <v>75</v>
      </c>
      <c r="G2" t="s">
        <v>74</v>
      </c>
      <c r="H2" t="s">
        <v>74</v>
      </c>
      <c r="I2" t="s">
        <v>76</v>
      </c>
      <c r="J2" t="s">
        <v>77</v>
      </c>
      <c r="K2" t="s">
        <v>74</v>
      </c>
      <c r="L2" t="s">
        <v>74</v>
      </c>
      <c r="M2" t="s">
        <v>74</v>
      </c>
      <c r="N2" t="s">
        <v>74</v>
      </c>
      <c r="O2" t="s">
        <v>74</v>
      </c>
      <c r="P2" t="s">
        <v>74</v>
      </c>
      <c r="Q2" t="s">
        <v>74</v>
      </c>
      <c r="R2" t="s">
        <v>74</v>
      </c>
      <c r="S2" t="s">
        <v>74</v>
      </c>
      <c r="T2" t="s">
        <v>74</v>
      </c>
      <c r="U2" t="s">
        <v>74</v>
      </c>
      <c r="V2" t="s">
        <v>78</v>
      </c>
      <c r="W2" t="s">
        <v>74</v>
      </c>
      <c r="X2" t="s">
        <v>74</v>
      </c>
      <c r="Y2" t="s">
        <v>74</v>
      </c>
      <c r="Z2" t="s">
        <v>74</v>
      </c>
      <c r="AA2" t="s">
        <v>74</v>
      </c>
      <c r="AB2" t="s">
        <v>74</v>
      </c>
      <c r="AC2" t="s">
        <v>74</v>
      </c>
      <c r="AD2" t="s">
        <v>74</v>
      </c>
      <c r="AE2" t="s">
        <v>74</v>
      </c>
      <c r="AF2" t="s">
        <v>74</v>
      </c>
      <c r="AG2" t="s">
        <v>74</v>
      </c>
      <c r="AH2" t="s">
        <v>74</v>
      </c>
      <c r="AI2" t="s">
        <v>74</v>
      </c>
      <c r="AJ2" t="s">
        <v>74</v>
      </c>
      <c r="AK2" t="s">
        <v>74</v>
      </c>
      <c r="AL2" t="s">
        <v>74</v>
      </c>
      <c r="AM2" t="s">
        <v>74</v>
      </c>
      <c r="AN2" t="s">
        <v>74</v>
      </c>
      <c r="AO2" t="s">
        <v>79</v>
      </c>
      <c r="AP2" t="s">
        <v>80</v>
      </c>
      <c r="AQ2" t="s">
        <v>74</v>
      </c>
      <c r="AR2" t="s">
        <v>74</v>
      </c>
      <c r="AS2" t="s">
        <v>74</v>
      </c>
      <c r="AT2" t="s">
        <v>81</v>
      </c>
      <c r="AU2">
        <v>2025</v>
      </c>
      <c r="AV2">
        <v>725</v>
      </c>
      <c r="AW2" t="s">
        <v>74</v>
      </c>
      <c r="AX2">
        <v>1</v>
      </c>
      <c r="AY2" t="s">
        <v>74</v>
      </c>
      <c r="AZ2" t="s">
        <v>74</v>
      </c>
      <c r="BA2" t="s">
        <v>74</v>
      </c>
      <c r="BB2" t="s">
        <v>74</v>
      </c>
      <c r="BC2" t="s">
        <v>74</v>
      </c>
      <c r="BD2">
        <v>137514</v>
      </c>
      <c r="BE2" t="s">
        <v>82</v>
      </c>
      <c r="BF2" t="str">
        <f>HYPERLINK("http://dx.doi.org/10.1016/j.colsurfa.2025.137514","http://dx.doi.org/10.1016/j.colsurfa.2025.137514")</f>
        <v>http://dx.doi.org/10.1016/j.colsurfa.2025.137514</v>
      </c>
      <c r="BG2" t="s">
        <v>74</v>
      </c>
      <c r="BH2" t="s">
        <v>74</v>
      </c>
      <c r="BI2" t="s">
        <v>74</v>
      </c>
      <c r="BJ2" t="s">
        <v>74</v>
      </c>
      <c r="BK2" t="s">
        <v>74</v>
      </c>
      <c r="BL2" t="s">
        <v>74</v>
      </c>
      <c r="BM2" t="s">
        <v>74</v>
      </c>
      <c r="BN2" t="s">
        <v>74</v>
      </c>
      <c r="BO2" t="s">
        <v>74</v>
      </c>
      <c r="BP2" t="s">
        <v>74</v>
      </c>
      <c r="BQ2" t="s">
        <v>74</v>
      </c>
      <c r="BR2" t="s">
        <v>74</v>
      </c>
      <c r="BS2" t="s">
        <v>83</v>
      </c>
      <c r="BT2" t="str">
        <f>HYPERLINK("https%3A%2F%2Fwww.webofscience.com%2Fwos%2Fwoscc%2Ffull-record%2FWOS:001518216000002","View Full Record in Web of Science")</f>
        <v>View Full Record in Web of Science</v>
      </c>
    </row>
    <row r="3" spans="1:72" x14ac:dyDescent="0.2">
      <c r="A3" t="s">
        <v>72</v>
      </c>
      <c r="B3" t="s">
        <v>84</v>
      </c>
      <c r="C3" t="s">
        <v>74</v>
      </c>
      <c r="D3" t="s">
        <v>74</v>
      </c>
      <c r="E3" t="s">
        <v>74</v>
      </c>
      <c r="F3" t="s">
        <v>85</v>
      </c>
      <c r="G3" t="s">
        <v>74</v>
      </c>
      <c r="H3" t="s">
        <v>74</v>
      </c>
      <c r="I3" t="s">
        <v>86</v>
      </c>
      <c r="J3" t="s">
        <v>87</v>
      </c>
      <c r="K3" t="s">
        <v>74</v>
      </c>
      <c r="L3" t="s">
        <v>74</v>
      </c>
      <c r="M3" t="s">
        <v>74</v>
      </c>
      <c r="N3" t="s">
        <v>74</v>
      </c>
      <c r="O3" t="s">
        <v>74</v>
      </c>
      <c r="P3" t="s">
        <v>74</v>
      </c>
      <c r="Q3" t="s">
        <v>74</v>
      </c>
      <c r="R3" t="s">
        <v>74</v>
      </c>
      <c r="S3" t="s">
        <v>74</v>
      </c>
      <c r="T3" t="s">
        <v>74</v>
      </c>
      <c r="U3" t="s">
        <v>74</v>
      </c>
      <c r="V3" t="s">
        <v>88</v>
      </c>
      <c r="W3" t="s">
        <v>74</v>
      </c>
      <c r="X3" t="s">
        <v>74</v>
      </c>
      <c r="Y3" t="s">
        <v>74</v>
      </c>
      <c r="Z3" t="s">
        <v>74</v>
      </c>
      <c r="AA3" t="s">
        <v>89</v>
      </c>
      <c r="AB3" t="s">
        <v>74</v>
      </c>
      <c r="AC3" t="s">
        <v>74</v>
      </c>
      <c r="AD3" t="s">
        <v>74</v>
      </c>
      <c r="AE3" t="s">
        <v>74</v>
      </c>
      <c r="AF3" t="s">
        <v>74</v>
      </c>
      <c r="AG3" t="s">
        <v>74</v>
      </c>
      <c r="AH3" t="s">
        <v>74</v>
      </c>
      <c r="AI3" t="s">
        <v>74</v>
      </c>
      <c r="AJ3" t="s">
        <v>74</v>
      </c>
      <c r="AK3" t="s">
        <v>74</v>
      </c>
      <c r="AL3" t="s">
        <v>74</v>
      </c>
      <c r="AM3" t="s">
        <v>74</v>
      </c>
      <c r="AN3" t="s">
        <v>74</v>
      </c>
      <c r="AO3" t="s">
        <v>90</v>
      </c>
      <c r="AP3" t="s">
        <v>91</v>
      </c>
      <c r="AQ3" t="s">
        <v>74</v>
      </c>
      <c r="AR3" t="s">
        <v>74</v>
      </c>
      <c r="AS3" t="s">
        <v>74</v>
      </c>
      <c r="AT3" t="s">
        <v>92</v>
      </c>
      <c r="AU3">
        <v>2025</v>
      </c>
      <c r="AV3">
        <v>206</v>
      </c>
      <c r="AW3" t="s">
        <v>74</v>
      </c>
      <c r="AX3" t="s">
        <v>74</v>
      </c>
      <c r="AY3" t="s">
        <v>74</v>
      </c>
      <c r="AZ3" t="s">
        <v>74</v>
      </c>
      <c r="BA3" t="s">
        <v>74</v>
      </c>
      <c r="BB3" t="s">
        <v>74</v>
      </c>
      <c r="BC3" t="s">
        <v>74</v>
      </c>
      <c r="BD3">
        <v>112842</v>
      </c>
      <c r="BE3" t="s">
        <v>93</v>
      </c>
      <c r="BF3" t="str">
        <f>HYPERLINK("http://dx.doi.org/10.1016/j.jpcs.2025.112842","http://dx.doi.org/10.1016/j.jpcs.2025.112842")</f>
        <v>http://dx.doi.org/10.1016/j.jpcs.2025.112842</v>
      </c>
      <c r="BG3" t="s">
        <v>74</v>
      </c>
      <c r="BH3" t="s">
        <v>74</v>
      </c>
      <c r="BI3" t="s">
        <v>74</v>
      </c>
      <c r="BJ3" t="s">
        <v>74</v>
      </c>
      <c r="BK3" t="s">
        <v>74</v>
      </c>
      <c r="BL3" t="s">
        <v>74</v>
      </c>
      <c r="BM3" t="s">
        <v>74</v>
      </c>
      <c r="BN3" t="s">
        <v>74</v>
      </c>
      <c r="BO3" t="s">
        <v>74</v>
      </c>
      <c r="BP3" t="s">
        <v>74</v>
      </c>
      <c r="BQ3" t="s">
        <v>74</v>
      </c>
      <c r="BR3" t="s">
        <v>74</v>
      </c>
      <c r="BS3" t="s">
        <v>94</v>
      </c>
      <c r="BT3" t="str">
        <f>HYPERLINK("https%3A%2F%2Fwww.webofscience.com%2Fwos%2Fwoscc%2Ffull-record%2FWOS:001496942000001","View Full Record in Web of Science")</f>
        <v>View Full Record in Web of Science</v>
      </c>
    </row>
    <row r="4" spans="1:72" x14ac:dyDescent="0.2">
      <c r="A4" t="s">
        <v>72</v>
      </c>
      <c r="B4" t="s">
        <v>95</v>
      </c>
      <c r="C4" t="s">
        <v>74</v>
      </c>
      <c r="D4" t="s">
        <v>74</v>
      </c>
      <c r="E4" t="s">
        <v>74</v>
      </c>
      <c r="F4" t="s">
        <v>96</v>
      </c>
      <c r="G4" t="s">
        <v>74</v>
      </c>
      <c r="H4" t="s">
        <v>74</v>
      </c>
      <c r="I4" t="s">
        <v>97</v>
      </c>
      <c r="J4" t="s">
        <v>98</v>
      </c>
      <c r="K4" t="s">
        <v>74</v>
      </c>
      <c r="L4" t="s">
        <v>74</v>
      </c>
      <c r="M4" t="s">
        <v>74</v>
      </c>
      <c r="N4" t="s">
        <v>74</v>
      </c>
      <c r="O4" t="s">
        <v>74</v>
      </c>
      <c r="P4" t="s">
        <v>74</v>
      </c>
      <c r="Q4" t="s">
        <v>74</v>
      </c>
      <c r="R4" t="s">
        <v>74</v>
      </c>
      <c r="S4" t="s">
        <v>74</v>
      </c>
      <c r="T4" t="s">
        <v>74</v>
      </c>
      <c r="U4" t="s">
        <v>74</v>
      </c>
      <c r="V4" t="s">
        <v>99</v>
      </c>
      <c r="W4" t="s">
        <v>74</v>
      </c>
      <c r="X4" t="s">
        <v>74</v>
      </c>
      <c r="Y4" t="s">
        <v>74</v>
      </c>
      <c r="Z4" t="s">
        <v>74</v>
      </c>
      <c r="AA4" t="s">
        <v>100</v>
      </c>
      <c r="AB4" t="s">
        <v>74</v>
      </c>
      <c r="AC4" t="s">
        <v>74</v>
      </c>
      <c r="AD4" t="s">
        <v>74</v>
      </c>
      <c r="AE4" t="s">
        <v>74</v>
      </c>
      <c r="AF4" t="s">
        <v>74</v>
      </c>
      <c r="AG4" t="s">
        <v>74</v>
      </c>
      <c r="AH4" t="s">
        <v>74</v>
      </c>
      <c r="AI4" t="s">
        <v>74</v>
      </c>
      <c r="AJ4" t="s">
        <v>74</v>
      </c>
      <c r="AK4" t="s">
        <v>74</v>
      </c>
      <c r="AL4" t="s">
        <v>74</v>
      </c>
      <c r="AM4" t="s">
        <v>74</v>
      </c>
      <c r="AN4" t="s">
        <v>74</v>
      </c>
      <c r="AO4" t="s">
        <v>101</v>
      </c>
      <c r="AP4" t="s">
        <v>102</v>
      </c>
      <c r="AQ4" t="s">
        <v>74</v>
      </c>
      <c r="AR4" t="s">
        <v>74</v>
      </c>
      <c r="AS4" t="s">
        <v>74</v>
      </c>
      <c r="AT4" t="s">
        <v>103</v>
      </c>
      <c r="AU4">
        <v>2025</v>
      </c>
      <c r="AV4">
        <v>653</v>
      </c>
      <c r="AW4" t="s">
        <v>74</v>
      </c>
      <c r="AX4" t="s">
        <v>74</v>
      </c>
      <c r="AY4" t="s">
        <v>74</v>
      </c>
      <c r="AZ4" t="s">
        <v>74</v>
      </c>
      <c r="BA4" t="s">
        <v>74</v>
      </c>
      <c r="BB4" t="s">
        <v>74</v>
      </c>
      <c r="BC4" t="s">
        <v>74</v>
      </c>
      <c r="BD4">
        <v>237759</v>
      </c>
      <c r="BE4" t="s">
        <v>104</v>
      </c>
      <c r="BF4" t="str">
        <f>HYPERLINK("http://dx.doi.org/10.1016/j.jpowsour.2025.237759","http://dx.doi.org/10.1016/j.jpowsour.2025.237759")</f>
        <v>http://dx.doi.org/10.1016/j.jpowsour.2025.237759</v>
      </c>
      <c r="BG4" t="s">
        <v>74</v>
      </c>
      <c r="BH4" t="s">
        <v>74</v>
      </c>
      <c r="BI4" t="s">
        <v>74</v>
      </c>
      <c r="BJ4" t="s">
        <v>74</v>
      </c>
      <c r="BK4" t="s">
        <v>74</v>
      </c>
      <c r="BL4" t="s">
        <v>74</v>
      </c>
      <c r="BM4" t="s">
        <v>74</v>
      </c>
      <c r="BN4" t="s">
        <v>74</v>
      </c>
      <c r="BO4" t="s">
        <v>74</v>
      </c>
      <c r="BP4" t="s">
        <v>74</v>
      </c>
      <c r="BQ4" t="s">
        <v>74</v>
      </c>
      <c r="BR4" t="s">
        <v>74</v>
      </c>
      <c r="BS4" t="s">
        <v>105</v>
      </c>
      <c r="BT4" t="str">
        <f>HYPERLINK("https%3A%2F%2Fwww.webofscience.com%2Fwos%2Fwoscc%2Ffull-record%2FWOS:001525378800001","View Full Record in Web of Science")</f>
        <v>View Full Record in Web of Science</v>
      </c>
    </row>
    <row r="5" spans="1:72" x14ac:dyDescent="0.2">
      <c r="A5" t="s">
        <v>72</v>
      </c>
      <c r="B5" t="s">
        <v>106</v>
      </c>
      <c r="C5" t="s">
        <v>74</v>
      </c>
      <c r="D5" t="s">
        <v>74</v>
      </c>
      <c r="E5" t="s">
        <v>74</v>
      </c>
      <c r="F5" t="s">
        <v>107</v>
      </c>
      <c r="G5" t="s">
        <v>74</v>
      </c>
      <c r="H5" t="s">
        <v>74</v>
      </c>
      <c r="I5" t="s">
        <v>108</v>
      </c>
      <c r="J5" t="s">
        <v>109</v>
      </c>
      <c r="K5" t="s">
        <v>74</v>
      </c>
      <c r="L5" t="s">
        <v>74</v>
      </c>
      <c r="M5" t="s">
        <v>74</v>
      </c>
      <c r="N5" t="s">
        <v>74</v>
      </c>
      <c r="O5" t="s">
        <v>74</v>
      </c>
      <c r="P5" t="s">
        <v>74</v>
      </c>
      <c r="Q5" t="s">
        <v>74</v>
      </c>
      <c r="R5" t="s">
        <v>74</v>
      </c>
      <c r="S5" t="s">
        <v>74</v>
      </c>
      <c r="T5" t="s">
        <v>74</v>
      </c>
      <c r="U5" t="s">
        <v>74</v>
      </c>
      <c r="V5" t="s">
        <v>110</v>
      </c>
      <c r="W5" t="s">
        <v>74</v>
      </c>
      <c r="X5" t="s">
        <v>74</v>
      </c>
      <c r="Y5" t="s">
        <v>74</v>
      </c>
      <c r="Z5" t="s">
        <v>74</v>
      </c>
      <c r="AA5" t="s">
        <v>111</v>
      </c>
      <c r="AB5" t="s">
        <v>74</v>
      </c>
      <c r="AC5" t="s">
        <v>74</v>
      </c>
      <c r="AD5" t="s">
        <v>74</v>
      </c>
      <c r="AE5" t="s">
        <v>74</v>
      </c>
      <c r="AF5" t="s">
        <v>74</v>
      </c>
      <c r="AG5" t="s">
        <v>74</v>
      </c>
      <c r="AH5" t="s">
        <v>74</v>
      </c>
      <c r="AI5" t="s">
        <v>74</v>
      </c>
      <c r="AJ5" t="s">
        <v>74</v>
      </c>
      <c r="AK5" t="s">
        <v>74</v>
      </c>
      <c r="AL5" t="s">
        <v>74</v>
      </c>
      <c r="AM5" t="s">
        <v>74</v>
      </c>
      <c r="AN5" t="s">
        <v>74</v>
      </c>
      <c r="AO5" t="s">
        <v>112</v>
      </c>
      <c r="AP5" t="s">
        <v>74</v>
      </c>
      <c r="AQ5" t="s">
        <v>74</v>
      </c>
      <c r="AR5" t="s">
        <v>74</v>
      </c>
      <c r="AS5" t="s">
        <v>74</v>
      </c>
      <c r="AT5" t="s">
        <v>113</v>
      </c>
      <c r="AU5">
        <v>2025</v>
      </c>
      <c r="AV5">
        <v>109</v>
      </c>
      <c r="AW5" t="s">
        <v>74</v>
      </c>
      <c r="AX5" t="s">
        <v>74</v>
      </c>
      <c r="AY5" t="s">
        <v>74</v>
      </c>
      <c r="AZ5" t="s">
        <v>74</v>
      </c>
      <c r="BA5" t="s">
        <v>74</v>
      </c>
      <c r="BB5">
        <v>637</v>
      </c>
      <c r="BC5">
        <v>648</v>
      </c>
      <c r="BD5" t="s">
        <v>74</v>
      </c>
      <c r="BE5" t="s">
        <v>114</v>
      </c>
      <c r="BF5" t="str">
        <f>HYPERLINK("http://dx.doi.org/10.1016/j.jechem.2025.06.006","http://dx.doi.org/10.1016/j.jechem.2025.06.006")</f>
        <v>http://dx.doi.org/10.1016/j.jechem.2025.06.006</v>
      </c>
      <c r="BG5" t="s">
        <v>74</v>
      </c>
      <c r="BH5" t="s">
        <v>74</v>
      </c>
      <c r="BI5" t="s">
        <v>74</v>
      </c>
      <c r="BJ5" t="s">
        <v>74</v>
      </c>
      <c r="BK5" t="s">
        <v>74</v>
      </c>
      <c r="BL5" t="s">
        <v>74</v>
      </c>
      <c r="BM5" t="s">
        <v>74</v>
      </c>
      <c r="BN5" t="s">
        <v>74</v>
      </c>
      <c r="BO5" t="s">
        <v>74</v>
      </c>
      <c r="BP5" t="s">
        <v>74</v>
      </c>
      <c r="BQ5" t="s">
        <v>74</v>
      </c>
      <c r="BR5" t="s">
        <v>74</v>
      </c>
      <c r="BS5" t="s">
        <v>115</v>
      </c>
      <c r="BT5" t="str">
        <f>HYPERLINK("https%3A%2F%2Fwww.webofscience.com%2Fwos%2Fwoscc%2Ffull-record%2FWOS:001523191000001","View Full Record in Web of Science")</f>
        <v>View Full Record in Web of Science</v>
      </c>
    </row>
    <row r="6" spans="1:72" x14ac:dyDescent="0.2">
      <c r="A6" t="s">
        <v>72</v>
      </c>
      <c r="B6" t="s">
        <v>116</v>
      </c>
      <c r="C6" t="s">
        <v>74</v>
      </c>
      <c r="D6" t="s">
        <v>74</v>
      </c>
      <c r="E6" t="s">
        <v>74</v>
      </c>
      <c r="F6" t="s">
        <v>117</v>
      </c>
      <c r="G6" t="s">
        <v>74</v>
      </c>
      <c r="H6" t="s">
        <v>74</v>
      </c>
      <c r="I6" t="s">
        <v>118</v>
      </c>
      <c r="J6" t="s">
        <v>119</v>
      </c>
      <c r="K6" t="s">
        <v>74</v>
      </c>
      <c r="L6" t="s">
        <v>74</v>
      </c>
      <c r="M6" t="s">
        <v>74</v>
      </c>
      <c r="N6" t="s">
        <v>74</v>
      </c>
      <c r="O6" t="s">
        <v>74</v>
      </c>
      <c r="P6" t="s">
        <v>74</v>
      </c>
      <c r="Q6" t="s">
        <v>74</v>
      </c>
      <c r="R6" t="s">
        <v>74</v>
      </c>
      <c r="S6" t="s">
        <v>74</v>
      </c>
      <c r="T6" t="s">
        <v>74</v>
      </c>
      <c r="U6" t="s">
        <v>74</v>
      </c>
      <c r="V6" t="s">
        <v>120</v>
      </c>
      <c r="W6" t="s">
        <v>74</v>
      </c>
      <c r="X6" t="s">
        <v>74</v>
      </c>
      <c r="Y6" t="s">
        <v>74</v>
      </c>
      <c r="Z6" t="s">
        <v>74</v>
      </c>
      <c r="AA6" t="s">
        <v>121</v>
      </c>
      <c r="AB6" t="s">
        <v>74</v>
      </c>
      <c r="AC6" t="s">
        <v>74</v>
      </c>
      <c r="AD6" t="s">
        <v>74</v>
      </c>
      <c r="AE6" t="s">
        <v>74</v>
      </c>
      <c r="AF6" t="s">
        <v>74</v>
      </c>
      <c r="AG6" t="s">
        <v>74</v>
      </c>
      <c r="AH6" t="s">
        <v>74</v>
      </c>
      <c r="AI6" t="s">
        <v>74</v>
      </c>
      <c r="AJ6" t="s">
        <v>74</v>
      </c>
      <c r="AK6" t="s">
        <v>74</v>
      </c>
      <c r="AL6" t="s">
        <v>74</v>
      </c>
      <c r="AM6" t="s">
        <v>74</v>
      </c>
      <c r="AN6" t="s">
        <v>74</v>
      </c>
      <c r="AO6" t="s">
        <v>122</v>
      </c>
      <c r="AP6" t="s">
        <v>123</v>
      </c>
      <c r="AQ6" t="s">
        <v>74</v>
      </c>
      <c r="AR6" t="s">
        <v>74</v>
      </c>
      <c r="AS6" t="s">
        <v>74</v>
      </c>
      <c r="AT6" t="s">
        <v>113</v>
      </c>
      <c r="AU6">
        <v>2025</v>
      </c>
      <c r="AV6">
        <v>320</v>
      </c>
      <c r="AW6" t="s">
        <v>74</v>
      </c>
      <c r="AX6" t="s">
        <v>74</v>
      </c>
      <c r="AY6" t="s">
        <v>74</v>
      </c>
      <c r="AZ6" t="s">
        <v>74</v>
      </c>
      <c r="BA6" t="s">
        <v>74</v>
      </c>
      <c r="BB6" t="s">
        <v>74</v>
      </c>
      <c r="BC6" t="s">
        <v>74</v>
      </c>
      <c r="BD6">
        <v>118442</v>
      </c>
      <c r="BE6" t="s">
        <v>124</v>
      </c>
      <c r="BF6" t="str">
        <f>HYPERLINK("http://dx.doi.org/10.1016/j.mseb.2025.118442","http://dx.doi.org/10.1016/j.mseb.2025.118442")</f>
        <v>http://dx.doi.org/10.1016/j.mseb.2025.118442</v>
      </c>
      <c r="BG6" t="s">
        <v>74</v>
      </c>
      <c r="BH6" t="s">
        <v>74</v>
      </c>
      <c r="BI6" t="s">
        <v>74</v>
      </c>
      <c r="BJ6" t="s">
        <v>74</v>
      </c>
      <c r="BK6" t="s">
        <v>74</v>
      </c>
      <c r="BL6" t="s">
        <v>74</v>
      </c>
      <c r="BM6" t="s">
        <v>74</v>
      </c>
      <c r="BN6" t="s">
        <v>74</v>
      </c>
      <c r="BO6" t="s">
        <v>74</v>
      </c>
      <c r="BP6" t="s">
        <v>74</v>
      </c>
      <c r="BQ6" t="s">
        <v>74</v>
      </c>
      <c r="BR6" t="s">
        <v>74</v>
      </c>
      <c r="BS6" t="s">
        <v>125</v>
      </c>
      <c r="BT6" t="str">
        <f>HYPERLINK("https%3A%2F%2Fwww.webofscience.com%2Fwos%2Fwoscc%2Ffull-record%2FWOS:001501716600002","View Full Record in Web of Science")</f>
        <v>View Full Record in Web of Science</v>
      </c>
    </row>
    <row r="7" spans="1:72" x14ac:dyDescent="0.2">
      <c r="A7" t="s">
        <v>72</v>
      </c>
      <c r="B7" t="s">
        <v>126</v>
      </c>
      <c r="C7" t="s">
        <v>74</v>
      </c>
      <c r="D7" t="s">
        <v>74</v>
      </c>
      <c r="E7" t="s">
        <v>74</v>
      </c>
      <c r="F7" t="s">
        <v>127</v>
      </c>
      <c r="G7" t="s">
        <v>74</v>
      </c>
      <c r="H7" t="s">
        <v>74</v>
      </c>
      <c r="I7" t="s">
        <v>128</v>
      </c>
      <c r="J7" t="s">
        <v>129</v>
      </c>
      <c r="K7" t="s">
        <v>74</v>
      </c>
      <c r="L7" t="s">
        <v>74</v>
      </c>
      <c r="M7" t="s">
        <v>74</v>
      </c>
      <c r="N7" t="s">
        <v>74</v>
      </c>
      <c r="O7" t="s">
        <v>74</v>
      </c>
      <c r="P7" t="s">
        <v>74</v>
      </c>
      <c r="Q7" t="s">
        <v>74</v>
      </c>
      <c r="R7" t="s">
        <v>74</v>
      </c>
      <c r="S7" t="s">
        <v>74</v>
      </c>
      <c r="T7" t="s">
        <v>74</v>
      </c>
      <c r="U7" t="s">
        <v>74</v>
      </c>
      <c r="V7" t="s">
        <v>130</v>
      </c>
      <c r="W7" t="s">
        <v>74</v>
      </c>
      <c r="X7" t="s">
        <v>74</v>
      </c>
      <c r="Y7" t="s">
        <v>74</v>
      </c>
      <c r="Z7" t="s">
        <v>74</v>
      </c>
      <c r="AA7" t="s">
        <v>131</v>
      </c>
      <c r="AB7" t="s">
        <v>74</v>
      </c>
      <c r="AC7" t="s">
        <v>74</v>
      </c>
      <c r="AD7" t="s">
        <v>74</v>
      </c>
      <c r="AE7" t="s">
        <v>74</v>
      </c>
      <c r="AF7" t="s">
        <v>74</v>
      </c>
      <c r="AG7" t="s">
        <v>74</v>
      </c>
      <c r="AH7" t="s">
        <v>74</v>
      </c>
      <c r="AI7" t="s">
        <v>74</v>
      </c>
      <c r="AJ7" t="s">
        <v>74</v>
      </c>
      <c r="AK7" t="s">
        <v>74</v>
      </c>
      <c r="AL7" t="s">
        <v>74</v>
      </c>
      <c r="AM7" t="s">
        <v>74</v>
      </c>
      <c r="AN7" t="s">
        <v>74</v>
      </c>
      <c r="AO7" t="s">
        <v>132</v>
      </c>
      <c r="AP7" t="s">
        <v>133</v>
      </c>
      <c r="AQ7" t="s">
        <v>74</v>
      </c>
      <c r="AR7" t="s">
        <v>74</v>
      </c>
      <c r="AS7" t="s">
        <v>74</v>
      </c>
      <c r="AT7" t="s">
        <v>134</v>
      </c>
      <c r="AU7">
        <v>2025</v>
      </c>
      <c r="AV7">
        <v>267</v>
      </c>
      <c r="AW7" t="s">
        <v>74</v>
      </c>
      <c r="AX7" t="s">
        <v>74</v>
      </c>
      <c r="AY7" t="s">
        <v>74</v>
      </c>
      <c r="AZ7" t="s">
        <v>74</v>
      </c>
      <c r="BA7" t="s">
        <v>74</v>
      </c>
      <c r="BB7" t="s">
        <v>74</v>
      </c>
      <c r="BC7" t="s">
        <v>74</v>
      </c>
      <c r="BD7">
        <v>116800</v>
      </c>
      <c r="BE7" t="s">
        <v>135</v>
      </c>
      <c r="BF7" t="str">
        <f>HYPERLINK("http://dx.doi.org/10.1016/j.scriptamat.2025.116800","http://dx.doi.org/10.1016/j.scriptamat.2025.116800")</f>
        <v>http://dx.doi.org/10.1016/j.scriptamat.2025.116800</v>
      </c>
      <c r="BG7" t="s">
        <v>74</v>
      </c>
      <c r="BH7" t="s">
        <v>74</v>
      </c>
      <c r="BI7" t="s">
        <v>74</v>
      </c>
      <c r="BJ7" t="s">
        <v>74</v>
      </c>
      <c r="BK7" t="s">
        <v>74</v>
      </c>
      <c r="BL7" t="s">
        <v>74</v>
      </c>
      <c r="BM7" t="s">
        <v>74</v>
      </c>
      <c r="BN7" t="s">
        <v>74</v>
      </c>
      <c r="BO7" t="s">
        <v>74</v>
      </c>
      <c r="BP7" t="s">
        <v>74</v>
      </c>
      <c r="BQ7" t="s">
        <v>74</v>
      </c>
      <c r="BR7" t="s">
        <v>74</v>
      </c>
      <c r="BS7" t="s">
        <v>136</v>
      </c>
      <c r="BT7" t="str">
        <f>HYPERLINK("https%3A%2F%2Fwww.webofscience.com%2Fwos%2Fwoscc%2Ffull-record%2FWOS:001512593400002","View Full Record in Web of Science")</f>
        <v>View Full Record in Web of Science</v>
      </c>
    </row>
    <row r="8" spans="1:72" x14ac:dyDescent="0.2">
      <c r="A8" t="s">
        <v>72</v>
      </c>
      <c r="B8" t="s">
        <v>137</v>
      </c>
      <c r="C8" t="s">
        <v>74</v>
      </c>
      <c r="D8" t="s">
        <v>74</v>
      </c>
      <c r="E8" t="s">
        <v>74</v>
      </c>
      <c r="F8" t="s">
        <v>138</v>
      </c>
      <c r="G8" t="s">
        <v>74</v>
      </c>
      <c r="H8" t="s">
        <v>74</v>
      </c>
      <c r="I8" t="s">
        <v>139</v>
      </c>
      <c r="J8" t="s">
        <v>140</v>
      </c>
      <c r="K8" t="s">
        <v>74</v>
      </c>
      <c r="L8" t="s">
        <v>74</v>
      </c>
      <c r="M8" t="s">
        <v>74</v>
      </c>
      <c r="N8" t="s">
        <v>74</v>
      </c>
      <c r="O8" t="s">
        <v>74</v>
      </c>
      <c r="P8" t="s">
        <v>74</v>
      </c>
      <c r="Q8" t="s">
        <v>74</v>
      </c>
      <c r="R8" t="s">
        <v>74</v>
      </c>
      <c r="S8" t="s">
        <v>74</v>
      </c>
      <c r="T8" t="s">
        <v>74</v>
      </c>
      <c r="U8" t="s">
        <v>74</v>
      </c>
      <c r="V8" t="s">
        <v>141</v>
      </c>
      <c r="W8" t="s">
        <v>74</v>
      </c>
      <c r="X8" t="s">
        <v>74</v>
      </c>
      <c r="Y8" t="s">
        <v>74</v>
      </c>
      <c r="Z8" t="s">
        <v>74</v>
      </c>
      <c r="AA8" t="s">
        <v>74</v>
      </c>
      <c r="AB8" t="s">
        <v>74</v>
      </c>
      <c r="AC8" t="s">
        <v>74</v>
      </c>
      <c r="AD8" t="s">
        <v>74</v>
      </c>
      <c r="AE8" t="s">
        <v>74</v>
      </c>
      <c r="AF8" t="s">
        <v>74</v>
      </c>
      <c r="AG8" t="s">
        <v>74</v>
      </c>
      <c r="AH8" t="s">
        <v>74</v>
      </c>
      <c r="AI8" t="s">
        <v>74</v>
      </c>
      <c r="AJ8" t="s">
        <v>74</v>
      </c>
      <c r="AK8" t="s">
        <v>74</v>
      </c>
      <c r="AL8" t="s">
        <v>74</v>
      </c>
      <c r="AM8" t="s">
        <v>74</v>
      </c>
      <c r="AN8" t="s">
        <v>74</v>
      </c>
      <c r="AO8" t="s">
        <v>142</v>
      </c>
      <c r="AP8" t="s">
        <v>143</v>
      </c>
      <c r="AQ8" t="s">
        <v>74</v>
      </c>
      <c r="AR8" t="s">
        <v>74</v>
      </c>
      <c r="AS8" t="s">
        <v>74</v>
      </c>
      <c r="AT8" t="s">
        <v>144</v>
      </c>
      <c r="AU8">
        <v>2025</v>
      </c>
      <c r="AV8">
        <v>131</v>
      </c>
      <c r="AW8" t="s">
        <v>74</v>
      </c>
      <c r="AX8" t="s">
        <v>145</v>
      </c>
      <c r="AY8" t="s">
        <v>74</v>
      </c>
      <c r="AZ8" t="s">
        <v>74</v>
      </c>
      <c r="BA8" t="s">
        <v>74</v>
      </c>
      <c r="BB8" t="s">
        <v>74</v>
      </c>
      <c r="BC8" t="s">
        <v>74</v>
      </c>
      <c r="BD8">
        <v>117608</v>
      </c>
      <c r="BE8" t="s">
        <v>146</v>
      </c>
      <c r="BF8" t="str">
        <f>HYPERLINK("http://dx.doi.org/10.1016/j.est.2025.117608","http://dx.doi.org/10.1016/j.est.2025.117608")</f>
        <v>http://dx.doi.org/10.1016/j.est.2025.117608</v>
      </c>
      <c r="BG8" t="s">
        <v>74</v>
      </c>
      <c r="BH8" t="s">
        <v>74</v>
      </c>
      <c r="BI8" t="s">
        <v>74</v>
      </c>
      <c r="BJ8" t="s">
        <v>74</v>
      </c>
      <c r="BK8" t="s">
        <v>74</v>
      </c>
      <c r="BL8" t="s">
        <v>74</v>
      </c>
      <c r="BM8" t="s">
        <v>74</v>
      </c>
      <c r="BN8" t="s">
        <v>74</v>
      </c>
      <c r="BO8" t="s">
        <v>74</v>
      </c>
      <c r="BP8" t="s">
        <v>74</v>
      </c>
      <c r="BQ8" t="s">
        <v>74</v>
      </c>
      <c r="BR8" t="s">
        <v>74</v>
      </c>
      <c r="BS8" t="s">
        <v>147</v>
      </c>
      <c r="BT8" t="str">
        <f>HYPERLINK("https%3A%2F%2Fwww.webofscience.com%2Fwos%2Fwoscc%2Ffull-record%2FWOS:001529006300004","View Full Record in Web of Science")</f>
        <v>View Full Record in Web of Science</v>
      </c>
    </row>
    <row r="9" spans="1:72" x14ac:dyDescent="0.2">
      <c r="A9" t="s">
        <v>72</v>
      </c>
      <c r="B9" t="s">
        <v>148</v>
      </c>
      <c r="C9" t="s">
        <v>74</v>
      </c>
      <c r="D9" t="s">
        <v>74</v>
      </c>
      <c r="E9" t="s">
        <v>74</v>
      </c>
      <c r="F9" t="s">
        <v>149</v>
      </c>
      <c r="G9" t="s">
        <v>74</v>
      </c>
      <c r="H9" t="s">
        <v>74</v>
      </c>
      <c r="I9" t="s">
        <v>150</v>
      </c>
      <c r="J9" t="s">
        <v>151</v>
      </c>
      <c r="K9" t="s">
        <v>74</v>
      </c>
      <c r="L9" t="s">
        <v>74</v>
      </c>
      <c r="M9" t="s">
        <v>74</v>
      </c>
      <c r="N9" t="s">
        <v>74</v>
      </c>
      <c r="O9" t="s">
        <v>74</v>
      </c>
      <c r="P9" t="s">
        <v>74</v>
      </c>
      <c r="Q9" t="s">
        <v>74</v>
      </c>
      <c r="R9" t="s">
        <v>74</v>
      </c>
      <c r="S9" t="s">
        <v>74</v>
      </c>
      <c r="T9" t="s">
        <v>74</v>
      </c>
      <c r="U9" t="s">
        <v>74</v>
      </c>
      <c r="V9" t="s">
        <v>152</v>
      </c>
      <c r="W9" t="s">
        <v>74</v>
      </c>
      <c r="X9" t="s">
        <v>74</v>
      </c>
      <c r="Y9" t="s">
        <v>74</v>
      </c>
      <c r="Z9" t="s">
        <v>74</v>
      </c>
      <c r="AA9" t="s">
        <v>74</v>
      </c>
      <c r="AB9" t="s">
        <v>74</v>
      </c>
      <c r="AC9" t="s">
        <v>74</v>
      </c>
      <c r="AD9" t="s">
        <v>74</v>
      </c>
      <c r="AE9" t="s">
        <v>74</v>
      </c>
      <c r="AF9" t="s">
        <v>74</v>
      </c>
      <c r="AG9" t="s">
        <v>74</v>
      </c>
      <c r="AH9" t="s">
        <v>74</v>
      </c>
      <c r="AI9" t="s">
        <v>74</v>
      </c>
      <c r="AJ9" t="s">
        <v>74</v>
      </c>
      <c r="AK9" t="s">
        <v>74</v>
      </c>
      <c r="AL9" t="s">
        <v>74</v>
      </c>
      <c r="AM9" t="s">
        <v>74</v>
      </c>
      <c r="AN9" t="s">
        <v>74</v>
      </c>
      <c r="AO9" t="s">
        <v>153</v>
      </c>
      <c r="AP9" t="s">
        <v>154</v>
      </c>
      <c r="AQ9" t="s">
        <v>74</v>
      </c>
      <c r="AR9" t="s">
        <v>74</v>
      </c>
      <c r="AS9" t="s">
        <v>74</v>
      </c>
      <c r="AT9" t="s">
        <v>155</v>
      </c>
      <c r="AU9">
        <v>2025</v>
      </c>
      <c r="AV9">
        <v>81</v>
      </c>
      <c r="AW9" t="s">
        <v>74</v>
      </c>
      <c r="AX9" t="s">
        <v>74</v>
      </c>
      <c r="AY9" t="s">
        <v>74</v>
      </c>
      <c r="AZ9" t="s">
        <v>74</v>
      </c>
      <c r="BA9" t="s">
        <v>74</v>
      </c>
      <c r="BB9" t="s">
        <v>74</v>
      </c>
      <c r="BC9" t="s">
        <v>74</v>
      </c>
      <c r="BD9">
        <v>104466</v>
      </c>
      <c r="BE9" t="s">
        <v>156</v>
      </c>
      <c r="BF9" t="str">
        <f>HYPERLINK("http://dx.doi.org/10.1016/j.ensm.2025.104466","http://dx.doi.org/10.1016/j.ensm.2025.104466")</f>
        <v>http://dx.doi.org/10.1016/j.ensm.2025.104466</v>
      </c>
      <c r="BG9" t="s">
        <v>74</v>
      </c>
      <c r="BH9" t="s">
        <v>74</v>
      </c>
      <c r="BI9" t="s">
        <v>74</v>
      </c>
      <c r="BJ9" t="s">
        <v>74</v>
      </c>
      <c r="BK9" t="s">
        <v>74</v>
      </c>
      <c r="BL9" t="s">
        <v>74</v>
      </c>
      <c r="BM9" t="s">
        <v>74</v>
      </c>
      <c r="BN9" t="s">
        <v>74</v>
      </c>
      <c r="BO9" t="s">
        <v>74</v>
      </c>
      <c r="BP9" t="s">
        <v>74</v>
      </c>
      <c r="BQ9" t="s">
        <v>74</v>
      </c>
      <c r="BR9" t="s">
        <v>74</v>
      </c>
      <c r="BS9" t="s">
        <v>157</v>
      </c>
      <c r="BT9" t="str">
        <f>HYPERLINK("https%3A%2F%2Fwww.webofscience.com%2Fwos%2Fwoscc%2Ffull-record%2FWOS:001544970700004","View Full Record in Web of Science")</f>
        <v>View Full Record in Web of Science</v>
      </c>
    </row>
    <row r="10" spans="1:72" x14ac:dyDescent="0.2">
      <c r="A10" t="s">
        <v>72</v>
      </c>
      <c r="B10" t="s">
        <v>158</v>
      </c>
      <c r="C10" t="s">
        <v>74</v>
      </c>
      <c r="D10" t="s">
        <v>74</v>
      </c>
      <c r="E10" t="s">
        <v>74</v>
      </c>
      <c r="F10" t="s">
        <v>159</v>
      </c>
      <c r="G10" t="s">
        <v>74</v>
      </c>
      <c r="H10" t="s">
        <v>74</v>
      </c>
      <c r="I10" t="s">
        <v>160</v>
      </c>
      <c r="J10" t="s">
        <v>161</v>
      </c>
      <c r="K10" t="s">
        <v>74</v>
      </c>
      <c r="L10" t="s">
        <v>74</v>
      </c>
      <c r="M10" t="s">
        <v>74</v>
      </c>
      <c r="N10" t="s">
        <v>74</v>
      </c>
      <c r="O10" t="s">
        <v>74</v>
      </c>
      <c r="P10" t="s">
        <v>74</v>
      </c>
      <c r="Q10" t="s">
        <v>74</v>
      </c>
      <c r="R10" t="s">
        <v>74</v>
      </c>
      <c r="S10" t="s">
        <v>74</v>
      </c>
      <c r="T10" t="s">
        <v>74</v>
      </c>
      <c r="U10" t="s">
        <v>74</v>
      </c>
      <c r="V10" t="s">
        <v>162</v>
      </c>
      <c r="W10" t="s">
        <v>74</v>
      </c>
      <c r="X10" t="s">
        <v>74</v>
      </c>
      <c r="Y10" t="s">
        <v>74</v>
      </c>
      <c r="Z10" t="s">
        <v>74</v>
      </c>
      <c r="AA10" t="s">
        <v>74</v>
      </c>
      <c r="AB10" t="s">
        <v>74</v>
      </c>
      <c r="AC10" t="s">
        <v>74</v>
      </c>
      <c r="AD10" t="s">
        <v>74</v>
      </c>
      <c r="AE10" t="s">
        <v>74</v>
      </c>
      <c r="AF10" t="s">
        <v>74</v>
      </c>
      <c r="AG10" t="s">
        <v>74</v>
      </c>
      <c r="AH10" t="s">
        <v>74</v>
      </c>
      <c r="AI10" t="s">
        <v>74</v>
      </c>
      <c r="AJ10" t="s">
        <v>74</v>
      </c>
      <c r="AK10" t="s">
        <v>74</v>
      </c>
      <c r="AL10" t="s">
        <v>74</v>
      </c>
      <c r="AM10" t="s">
        <v>74</v>
      </c>
      <c r="AN10" t="s">
        <v>74</v>
      </c>
      <c r="AO10" t="s">
        <v>163</v>
      </c>
      <c r="AP10" t="s">
        <v>164</v>
      </c>
      <c r="AQ10" t="s">
        <v>74</v>
      </c>
      <c r="AR10" t="s">
        <v>74</v>
      </c>
      <c r="AS10" t="s">
        <v>74</v>
      </c>
      <c r="AT10" t="s">
        <v>165</v>
      </c>
      <c r="AU10">
        <v>2025</v>
      </c>
      <c r="AV10">
        <v>518</v>
      </c>
      <c r="AW10" t="s">
        <v>74</v>
      </c>
      <c r="AX10" t="s">
        <v>74</v>
      </c>
      <c r="AY10" t="s">
        <v>74</v>
      </c>
      <c r="AZ10" t="s">
        <v>74</v>
      </c>
      <c r="BA10" t="s">
        <v>74</v>
      </c>
      <c r="BB10" t="s">
        <v>74</v>
      </c>
      <c r="BC10" t="s">
        <v>74</v>
      </c>
      <c r="BD10">
        <v>164545</v>
      </c>
      <c r="BE10" t="s">
        <v>166</v>
      </c>
      <c r="BF10" t="str">
        <f>HYPERLINK("http://dx.doi.org/10.1016/j.cej.2025.164545","http://dx.doi.org/10.1016/j.cej.2025.164545")</f>
        <v>http://dx.doi.org/10.1016/j.cej.2025.164545</v>
      </c>
      <c r="BG10" t="s">
        <v>74</v>
      </c>
      <c r="BH10" t="s">
        <v>74</v>
      </c>
      <c r="BI10" t="s">
        <v>74</v>
      </c>
      <c r="BJ10" t="s">
        <v>74</v>
      </c>
      <c r="BK10" t="s">
        <v>74</v>
      </c>
      <c r="BL10" t="s">
        <v>74</v>
      </c>
      <c r="BM10" t="s">
        <v>74</v>
      </c>
      <c r="BN10" t="s">
        <v>74</v>
      </c>
      <c r="BO10" t="s">
        <v>74</v>
      </c>
      <c r="BP10" t="s">
        <v>74</v>
      </c>
      <c r="BQ10" t="s">
        <v>74</v>
      </c>
      <c r="BR10" t="s">
        <v>74</v>
      </c>
      <c r="BS10" t="s">
        <v>167</v>
      </c>
      <c r="BT10" t="str">
        <f>HYPERLINK("https%3A%2F%2Fwww.webofscience.com%2Fwos%2Fwoscc%2Ffull-record%2FWOS:001517527500001","View Full Record in Web of Science")</f>
        <v>View Full Record in Web of Science</v>
      </c>
    </row>
    <row r="11" spans="1:72" x14ac:dyDescent="0.2">
      <c r="A11" t="s">
        <v>72</v>
      </c>
      <c r="B11" t="s">
        <v>168</v>
      </c>
      <c r="C11" t="s">
        <v>74</v>
      </c>
      <c r="D11" t="s">
        <v>74</v>
      </c>
      <c r="E11" t="s">
        <v>74</v>
      </c>
      <c r="F11" t="s">
        <v>169</v>
      </c>
      <c r="G11" t="s">
        <v>74</v>
      </c>
      <c r="H11" t="s">
        <v>74</v>
      </c>
      <c r="I11" t="s">
        <v>170</v>
      </c>
      <c r="J11" t="s">
        <v>171</v>
      </c>
      <c r="K11" t="s">
        <v>74</v>
      </c>
      <c r="L11" t="s">
        <v>74</v>
      </c>
      <c r="M11" t="s">
        <v>74</v>
      </c>
      <c r="N11" t="s">
        <v>74</v>
      </c>
      <c r="O11" t="s">
        <v>74</v>
      </c>
      <c r="P11" t="s">
        <v>74</v>
      </c>
      <c r="Q11" t="s">
        <v>74</v>
      </c>
      <c r="R11" t="s">
        <v>74</v>
      </c>
      <c r="S11" t="s">
        <v>74</v>
      </c>
      <c r="T11" t="s">
        <v>74</v>
      </c>
      <c r="U11" t="s">
        <v>74</v>
      </c>
      <c r="V11" t="s">
        <v>172</v>
      </c>
      <c r="W11" t="s">
        <v>74</v>
      </c>
      <c r="X11" t="s">
        <v>74</v>
      </c>
      <c r="Y11" t="s">
        <v>74</v>
      </c>
      <c r="Z11" t="s">
        <v>74</v>
      </c>
      <c r="AA11" t="s">
        <v>74</v>
      </c>
      <c r="AB11" t="s">
        <v>74</v>
      </c>
      <c r="AC11" t="s">
        <v>74</v>
      </c>
      <c r="AD11" t="s">
        <v>74</v>
      </c>
      <c r="AE11" t="s">
        <v>74</v>
      </c>
      <c r="AF11" t="s">
        <v>74</v>
      </c>
      <c r="AG11" t="s">
        <v>74</v>
      </c>
      <c r="AH11" t="s">
        <v>74</v>
      </c>
      <c r="AI11" t="s">
        <v>74</v>
      </c>
      <c r="AJ11" t="s">
        <v>74</v>
      </c>
      <c r="AK11" t="s">
        <v>74</v>
      </c>
      <c r="AL11" t="s">
        <v>74</v>
      </c>
      <c r="AM11" t="s">
        <v>74</v>
      </c>
      <c r="AN11" t="s">
        <v>74</v>
      </c>
      <c r="AO11" t="s">
        <v>173</v>
      </c>
      <c r="AP11" t="s">
        <v>174</v>
      </c>
      <c r="AQ11" t="s">
        <v>74</v>
      </c>
      <c r="AR11" t="s">
        <v>74</v>
      </c>
      <c r="AS11" t="s">
        <v>74</v>
      </c>
      <c r="AT11" t="s">
        <v>165</v>
      </c>
      <c r="AU11">
        <v>2025</v>
      </c>
      <c r="AV11">
        <v>692</v>
      </c>
      <c r="AW11" t="s">
        <v>74</v>
      </c>
      <c r="AX11" t="s">
        <v>74</v>
      </c>
      <c r="AY11" t="s">
        <v>74</v>
      </c>
      <c r="AZ11" t="s">
        <v>74</v>
      </c>
      <c r="BA11" t="s">
        <v>74</v>
      </c>
      <c r="BB11" t="s">
        <v>74</v>
      </c>
      <c r="BC11" t="s">
        <v>74</v>
      </c>
      <c r="BD11">
        <v>137537</v>
      </c>
      <c r="BE11" t="s">
        <v>175</v>
      </c>
      <c r="BF11" t="str">
        <f>HYPERLINK("http://dx.doi.org/10.1016/j.jcis.2025.137537","http://dx.doi.org/10.1016/j.jcis.2025.137537")</f>
        <v>http://dx.doi.org/10.1016/j.jcis.2025.137537</v>
      </c>
      <c r="BG11" t="s">
        <v>74</v>
      </c>
      <c r="BH11" t="s">
        <v>74</v>
      </c>
      <c r="BI11" t="s">
        <v>74</v>
      </c>
      <c r="BJ11" t="s">
        <v>74</v>
      </c>
      <c r="BK11" t="s">
        <v>74</v>
      </c>
      <c r="BL11" t="s">
        <v>74</v>
      </c>
      <c r="BM11" t="s">
        <v>74</v>
      </c>
      <c r="BN11">
        <v>40209424</v>
      </c>
      <c r="BO11" t="s">
        <v>74</v>
      </c>
      <c r="BP11" t="s">
        <v>74</v>
      </c>
      <c r="BQ11" t="s">
        <v>74</v>
      </c>
      <c r="BR11" t="s">
        <v>74</v>
      </c>
      <c r="BS11" t="s">
        <v>176</v>
      </c>
      <c r="BT11" t="str">
        <f>HYPERLINK("https%3A%2F%2Fwww.webofscience.com%2Fwos%2Fwoscc%2Ffull-record%2FWOS:001467369200001","View Full Record in Web of Science")</f>
        <v>View Full Record in Web of Science</v>
      </c>
    </row>
    <row r="12" spans="1:72" x14ac:dyDescent="0.2">
      <c r="A12" t="s">
        <v>72</v>
      </c>
      <c r="B12" t="s">
        <v>177</v>
      </c>
      <c r="C12" t="s">
        <v>74</v>
      </c>
      <c r="D12" t="s">
        <v>74</v>
      </c>
      <c r="E12" t="s">
        <v>74</v>
      </c>
      <c r="F12" t="s">
        <v>178</v>
      </c>
      <c r="G12" t="s">
        <v>74</v>
      </c>
      <c r="H12" t="s">
        <v>74</v>
      </c>
      <c r="I12" t="s">
        <v>179</v>
      </c>
      <c r="J12" t="s">
        <v>180</v>
      </c>
      <c r="K12" t="s">
        <v>74</v>
      </c>
      <c r="L12" t="s">
        <v>74</v>
      </c>
      <c r="M12" t="s">
        <v>74</v>
      </c>
      <c r="N12" t="s">
        <v>74</v>
      </c>
      <c r="O12" t="s">
        <v>74</v>
      </c>
      <c r="P12" t="s">
        <v>74</v>
      </c>
      <c r="Q12" t="s">
        <v>74</v>
      </c>
      <c r="R12" t="s">
        <v>74</v>
      </c>
      <c r="S12" t="s">
        <v>74</v>
      </c>
      <c r="T12" t="s">
        <v>74</v>
      </c>
      <c r="U12" t="s">
        <v>74</v>
      </c>
      <c r="V12" t="s">
        <v>181</v>
      </c>
      <c r="W12" t="s">
        <v>74</v>
      </c>
      <c r="X12" t="s">
        <v>74</v>
      </c>
      <c r="Y12" t="s">
        <v>74</v>
      </c>
      <c r="Z12" t="s">
        <v>74</v>
      </c>
      <c r="AA12" t="s">
        <v>74</v>
      </c>
      <c r="AB12" t="s">
        <v>74</v>
      </c>
      <c r="AC12" t="s">
        <v>74</v>
      </c>
      <c r="AD12" t="s">
        <v>74</v>
      </c>
      <c r="AE12" t="s">
        <v>74</v>
      </c>
      <c r="AF12" t="s">
        <v>74</v>
      </c>
      <c r="AG12" t="s">
        <v>74</v>
      </c>
      <c r="AH12" t="s">
        <v>74</v>
      </c>
      <c r="AI12" t="s">
        <v>74</v>
      </c>
      <c r="AJ12" t="s">
        <v>74</v>
      </c>
      <c r="AK12" t="s">
        <v>74</v>
      </c>
      <c r="AL12" t="s">
        <v>74</v>
      </c>
      <c r="AM12" t="s">
        <v>74</v>
      </c>
      <c r="AN12" t="s">
        <v>74</v>
      </c>
      <c r="AO12" t="s">
        <v>182</v>
      </c>
      <c r="AP12" t="s">
        <v>183</v>
      </c>
      <c r="AQ12" t="s">
        <v>74</v>
      </c>
      <c r="AR12" t="s">
        <v>74</v>
      </c>
      <c r="AS12" t="s">
        <v>74</v>
      </c>
      <c r="AT12" t="s">
        <v>184</v>
      </c>
      <c r="AU12">
        <v>2025</v>
      </c>
      <c r="AV12" t="s">
        <v>74</v>
      </c>
      <c r="AW12" t="s">
        <v>74</v>
      </c>
      <c r="AX12" t="s">
        <v>74</v>
      </c>
      <c r="AY12" t="s">
        <v>74</v>
      </c>
      <c r="AZ12" t="s">
        <v>74</v>
      </c>
      <c r="BA12" t="s">
        <v>74</v>
      </c>
      <c r="BB12" t="s">
        <v>74</v>
      </c>
      <c r="BC12" t="s">
        <v>74</v>
      </c>
      <c r="BD12" t="s">
        <v>74</v>
      </c>
      <c r="BE12" t="s">
        <v>185</v>
      </c>
      <c r="BF12" t="str">
        <f>HYPERLINK("http://dx.doi.org/10.1021/acs.energyfuels.5c02545","http://dx.doi.org/10.1021/acs.energyfuels.5c02545")</f>
        <v>http://dx.doi.org/10.1021/acs.energyfuels.5c02545</v>
      </c>
      <c r="BG12" t="s">
        <v>74</v>
      </c>
      <c r="BH12" t="s">
        <v>186</v>
      </c>
      <c r="BI12" t="s">
        <v>74</v>
      </c>
      <c r="BJ12" t="s">
        <v>74</v>
      </c>
      <c r="BK12" t="s">
        <v>74</v>
      </c>
      <c r="BL12" t="s">
        <v>74</v>
      </c>
      <c r="BM12" t="s">
        <v>74</v>
      </c>
      <c r="BN12" t="s">
        <v>74</v>
      </c>
      <c r="BO12" t="s">
        <v>74</v>
      </c>
      <c r="BP12" t="s">
        <v>74</v>
      </c>
      <c r="BQ12" t="s">
        <v>74</v>
      </c>
      <c r="BR12" t="s">
        <v>74</v>
      </c>
      <c r="BS12" t="s">
        <v>187</v>
      </c>
      <c r="BT12" t="str">
        <f>HYPERLINK("https%3A%2F%2Fwww.webofscience.com%2Fwos%2Fwoscc%2Ffull-record%2FWOS:001546601800001","View Full Record in Web of Science")</f>
        <v>View Full Record in Web of Science</v>
      </c>
    </row>
    <row r="13" spans="1:72" x14ac:dyDescent="0.2">
      <c r="A13" t="s">
        <v>72</v>
      </c>
      <c r="B13" t="s">
        <v>188</v>
      </c>
      <c r="C13" t="s">
        <v>74</v>
      </c>
      <c r="D13" t="s">
        <v>74</v>
      </c>
      <c r="E13" t="s">
        <v>74</v>
      </c>
      <c r="F13" t="s">
        <v>189</v>
      </c>
      <c r="G13" t="s">
        <v>74</v>
      </c>
      <c r="H13" t="s">
        <v>74</v>
      </c>
      <c r="I13" t="s">
        <v>190</v>
      </c>
      <c r="J13" t="s">
        <v>191</v>
      </c>
      <c r="K13" t="s">
        <v>74</v>
      </c>
      <c r="L13" t="s">
        <v>74</v>
      </c>
      <c r="M13" t="s">
        <v>74</v>
      </c>
      <c r="N13" t="s">
        <v>74</v>
      </c>
      <c r="O13" t="s">
        <v>74</v>
      </c>
      <c r="P13" t="s">
        <v>74</v>
      </c>
      <c r="Q13" t="s">
        <v>74</v>
      </c>
      <c r="R13" t="s">
        <v>74</v>
      </c>
      <c r="S13" t="s">
        <v>74</v>
      </c>
      <c r="T13" t="s">
        <v>74</v>
      </c>
      <c r="U13" t="s">
        <v>74</v>
      </c>
      <c r="V13" t="s">
        <v>192</v>
      </c>
      <c r="W13" t="s">
        <v>74</v>
      </c>
      <c r="X13" t="s">
        <v>74</v>
      </c>
      <c r="Y13" t="s">
        <v>74</v>
      </c>
      <c r="Z13" t="s">
        <v>74</v>
      </c>
      <c r="AA13" t="s">
        <v>193</v>
      </c>
      <c r="AB13" t="s">
        <v>74</v>
      </c>
      <c r="AC13" t="s">
        <v>74</v>
      </c>
      <c r="AD13" t="s">
        <v>74</v>
      </c>
      <c r="AE13" t="s">
        <v>74</v>
      </c>
      <c r="AF13" t="s">
        <v>74</v>
      </c>
      <c r="AG13" t="s">
        <v>74</v>
      </c>
      <c r="AH13" t="s">
        <v>74</v>
      </c>
      <c r="AI13" t="s">
        <v>74</v>
      </c>
      <c r="AJ13" t="s">
        <v>74</v>
      </c>
      <c r="AK13" t="s">
        <v>74</v>
      </c>
      <c r="AL13" t="s">
        <v>74</v>
      </c>
      <c r="AM13" t="s">
        <v>74</v>
      </c>
      <c r="AN13" t="s">
        <v>74</v>
      </c>
      <c r="AO13" t="s">
        <v>74</v>
      </c>
      <c r="AP13" t="s">
        <v>194</v>
      </c>
      <c r="AQ13" t="s">
        <v>74</v>
      </c>
      <c r="AR13" t="s">
        <v>74</v>
      </c>
      <c r="AS13" t="s">
        <v>74</v>
      </c>
      <c r="AT13" t="s">
        <v>195</v>
      </c>
      <c r="AU13">
        <v>2025</v>
      </c>
      <c r="AV13" t="s">
        <v>74</v>
      </c>
      <c r="AW13" t="s">
        <v>74</v>
      </c>
      <c r="AX13" t="s">
        <v>74</v>
      </c>
      <c r="AY13" t="s">
        <v>74</v>
      </c>
      <c r="AZ13" t="s">
        <v>74</v>
      </c>
      <c r="BA13" t="s">
        <v>74</v>
      </c>
      <c r="BB13" t="s">
        <v>74</v>
      </c>
      <c r="BC13" t="s">
        <v>74</v>
      </c>
      <c r="BD13" t="s">
        <v>74</v>
      </c>
      <c r="BE13" t="s">
        <v>196</v>
      </c>
      <c r="BF13" t="str">
        <f>HYPERLINK("http://dx.doi.org/10.1002/sstr.202500157","http://dx.doi.org/10.1002/sstr.202500157")</f>
        <v>http://dx.doi.org/10.1002/sstr.202500157</v>
      </c>
      <c r="BG13" t="s">
        <v>74</v>
      </c>
      <c r="BH13" t="s">
        <v>186</v>
      </c>
      <c r="BI13" t="s">
        <v>74</v>
      </c>
      <c r="BJ13" t="s">
        <v>74</v>
      </c>
      <c r="BK13" t="s">
        <v>74</v>
      </c>
      <c r="BL13" t="s">
        <v>74</v>
      </c>
      <c r="BM13" t="s">
        <v>74</v>
      </c>
      <c r="BN13" t="s">
        <v>74</v>
      </c>
      <c r="BO13" t="s">
        <v>74</v>
      </c>
      <c r="BP13" t="s">
        <v>74</v>
      </c>
      <c r="BQ13" t="s">
        <v>74</v>
      </c>
      <c r="BR13" t="s">
        <v>74</v>
      </c>
      <c r="BS13" t="s">
        <v>197</v>
      </c>
      <c r="BT13" t="str">
        <f>HYPERLINK("https%3A%2F%2Fwww.webofscience.com%2Fwos%2Fwoscc%2Ffull-record%2FWOS:001544772700001","View Full Record in Web of Science")</f>
        <v>View Full Record in Web of Science</v>
      </c>
    </row>
    <row r="14" spans="1:72" x14ac:dyDescent="0.2">
      <c r="A14" t="s">
        <v>72</v>
      </c>
      <c r="B14" t="s">
        <v>198</v>
      </c>
      <c r="C14" t="s">
        <v>74</v>
      </c>
      <c r="D14" t="s">
        <v>74</v>
      </c>
      <c r="E14" t="s">
        <v>74</v>
      </c>
      <c r="F14" t="s">
        <v>199</v>
      </c>
      <c r="G14" t="s">
        <v>74</v>
      </c>
      <c r="H14" t="s">
        <v>74</v>
      </c>
      <c r="I14" t="s">
        <v>200</v>
      </c>
      <c r="J14" t="s">
        <v>201</v>
      </c>
      <c r="K14" t="s">
        <v>74</v>
      </c>
      <c r="L14" t="s">
        <v>74</v>
      </c>
      <c r="M14" t="s">
        <v>74</v>
      </c>
      <c r="N14" t="s">
        <v>74</v>
      </c>
      <c r="O14" t="s">
        <v>74</v>
      </c>
      <c r="P14" t="s">
        <v>74</v>
      </c>
      <c r="Q14" t="s">
        <v>74</v>
      </c>
      <c r="R14" t="s">
        <v>74</v>
      </c>
      <c r="S14" t="s">
        <v>74</v>
      </c>
      <c r="T14" t="s">
        <v>74</v>
      </c>
      <c r="U14" t="s">
        <v>74</v>
      </c>
      <c r="V14" t="s">
        <v>202</v>
      </c>
      <c r="W14" t="s">
        <v>74</v>
      </c>
      <c r="X14" t="s">
        <v>74</v>
      </c>
      <c r="Y14" t="s">
        <v>74</v>
      </c>
      <c r="Z14" t="s">
        <v>74</v>
      </c>
      <c r="AA14" t="s">
        <v>203</v>
      </c>
      <c r="AB14" t="s">
        <v>74</v>
      </c>
      <c r="AC14" t="s">
        <v>74</v>
      </c>
      <c r="AD14" t="s">
        <v>74</v>
      </c>
      <c r="AE14" t="s">
        <v>74</v>
      </c>
      <c r="AF14" t="s">
        <v>74</v>
      </c>
      <c r="AG14" t="s">
        <v>74</v>
      </c>
      <c r="AH14" t="s">
        <v>74</v>
      </c>
      <c r="AI14" t="s">
        <v>74</v>
      </c>
      <c r="AJ14" t="s">
        <v>74</v>
      </c>
      <c r="AK14" t="s">
        <v>74</v>
      </c>
      <c r="AL14" t="s">
        <v>74</v>
      </c>
      <c r="AM14" t="s">
        <v>74</v>
      </c>
      <c r="AN14" t="s">
        <v>74</v>
      </c>
      <c r="AO14" t="s">
        <v>204</v>
      </c>
      <c r="AP14" t="s">
        <v>205</v>
      </c>
      <c r="AQ14" t="s">
        <v>74</v>
      </c>
      <c r="AR14" t="s">
        <v>74</v>
      </c>
      <c r="AS14" t="s">
        <v>74</v>
      </c>
      <c r="AT14" t="s">
        <v>206</v>
      </c>
      <c r="AU14">
        <v>2025</v>
      </c>
      <c r="AV14" t="s">
        <v>74</v>
      </c>
      <c r="AW14" t="s">
        <v>74</v>
      </c>
      <c r="AX14" t="s">
        <v>74</v>
      </c>
      <c r="AY14" t="s">
        <v>74</v>
      </c>
      <c r="AZ14" t="s">
        <v>74</v>
      </c>
      <c r="BA14" t="s">
        <v>74</v>
      </c>
      <c r="BB14" t="s">
        <v>74</v>
      </c>
      <c r="BC14" t="s">
        <v>74</v>
      </c>
      <c r="BD14" t="s">
        <v>74</v>
      </c>
      <c r="BE14" t="s">
        <v>207</v>
      </c>
      <c r="BF14" t="str">
        <f>HYPERLINK("http://dx.doi.org/10.1021/acs.langmuir.5c02189","http://dx.doi.org/10.1021/acs.langmuir.5c02189")</f>
        <v>http://dx.doi.org/10.1021/acs.langmuir.5c02189</v>
      </c>
      <c r="BG14" t="s">
        <v>74</v>
      </c>
      <c r="BH14" t="s">
        <v>208</v>
      </c>
      <c r="BI14" t="s">
        <v>74</v>
      </c>
      <c r="BJ14" t="s">
        <v>74</v>
      </c>
      <c r="BK14" t="s">
        <v>74</v>
      </c>
      <c r="BL14" t="s">
        <v>74</v>
      </c>
      <c r="BM14" t="s">
        <v>74</v>
      </c>
      <c r="BN14">
        <v>40739797</v>
      </c>
      <c r="BO14" t="s">
        <v>74</v>
      </c>
      <c r="BP14" t="s">
        <v>74</v>
      </c>
      <c r="BQ14" t="s">
        <v>74</v>
      </c>
      <c r="BR14" t="s">
        <v>74</v>
      </c>
      <c r="BS14" t="s">
        <v>209</v>
      </c>
      <c r="BT14" t="str">
        <f>HYPERLINK("https%3A%2F%2Fwww.webofscience.com%2Fwos%2Fwoscc%2Ffull-record%2FWOS:001541310400001","View Full Record in Web of Science")</f>
        <v>View Full Record in Web of Science</v>
      </c>
    </row>
    <row r="15" spans="1:72" x14ac:dyDescent="0.2">
      <c r="A15" t="s">
        <v>72</v>
      </c>
      <c r="B15" t="s">
        <v>210</v>
      </c>
      <c r="C15" t="s">
        <v>74</v>
      </c>
      <c r="D15" t="s">
        <v>74</v>
      </c>
      <c r="E15" t="s">
        <v>74</v>
      </c>
      <c r="F15" t="s">
        <v>211</v>
      </c>
      <c r="G15" t="s">
        <v>74</v>
      </c>
      <c r="H15" t="s">
        <v>74</v>
      </c>
      <c r="I15" t="s">
        <v>212</v>
      </c>
      <c r="J15" t="s">
        <v>213</v>
      </c>
      <c r="K15" t="s">
        <v>74</v>
      </c>
      <c r="L15" t="s">
        <v>74</v>
      </c>
      <c r="M15" t="s">
        <v>74</v>
      </c>
      <c r="N15" t="s">
        <v>74</v>
      </c>
      <c r="O15" t="s">
        <v>74</v>
      </c>
      <c r="P15" t="s">
        <v>74</v>
      </c>
      <c r="Q15" t="s">
        <v>74</v>
      </c>
      <c r="R15" t="s">
        <v>74</v>
      </c>
      <c r="S15" t="s">
        <v>74</v>
      </c>
      <c r="T15" t="s">
        <v>74</v>
      </c>
      <c r="U15" t="s">
        <v>74</v>
      </c>
      <c r="V15" t="s">
        <v>214</v>
      </c>
      <c r="W15" t="s">
        <v>74</v>
      </c>
      <c r="X15" t="s">
        <v>74</v>
      </c>
      <c r="Y15" t="s">
        <v>74</v>
      </c>
      <c r="Z15" t="s">
        <v>74</v>
      </c>
      <c r="AA15" t="s">
        <v>74</v>
      </c>
      <c r="AB15" t="s">
        <v>74</v>
      </c>
      <c r="AC15" t="s">
        <v>74</v>
      </c>
      <c r="AD15" t="s">
        <v>74</v>
      </c>
      <c r="AE15" t="s">
        <v>74</v>
      </c>
      <c r="AF15" t="s">
        <v>74</v>
      </c>
      <c r="AG15" t="s">
        <v>74</v>
      </c>
      <c r="AH15" t="s">
        <v>74</v>
      </c>
      <c r="AI15" t="s">
        <v>74</v>
      </c>
      <c r="AJ15" t="s">
        <v>74</v>
      </c>
      <c r="AK15" t="s">
        <v>74</v>
      </c>
      <c r="AL15" t="s">
        <v>74</v>
      </c>
      <c r="AM15" t="s">
        <v>74</v>
      </c>
      <c r="AN15" t="s">
        <v>74</v>
      </c>
      <c r="AO15" t="s">
        <v>215</v>
      </c>
      <c r="AP15" t="s">
        <v>74</v>
      </c>
      <c r="AQ15" t="s">
        <v>74</v>
      </c>
      <c r="AR15" t="s">
        <v>74</v>
      </c>
      <c r="AS15" t="s">
        <v>74</v>
      </c>
      <c r="AT15" t="s">
        <v>155</v>
      </c>
      <c r="AU15">
        <v>2025</v>
      </c>
      <c r="AV15">
        <v>53</v>
      </c>
      <c r="AW15" t="s">
        <v>74</v>
      </c>
      <c r="AX15" t="s">
        <v>74</v>
      </c>
      <c r="AY15" t="s">
        <v>74</v>
      </c>
      <c r="AZ15" t="s">
        <v>74</v>
      </c>
      <c r="BA15" t="s">
        <v>74</v>
      </c>
      <c r="BB15" t="s">
        <v>74</v>
      </c>
      <c r="BC15" t="s">
        <v>74</v>
      </c>
      <c r="BD15">
        <v>100918</v>
      </c>
      <c r="BE15" t="s">
        <v>216</v>
      </c>
      <c r="BF15" t="str">
        <f>HYPERLINK("http://dx.doi.org/10.1016/j.flatc.2025.100918","http://dx.doi.org/10.1016/j.flatc.2025.100918")</f>
        <v>http://dx.doi.org/10.1016/j.flatc.2025.100918</v>
      </c>
      <c r="BG15" t="s">
        <v>74</v>
      </c>
      <c r="BH15" t="s">
        <v>208</v>
      </c>
      <c r="BI15" t="s">
        <v>74</v>
      </c>
      <c r="BJ15" t="s">
        <v>74</v>
      </c>
      <c r="BK15" t="s">
        <v>74</v>
      </c>
      <c r="BL15" t="s">
        <v>74</v>
      </c>
      <c r="BM15" t="s">
        <v>74</v>
      </c>
      <c r="BN15" t="s">
        <v>74</v>
      </c>
      <c r="BO15" t="s">
        <v>74</v>
      </c>
      <c r="BP15" t="s">
        <v>74</v>
      </c>
      <c r="BQ15" t="s">
        <v>74</v>
      </c>
      <c r="BR15" t="s">
        <v>74</v>
      </c>
      <c r="BS15" t="s">
        <v>217</v>
      </c>
      <c r="BT15" t="str">
        <f>HYPERLINK("https%3A%2F%2Fwww.webofscience.com%2Fwos%2Fwoscc%2Ffull-record%2FWOS:001544644200001","View Full Record in Web of Science")</f>
        <v>View Full Record in Web of Science</v>
      </c>
    </row>
    <row r="16" spans="1:72" x14ac:dyDescent="0.2">
      <c r="A16" t="s">
        <v>72</v>
      </c>
      <c r="B16" t="s">
        <v>218</v>
      </c>
      <c r="C16" t="s">
        <v>74</v>
      </c>
      <c r="D16" t="s">
        <v>74</v>
      </c>
      <c r="E16" t="s">
        <v>74</v>
      </c>
      <c r="F16" t="s">
        <v>219</v>
      </c>
      <c r="G16" t="s">
        <v>74</v>
      </c>
      <c r="H16" t="s">
        <v>74</v>
      </c>
      <c r="I16" t="s">
        <v>220</v>
      </c>
      <c r="J16" t="s">
        <v>221</v>
      </c>
      <c r="K16" t="s">
        <v>74</v>
      </c>
      <c r="L16" t="s">
        <v>74</v>
      </c>
      <c r="M16" t="s">
        <v>74</v>
      </c>
      <c r="N16" t="s">
        <v>74</v>
      </c>
      <c r="O16" t="s">
        <v>74</v>
      </c>
      <c r="P16" t="s">
        <v>74</v>
      </c>
      <c r="Q16" t="s">
        <v>74</v>
      </c>
      <c r="R16" t="s">
        <v>74</v>
      </c>
      <c r="S16" t="s">
        <v>74</v>
      </c>
      <c r="T16" t="s">
        <v>74</v>
      </c>
      <c r="U16" t="s">
        <v>74</v>
      </c>
      <c r="V16" t="s">
        <v>222</v>
      </c>
      <c r="W16" t="s">
        <v>74</v>
      </c>
      <c r="X16" t="s">
        <v>74</v>
      </c>
      <c r="Y16" t="s">
        <v>74</v>
      </c>
      <c r="Z16" t="s">
        <v>74</v>
      </c>
      <c r="AA16" t="s">
        <v>223</v>
      </c>
      <c r="AB16" t="s">
        <v>74</v>
      </c>
      <c r="AC16" t="s">
        <v>74</v>
      </c>
      <c r="AD16" t="s">
        <v>74</v>
      </c>
      <c r="AE16" t="s">
        <v>74</v>
      </c>
      <c r="AF16" t="s">
        <v>74</v>
      </c>
      <c r="AG16" t="s">
        <v>74</v>
      </c>
      <c r="AH16" t="s">
        <v>74</v>
      </c>
      <c r="AI16" t="s">
        <v>74</v>
      </c>
      <c r="AJ16" t="s">
        <v>74</v>
      </c>
      <c r="AK16" t="s">
        <v>74</v>
      </c>
      <c r="AL16" t="s">
        <v>74</v>
      </c>
      <c r="AM16" t="s">
        <v>74</v>
      </c>
      <c r="AN16" t="s">
        <v>74</v>
      </c>
      <c r="AO16" t="s">
        <v>224</v>
      </c>
      <c r="AP16" t="s">
        <v>74</v>
      </c>
      <c r="AQ16" t="s">
        <v>74</v>
      </c>
      <c r="AR16" t="s">
        <v>74</v>
      </c>
      <c r="AS16" t="s">
        <v>74</v>
      </c>
      <c r="AT16" t="s">
        <v>225</v>
      </c>
      <c r="AU16">
        <v>2025</v>
      </c>
      <c r="AV16">
        <v>16</v>
      </c>
      <c r="AW16">
        <v>31</v>
      </c>
      <c r="AX16" t="s">
        <v>74</v>
      </c>
      <c r="AY16" t="s">
        <v>74</v>
      </c>
      <c r="AZ16" t="s">
        <v>74</v>
      </c>
      <c r="BA16" t="s">
        <v>74</v>
      </c>
      <c r="BB16">
        <v>7968</v>
      </c>
      <c r="BC16">
        <v>7975</v>
      </c>
      <c r="BD16" t="s">
        <v>74</v>
      </c>
      <c r="BE16" t="s">
        <v>226</v>
      </c>
      <c r="BF16" t="str">
        <f>HYPERLINK("http://dx.doi.org/10.1021/acs.jpclett.5c01962","http://dx.doi.org/10.1021/acs.jpclett.5c01962")</f>
        <v>http://dx.doi.org/10.1021/acs.jpclett.5c01962</v>
      </c>
      <c r="BG16" t="s">
        <v>74</v>
      </c>
      <c r="BH16" t="s">
        <v>208</v>
      </c>
      <c r="BI16" t="s">
        <v>74</v>
      </c>
      <c r="BJ16" t="s">
        <v>74</v>
      </c>
      <c r="BK16" t="s">
        <v>74</v>
      </c>
      <c r="BL16" t="s">
        <v>74</v>
      </c>
      <c r="BM16" t="s">
        <v>74</v>
      </c>
      <c r="BN16">
        <v>40730456</v>
      </c>
      <c r="BO16" t="s">
        <v>74</v>
      </c>
      <c r="BP16" t="s">
        <v>74</v>
      </c>
      <c r="BQ16" t="s">
        <v>74</v>
      </c>
      <c r="BR16" t="s">
        <v>74</v>
      </c>
      <c r="BS16" t="s">
        <v>227</v>
      </c>
      <c r="BT16" t="str">
        <f>HYPERLINK("https%3A%2F%2Fwww.webofscience.com%2Fwos%2Fwoscc%2Ffull-record%2FWOS:001540718000001","View Full Record in Web of Science")</f>
        <v>View Full Record in Web of Science</v>
      </c>
    </row>
    <row r="17" spans="1:72" x14ac:dyDescent="0.2">
      <c r="A17" t="s">
        <v>72</v>
      </c>
      <c r="B17" t="s">
        <v>228</v>
      </c>
      <c r="C17" t="s">
        <v>74</v>
      </c>
      <c r="D17" t="s">
        <v>74</v>
      </c>
      <c r="E17" t="s">
        <v>74</v>
      </c>
      <c r="F17" t="s">
        <v>229</v>
      </c>
      <c r="G17" t="s">
        <v>74</v>
      </c>
      <c r="H17" t="s">
        <v>74</v>
      </c>
      <c r="I17" t="s">
        <v>230</v>
      </c>
      <c r="J17" t="s">
        <v>231</v>
      </c>
      <c r="K17" t="s">
        <v>74</v>
      </c>
      <c r="L17" t="s">
        <v>74</v>
      </c>
      <c r="M17" t="s">
        <v>74</v>
      </c>
      <c r="N17" t="s">
        <v>74</v>
      </c>
      <c r="O17" t="s">
        <v>74</v>
      </c>
      <c r="P17" t="s">
        <v>74</v>
      </c>
      <c r="Q17" t="s">
        <v>74</v>
      </c>
      <c r="R17" t="s">
        <v>74</v>
      </c>
      <c r="S17" t="s">
        <v>74</v>
      </c>
      <c r="T17" t="s">
        <v>74</v>
      </c>
      <c r="U17" t="s">
        <v>74</v>
      </c>
      <c r="V17" t="s">
        <v>232</v>
      </c>
      <c r="W17" t="s">
        <v>74</v>
      </c>
      <c r="X17" t="s">
        <v>74</v>
      </c>
      <c r="Y17" t="s">
        <v>74</v>
      </c>
      <c r="Z17" t="s">
        <v>74</v>
      </c>
      <c r="AA17" t="s">
        <v>233</v>
      </c>
      <c r="AB17" t="s">
        <v>74</v>
      </c>
      <c r="AC17" t="s">
        <v>74</v>
      </c>
      <c r="AD17" t="s">
        <v>74</v>
      </c>
      <c r="AE17" t="s">
        <v>74</v>
      </c>
      <c r="AF17" t="s">
        <v>74</v>
      </c>
      <c r="AG17" t="s">
        <v>74</v>
      </c>
      <c r="AH17" t="s">
        <v>74</v>
      </c>
      <c r="AI17" t="s">
        <v>74</v>
      </c>
      <c r="AJ17" t="s">
        <v>74</v>
      </c>
      <c r="AK17" t="s">
        <v>74</v>
      </c>
      <c r="AL17" t="s">
        <v>74</v>
      </c>
      <c r="AM17" t="s">
        <v>74</v>
      </c>
      <c r="AN17" t="s">
        <v>74</v>
      </c>
      <c r="AO17" t="s">
        <v>74</v>
      </c>
      <c r="AP17" t="s">
        <v>234</v>
      </c>
      <c r="AQ17" t="s">
        <v>74</v>
      </c>
      <c r="AR17" t="s">
        <v>74</v>
      </c>
      <c r="AS17" t="s">
        <v>74</v>
      </c>
      <c r="AT17" t="s">
        <v>235</v>
      </c>
      <c r="AU17">
        <v>2025</v>
      </c>
      <c r="AV17" t="s">
        <v>74</v>
      </c>
      <c r="AW17" t="s">
        <v>74</v>
      </c>
      <c r="AX17" t="s">
        <v>74</v>
      </c>
      <c r="AY17" t="s">
        <v>74</v>
      </c>
      <c r="AZ17" t="s">
        <v>74</v>
      </c>
      <c r="BA17" t="s">
        <v>74</v>
      </c>
      <c r="BB17" t="s">
        <v>74</v>
      </c>
      <c r="BC17" t="s">
        <v>74</v>
      </c>
      <c r="BD17" t="s">
        <v>74</v>
      </c>
      <c r="BE17" t="s">
        <v>236</v>
      </c>
      <c r="BF17" t="str">
        <f>HYPERLINK("http://dx.doi.org/10.1002/anie.202505232","http://dx.doi.org/10.1002/anie.202505232")</f>
        <v>http://dx.doi.org/10.1002/anie.202505232</v>
      </c>
      <c r="BG17" t="s">
        <v>74</v>
      </c>
      <c r="BH17" t="s">
        <v>208</v>
      </c>
      <c r="BI17" t="s">
        <v>74</v>
      </c>
      <c r="BJ17" t="s">
        <v>74</v>
      </c>
      <c r="BK17" t="s">
        <v>74</v>
      </c>
      <c r="BL17" t="s">
        <v>74</v>
      </c>
      <c r="BM17" t="s">
        <v>74</v>
      </c>
      <c r="BN17">
        <v>40728109</v>
      </c>
      <c r="BO17" t="s">
        <v>74</v>
      </c>
      <c r="BP17" t="s">
        <v>74</v>
      </c>
      <c r="BQ17" t="s">
        <v>74</v>
      </c>
      <c r="BR17" t="s">
        <v>74</v>
      </c>
      <c r="BS17" t="s">
        <v>237</v>
      </c>
      <c r="BT17" t="str">
        <f>HYPERLINK("https%3A%2F%2Fwww.webofscience.com%2Fwos%2Fwoscc%2Ffull-record%2FWOS:001538226100001","View Full Record in Web of Science")</f>
        <v>View Full Record in Web of Science</v>
      </c>
    </row>
    <row r="18" spans="1:72" x14ac:dyDescent="0.2">
      <c r="A18" t="s">
        <v>72</v>
      </c>
      <c r="B18" t="s">
        <v>238</v>
      </c>
      <c r="C18" t="s">
        <v>74</v>
      </c>
      <c r="D18" t="s">
        <v>74</v>
      </c>
      <c r="E18" t="s">
        <v>74</v>
      </c>
      <c r="F18" t="s">
        <v>239</v>
      </c>
      <c r="G18" t="s">
        <v>74</v>
      </c>
      <c r="H18" t="s">
        <v>74</v>
      </c>
      <c r="I18" t="s">
        <v>240</v>
      </c>
      <c r="J18" t="s">
        <v>161</v>
      </c>
      <c r="K18" t="s">
        <v>74</v>
      </c>
      <c r="L18" t="s">
        <v>74</v>
      </c>
      <c r="M18" t="s">
        <v>74</v>
      </c>
      <c r="N18" t="s">
        <v>74</v>
      </c>
      <c r="O18" t="s">
        <v>74</v>
      </c>
      <c r="P18" t="s">
        <v>74</v>
      </c>
      <c r="Q18" t="s">
        <v>74</v>
      </c>
      <c r="R18" t="s">
        <v>74</v>
      </c>
      <c r="S18" t="s">
        <v>74</v>
      </c>
      <c r="T18" t="s">
        <v>74</v>
      </c>
      <c r="U18" t="s">
        <v>74</v>
      </c>
      <c r="V18" t="s">
        <v>241</v>
      </c>
      <c r="W18" t="s">
        <v>74</v>
      </c>
      <c r="X18" t="s">
        <v>74</v>
      </c>
      <c r="Y18" t="s">
        <v>74</v>
      </c>
      <c r="Z18" t="s">
        <v>74</v>
      </c>
      <c r="AA18" t="s">
        <v>242</v>
      </c>
      <c r="AB18" t="s">
        <v>74</v>
      </c>
      <c r="AC18" t="s">
        <v>74</v>
      </c>
      <c r="AD18" t="s">
        <v>74</v>
      </c>
      <c r="AE18" t="s">
        <v>74</v>
      </c>
      <c r="AF18" t="s">
        <v>74</v>
      </c>
      <c r="AG18" t="s">
        <v>74</v>
      </c>
      <c r="AH18" t="s">
        <v>74</v>
      </c>
      <c r="AI18" t="s">
        <v>74</v>
      </c>
      <c r="AJ18" t="s">
        <v>74</v>
      </c>
      <c r="AK18" t="s">
        <v>74</v>
      </c>
      <c r="AL18" t="s">
        <v>74</v>
      </c>
      <c r="AM18" t="s">
        <v>74</v>
      </c>
      <c r="AN18" t="s">
        <v>74</v>
      </c>
      <c r="AO18" t="s">
        <v>163</v>
      </c>
      <c r="AP18" t="s">
        <v>164</v>
      </c>
      <c r="AQ18" t="s">
        <v>74</v>
      </c>
      <c r="AR18" t="s">
        <v>74</v>
      </c>
      <c r="AS18" t="s">
        <v>74</v>
      </c>
      <c r="AT18" t="s">
        <v>243</v>
      </c>
      <c r="AU18">
        <v>2025</v>
      </c>
      <c r="AV18">
        <v>520</v>
      </c>
      <c r="AW18" t="s">
        <v>74</v>
      </c>
      <c r="AX18" t="s">
        <v>74</v>
      </c>
      <c r="AY18" t="s">
        <v>74</v>
      </c>
      <c r="AZ18" t="s">
        <v>74</v>
      </c>
      <c r="BA18" t="s">
        <v>74</v>
      </c>
      <c r="BB18" t="s">
        <v>74</v>
      </c>
      <c r="BC18" t="s">
        <v>74</v>
      </c>
      <c r="BD18">
        <v>166436</v>
      </c>
      <c r="BE18" t="s">
        <v>244</v>
      </c>
      <c r="BF18" t="str">
        <f>HYPERLINK("http://dx.doi.org/10.1016/j.cej.2025.166436","http://dx.doi.org/10.1016/j.cej.2025.166436")</f>
        <v>http://dx.doi.org/10.1016/j.cej.2025.166436</v>
      </c>
      <c r="BG18" t="s">
        <v>74</v>
      </c>
      <c r="BH18" t="s">
        <v>208</v>
      </c>
      <c r="BI18" t="s">
        <v>74</v>
      </c>
      <c r="BJ18" t="s">
        <v>74</v>
      </c>
      <c r="BK18" t="s">
        <v>74</v>
      </c>
      <c r="BL18" t="s">
        <v>74</v>
      </c>
      <c r="BM18" t="s">
        <v>74</v>
      </c>
      <c r="BN18" t="s">
        <v>74</v>
      </c>
      <c r="BO18" t="s">
        <v>74</v>
      </c>
      <c r="BP18" t="s">
        <v>74</v>
      </c>
      <c r="BQ18" t="s">
        <v>74</v>
      </c>
      <c r="BR18" t="s">
        <v>74</v>
      </c>
      <c r="BS18" t="s">
        <v>245</v>
      </c>
      <c r="BT18" t="str">
        <f>HYPERLINK("https%3A%2F%2Fwww.webofscience.com%2Fwos%2Fwoscc%2Ffull-record%2FWOS:001541932200002","View Full Record in Web of Science")</f>
        <v>View Full Record in Web of Science</v>
      </c>
    </row>
    <row r="19" spans="1:72" x14ac:dyDescent="0.2">
      <c r="A19" t="s">
        <v>72</v>
      </c>
      <c r="B19" t="s">
        <v>246</v>
      </c>
      <c r="C19" t="s">
        <v>74</v>
      </c>
      <c r="D19" t="s">
        <v>74</v>
      </c>
      <c r="E19" t="s">
        <v>74</v>
      </c>
      <c r="F19" t="s">
        <v>247</v>
      </c>
      <c r="G19" t="s">
        <v>74</v>
      </c>
      <c r="H19" t="s">
        <v>74</v>
      </c>
      <c r="I19" t="s">
        <v>248</v>
      </c>
      <c r="J19" t="s">
        <v>161</v>
      </c>
      <c r="K19" t="s">
        <v>74</v>
      </c>
      <c r="L19" t="s">
        <v>74</v>
      </c>
      <c r="M19" t="s">
        <v>74</v>
      </c>
      <c r="N19" t="s">
        <v>74</v>
      </c>
      <c r="O19" t="s">
        <v>74</v>
      </c>
      <c r="P19" t="s">
        <v>74</v>
      </c>
      <c r="Q19" t="s">
        <v>74</v>
      </c>
      <c r="R19" t="s">
        <v>74</v>
      </c>
      <c r="S19" t="s">
        <v>74</v>
      </c>
      <c r="T19" t="s">
        <v>74</v>
      </c>
      <c r="U19" t="s">
        <v>74</v>
      </c>
      <c r="V19" t="s">
        <v>249</v>
      </c>
      <c r="W19" t="s">
        <v>74</v>
      </c>
      <c r="X19" t="s">
        <v>74</v>
      </c>
      <c r="Y19" t="s">
        <v>74</v>
      </c>
      <c r="Z19" t="s">
        <v>74</v>
      </c>
      <c r="AA19" t="s">
        <v>250</v>
      </c>
      <c r="AB19" t="s">
        <v>74</v>
      </c>
      <c r="AC19" t="s">
        <v>74</v>
      </c>
      <c r="AD19" t="s">
        <v>74</v>
      </c>
      <c r="AE19" t="s">
        <v>74</v>
      </c>
      <c r="AF19" t="s">
        <v>74</v>
      </c>
      <c r="AG19" t="s">
        <v>74</v>
      </c>
      <c r="AH19" t="s">
        <v>74</v>
      </c>
      <c r="AI19" t="s">
        <v>74</v>
      </c>
      <c r="AJ19" t="s">
        <v>74</v>
      </c>
      <c r="AK19" t="s">
        <v>74</v>
      </c>
      <c r="AL19" t="s">
        <v>74</v>
      </c>
      <c r="AM19" t="s">
        <v>74</v>
      </c>
      <c r="AN19" t="s">
        <v>74</v>
      </c>
      <c r="AO19" t="s">
        <v>163</v>
      </c>
      <c r="AP19" t="s">
        <v>164</v>
      </c>
      <c r="AQ19" t="s">
        <v>74</v>
      </c>
      <c r="AR19" t="s">
        <v>74</v>
      </c>
      <c r="AS19" t="s">
        <v>74</v>
      </c>
      <c r="AT19" t="s">
        <v>243</v>
      </c>
      <c r="AU19">
        <v>2025</v>
      </c>
      <c r="AV19">
        <v>520</v>
      </c>
      <c r="AW19" t="s">
        <v>74</v>
      </c>
      <c r="AX19" t="s">
        <v>74</v>
      </c>
      <c r="AY19" t="s">
        <v>74</v>
      </c>
      <c r="AZ19" t="s">
        <v>74</v>
      </c>
      <c r="BA19" t="s">
        <v>74</v>
      </c>
      <c r="BB19" t="s">
        <v>74</v>
      </c>
      <c r="BC19" t="s">
        <v>74</v>
      </c>
      <c r="BD19">
        <v>166397</v>
      </c>
      <c r="BE19" t="s">
        <v>251</v>
      </c>
      <c r="BF19" t="str">
        <f>HYPERLINK("http://dx.doi.org/10.1016/j.cej.2025.166397","http://dx.doi.org/10.1016/j.cej.2025.166397")</f>
        <v>http://dx.doi.org/10.1016/j.cej.2025.166397</v>
      </c>
      <c r="BG19" t="s">
        <v>74</v>
      </c>
      <c r="BH19" t="s">
        <v>208</v>
      </c>
      <c r="BI19" t="s">
        <v>74</v>
      </c>
      <c r="BJ19" t="s">
        <v>74</v>
      </c>
      <c r="BK19" t="s">
        <v>74</v>
      </c>
      <c r="BL19" t="s">
        <v>74</v>
      </c>
      <c r="BM19" t="s">
        <v>74</v>
      </c>
      <c r="BN19" t="s">
        <v>74</v>
      </c>
      <c r="BO19" t="s">
        <v>74</v>
      </c>
      <c r="BP19" t="s">
        <v>74</v>
      </c>
      <c r="BQ19" t="s">
        <v>74</v>
      </c>
      <c r="BR19" t="s">
        <v>74</v>
      </c>
      <c r="BS19" t="s">
        <v>252</v>
      </c>
      <c r="BT19" t="str">
        <f>HYPERLINK("https%3A%2F%2Fwww.webofscience.com%2Fwos%2Fwoscc%2Ffull-record%2FWOS:001543457600010","View Full Record in Web of Science")</f>
        <v>View Full Record in Web of Science</v>
      </c>
    </row>
    <row r="20" spans="1:72" x14ac:dyDescent="0.2">
      <c r="A20" t="s">
        <v>72</v>
      </c>
      <c r="B20" t="s">
        <v>253</v>
      </c>
      <c r="C20" t="s">
        <v>74</v>
      </c>
      <c r="D20" t="s">
        <v>74</v>
      </c>
      <c r="E20" t="s">
        <v>74</v>
      </c>
      <c r="F20" t="s">
        <v>254</v>
      </c>
      <c r="G20" t="s">
        <v>74</v>
      </c>
      <c r="H20" t="s">
        <v>74</v>
      </c>
      <c r="I20" t="s">
        <v>255</v>
      </c>
      <c r="J20" t="s">
        <v>256</v>
      </c>
      <c r="K20" t="s">
        <v>74</v>
      </c>
      <c r="L20" t="s">
        <v>74</v>
      </c>
      <c r="M20" t="s">
        <v>74</v>
      </c>
      <c r="N20" t="s">
        <v>74</v>
      </c>
      <c r="O20" t="s">
        <v>74</v>
      </c>
      <c r="P20" t="s">
        <v>74</v>
      </c>
      <c r="Q20" t="s">
        <v>74</v>
      </c>
      <c r="R20" t="s">
        <v>74</v>
      </c>
      <c r="S20" t="s">
        <v>74</v>
      </c>
      <c r="T20" t="s">
        <v>74</v>
      </c>
      <c r="U20" t="s">
        <v>74</v>
      </c>
      <c r="V20" t="s">
        <v>257</v>
      </c>
      <c r="W20" t="s">
        <v>74</v>
      </c>
      <c r="X20" t="s">
        <v>74</v>
      </c>
      <c r="Y20" t="s">
        <v>74</v>
      </c>
      <c r="Z20" t="s">
        <v>74</v>
      </c>
      <c r="AA20" t="s">
        <v>258</v>
      </c>
      <c r="AB20" t="s">
        <v>74</v>
      </c>
      <c r="AC20" t="s">
        <v>74</v>
      </c>
      <c r="AD20" t="s">
        <v>74</v>
      </c>
      <c r="AE20" t="s">
        <v>74</v>
      </c>
      <c r="AF20" t="s">
        <v>74</v>
      </c>
      <c r="AG20" t="s">
        <v>74</v>
      </c>
      <c r="AH20" t="s">
        <v>74</v>
      </c>
      <c r="AI20" t="s">
        <v>74</v>
      </c>
      <c r="AJ20" t="s">
        <v>74</v>
      </c>
      <c r="AK20" t="s">
        <v>74</v>
      </c>
      <c r="AL20" t="s">
        <v>74</v>
      </c>
      <c r="AM20" t="s">
        <v>74</v>
      </c>
      <c r="AN20" t="s">
        <v>74</v>
      </c>
      <c r="AO20" t="s">
        <v>259</v>
      </c>
      <c r="AP20" t="s">
        <v>260</v>
      </c>
      <c r="AQ20" t="s">
        <v>74</v>
      </c>
      <c r="AR20" t="s">
        <v>74</v>
      </c>
      <c r="AS20" t="s">
        <v>74</v>
      </c>
      <c r="AT20" t="s">
        <v>261</v>
      </c>
      <c r="AU20">
        <v>2025</v>
      </c>
      <c r="AV20">
        <v>8</v>
      </c>
      <c r="AW20">
        <v>4</v>
      </c>
      <c r="AX20" t="s">
        <v>74</v>
      </c>
      <c r="AY20" t="s">
        <v>74</v>
      </c>
      <c r="AZ20" t="s">
        <v>74</v>
      </c>
      <c r="BA20" t="s">
        <v>74</v>
      </c>
      <c r="BB20" t="s">
        <v>74</v>
      </c>
      <c r="BC20" t="s">
        <v>74</v>
      </c>
      <c r="BD20">
        <v>314</v>
      </c>
      <c r="BE20" t="s">
        <v>262</v>
      </c>
      <c r="BF20" t="str">
        <f>HYPERLINK("http://dx.doi.org/10.1007/s42114-025-01380-4","http://dx.doi.org/10.1007/s42114-025-01380-4")</f>
        <v>http://dx.doi.org/10.1007/s42114-025-01380-4</v>
      </c>
      <c r="BG20" t="s">
        <v>74</v>
      </c>
      <c r="BH20" t="s">
        <v>74</v>
      </c>
      <c r="BI20" t="s">
        <v>74</v>
      </c>
      <c r="BJ20" t="s">
        <v>74</v>
      </c>
      <c r="BK20" t="s">
        <v>74</v>
      </c>
      <c r="BL20" t="s">
        <v>74</v>
      </c>
      <c r="BM20" t="s">
        <v>74</v>
      </c>
      <c r="BN20" t="s">
        <v>74</v>
      </c>
      <c r="BO20" t="s">
        <v>74</v>
      </c>
      <c r="BP20" t="s">
        <v>74</v>
      </c>
      <c r="BQ20" t="s">
        <v>74</v>
      </c>
      <c r="BR20" t="s">
        <v>74</v>
      </c>
      <c r="BS20" t="s">
        <v>263</v>
      </c>
      <c r="BT20" t="str">
        <f>HYPERLINK("https%3A%2F%2Fwww.webofscience.com%2Fwos%2Fwoscc%2Ffull-record%2FWOS:001536299500001","View Full Record in Web of Science")</f>
        <v>View Full Record in Web of Science</v>
      </c>
    </row>
    <row r="21" spans="1:72" x14ac:dyDescent="0.2">
      <c r="A21" t="s">
        <v>72</v>
      </c>
      <c r="B21" t="s">
        <v>264</v>
      </c>
      <c r="C21" t="s">
        <v>74</v>
      </c>
      <c r="D21" t="s">
        <v>74</v>
      </c>
      <c r="E21" t="s">
        <v>74</v>
      </c>
      <c r="F21" t="s">
        <v>265</v>
      </c>
      <c r="G21" t="s">
        <v>74</v>
      </c>
      <c r="H21" t="s">
        <v>74</v>
      </c>
      <c r="I21" t="s">
        <v>266</v>
      </c>
      <c r="J21" t="s">
        <v>267</v>
      </c>
      <c r="K21" t="s">
        <v>74</v>
      </c>
      <c r="L21" t="s">
        <v>74</v>
      </c>
      <c r="M21" t="s">
        <v>74</v>
      </c>
      <c r="N21" t="s">
        <v>74</v>
      </c>
      <c r="O21" t="s">
        <v>74</v>
      </c>
      <c r="P21" t="s">
        <v>74</v>
      </c>
      <c r="Q21" t="s">
        <v>74</v>
      </c>
      <c r="R21" t="s">
        <v>74</v>
      </c>
      <c r="S21" t="s">
        <v>74</v>
      </c>
      <c r="T21" t="s">
        <v>74</v>
      </c>
      <c r="U21" t="s">
        <v>74</v>
      </c>
      <c r="V21" t="s">
        <v>268</v>
      </c>
      <c r="W21" t="s">
        <v>74</v>
      </c>
      <c r="X21" t="s">
        <v>74</v>
      </c>
      <c r="Y21" t="s">
        <v>74</v>
      </c>
      <c r="Z21" t="s">
        <v>74</v>
      </c>
      <c r="AA21" t="s">
        <v>269</v>
      </c>
      <c r="AB21" t="s">
        <v>74</v>
      </c>
      <c r="AC21" t="s">
        <v>74</v>
      </c>
      <c r="AD21" t="s">
        <v>74</v>
      </c>
      <c r="AE21" t="s">
        <v>74</v>
      </c>
      <c r="AF21" t="s">
        <v>74</v>
      </c>
      <c r="AG21" t="s">
        <v>74</v>
      </c>
      <c r="AH21" t="s">
        <v>74</v>
      </c>
      <c r="AI21" t="s">
        <v>74</v>
      </c>
      <c r="AJ21" t="s">
        <v>74</v>
      </c>
      <c r="AK21" t="s">
        <v>74</v>
      </c>
      <c r="AL21" t="s">
        <v>74</v>
      </c>
      <c r="AM21" t="s">
        <v>74</v>
      </c>
      <c r="AN21" t="s">
        <v>74</v>
      </c>
      <c r="AO21" t="s">
        <v>270</v>
      </c>
      <c r="AP21" t="s">
        <v>271</v>
      </c>
      <c r="AQ21" t="s">
        <v>74</v>
      </c>
      <c r="AR21" t="s">
        <v>74</v>
      </c>
      <c r="AS21" t="s">
        <v>74</v>
      </c>
      <c r="AT21" t="s">
        <v>272</v>
      </c>
      <c r="AU21">
        <v>2025</v>
      </c>
      <c r="AV21" t="s">
        <v>74</v>
      </c>
      <c r="AW21" t="s">
        <v>74</v>
      </c>
      <c r="AX21" t="s">
        <v>74</v>
      </c>
      <c r="AY21" t="s">
        <v>74</v>
      </c>
      <c r="AZ21" t="s">
        <v>74</v>
      </c>
      <c r="BA21" t="s">
        <v>74</v>
      </c>
      <c r="BB21" t="s">
        <v>74</v>
      </c>
      <c r="BC21" t="s">
        <v>74</v>
      </c>
      <c r="BD21" t="s">
        <v>74</v>
      </c>
      <c r="BE21" t="s">
        <v>273</v>
      </c>
      <c r="BF21" t="str">
        <f>HYPERLINK("http://dx.doi.org/10.1002/adfm.202514035","http://dx.doi.org/10.1002/adfm.202514035")</f>
        <v>http://dx.doi.org/10.1002/adfm.202514035</v>
      </c>
      <c r="BG21" t="s">
        <v>74</v>
      </c>
      <c r="BH21" t="s">
        <v>208</v>
      </c>
      <c r="BI21" t="s">
        <v>74</v>
      </c>
      <c r="BJ21" t="s">
        <v>74</v>
      </c>
      <c r="BK21" t="s">
        <v>74</v>
      </c>
      <c r="BL21" t="s">
        <v>74</v>
      </c>
      <c r="BM21" t="s">
        <v>74</v>
      </c>
      <c r="BN21" t="s">
        <v>74</v>
      </c>
      <c r="BO21" t="s">
        <v>74</v>
      </c>
      <c r="BP21" t="s">
        <v>74</v>
      </c>
      <c r="BQ21" t="s">
        <v>74</v>
      </c>
      <c r="BR21" t="s">
        <v>74</v>
      </c>
      <c r="BS21" t="s">
        <v>274</v>
      </c>
      <c r="BT21" t="str">
        <f>HYPERLINK("https%3A%2F%2Fwww.webofscience.com%2Fwos%2Fwoscc%2Ffull-record%2FWOS:001533873800001","View Full Record in Web of Science")</f>
        <v>View Full Record in Web of Science</v>
      </c>
    </row>
    <row r="22" spans="1:72" x14ac:dyDescent="0.2">
      <c r="A22" t="s">
        <v>72</v>
      </c>
      <c r="B22" t="s">
        <v>275</v>
      </c>
      <c r="C22" t="s">
        <v>74</v>
      </c>
      <c r="D22" t="s">
        <v>74</v>
      </c>
      <c r="E22" t="s">
        <v>74</v>
      </c>
      <c r="F22" t="s">
        <v>276</v>
      </c>
      <c r="G22" t="s">
        <v>74</v>
      </c>
      <c r="H22" t="s">
        <v>74</v>
      </c>
      <c r="I22" t="s">
        <v>277</v>
      </c>
      <c r="J22" t="s">
        <v>278</v>
      </c>
      <c r="K22" t="s">
        <v>74</v>
      </c>
      <c r="L22" t="s">
        <v>74</v>
      </c>
      <c r="M22" t="s">
        <v>74</v>
      </c>
      <c r="N22" t="s">
        <v>74</v>
      </c>
      <c r="O22" t="s">
        <v>74</v>
      </c>
      <c r="P22" t="s">
        <v>74</v>
      </c>
      <c r="Q22" t="s">
        <v>74</v>
      </c>
      <c r="R22" t="s">
        <v>74</v>
      </c>
      <c r="S22" t="s">
        <v>74</v>
      </c>
      <c r="T22" t="s">
        <v>74</v>
      </c>
      <c r="U22" t="s">
        <v>74</v>
      </c>
      <c r="V22" t="s">
        <v>279</v>
      </c>
      <c r="W22" t="s">
        <v>74</v>
      </c>
      <c r="X22" t="s">
        <v>74</v>
      </c>
      <c r="Y22" t="s">
        <v>74</v>
      </c>
      <c r="Z22" t="s">
        <v>74</v>
      </c>
      <c r="AA22" t="s">
        <v>280</v>
      </c>
      <c r="AB22" t="s">
        <v>74</v>
      </c>
      <c r="AC22" t="s">
        <v>74</v>
      </c>
      <c r="AD22" t="s">
        <v>74</v>
      </c>
      <c r="AE22" t="s">
        <v>74</v>
      </c>
      <c r="AF22" t="s">
        <v>74</v>
      </c>
      <c r="AG22" t="s">
        <v>74</v>
      </c>
      <c r="AH22" t="s">
        <v>74</v>
      </c>
      <c r="AI22" t="s">
        <v>74</v>
      </c>
      <c r="AJ22" t="s">
        <v>74</v>
      </c>
      <c r="AK22" t="s">
        <v>74</v>
      </c>
      <c r="AL22" t="s">
        <v>74</v>
      </c>
      <c r="AM22" t="s">
        <v>74</v>
      </c>
      <c r="AN22" t="s">
        <v>74</v>
      </c>
      <c r="AO22" t="s">
        <v>281</v>
      </c>
      <c r="AP22" t="s">
        <v>282</v>
      </c>
      <c r="AQ22" t="s">
        <v>74</v>
      </c>
      <c r="AR22" t="s">
        <v>74</v>
      </c>
      <c r="AS22" t="s">
        <v>74</v>
      </c>
      <c r="AT22" t="s">
        <v>283</v>
      </c>
      <c r="AU22">
        <v>2025</v>
      </c>
      <c r="AV22" t="s">
        <v>74</v>
      </c>
      <c r="AW22" t="s">
        <v>74</v>
      </c>
      <c r="AX22" t="s">
        <v>74</v>
      </c>
      <c r="AY22" t="s">
        <v>74</v>
      </c>
      <c r="AZ22" t="s">
        <v>74</v>
      </c>
      <c r="BA22" t="s">
        <v>74</v>
      </c>
      <c r="BB22" t="s">
        <v>74</v>
      </c>
      <c r="BC22" t="s">
        <v>74</v>
      </c>
      <c r="BD22" t="s">
        <v>74</v>
      </c>
      <c r="BE22" t="s">
        <v>284</v>
      </c>
      <c r="BF22" t="str">
        <f>HYPERLINK("http://dx.doi.org/10.1039/d5ta02774h","http://dx.doi.org/10.1039/d5ta02774h")</f>
        <v>http://dx.doi.org/10.1039/d5ta02774h</v>
      </c>
      <c r="BG22" t="s">
        <v>74</v>
      </c>
      <c r="BH22" t="s">
        <v>208</v>
      </c>
      <c r="BI22" t="s">
        <v>74</v>
      </c>
      <c r="BJ22" t="s">
        <v>74</v>
      </c>
      <c r="BK22" t="s">
        <v>74</v>
      </c>
      <c r="BL22" t="s">
        <v>74</v>
      </c>
      <c r="BM22" t="s">
        <v>74</v>
      </c>
      <c r="BN22" t="s">
        <v>74</v>
      </c>
      <c r="BO22" t="s">
        <v>74</v>
      </c>
      <c r="BP22" t="s">
        <v>74</v>
      </c>
      <c r="BQ22" t="s">
        <v>74</v>
      </c>
      <c r="BR22" t="s">
        <v>74</v>
      </c>
      <c r="BS22" t="s">
        <v>285</v>
      </c>
      <c r="BT22" t="str">
        <f>HYPERLINK("https%3A%2F%2Fwww.webofscience.com%2Fwos%2Fwoscc%2Ffull-record%2FWOS:001541468300001","View Full Record in Web of Science")</f>
        <v>View Full Record in Web of Science</v>
      </c>
    </row>
    <row r="23" spans="1:72" x14ac:dyDescent="0.2">
      <c r="A23" t="s">
        <v>72</v>
      </c>
      <c r="B23" t="s">
        <v>286</v>
      </c>
      <c r="C23" t="s">
        <v>74</v>
      </c>
      <c r="D23" t="s">
        <v>74</v>
      </c>
      <c r="E23" t="s">
        <v>74</v>
      </c>
      <c r="F23" t="s">
        <v>287</v>
      </c>
      <c r="G23" t="s">
        <v>74</v>
      </c>
      <c r="H23" t="s">
        <v>74</v>
      </c>
      <c r="I23" t="s">
        <v>288</v>
      </c>
      <c r="J23" t="s">
        <v>289</v>
      </c>
      <c r="K23" t="s">
        <v>74</v>
      </c>
      <c r="L23" t="s">
        <v>74</v>
      </c>
      <c r="M23" t="s">
        <v>74</v>
      </c>
      <c r="N23" t="s">
        <v>74</v>
      </c>
      <c r="O23" t="s">
        <v>74</v>
      </c>
      <c r="P23" t="s">
        <v>74</v>
      </c>
      <c r="Q23" t="s">
        <v>74</v>
      </c>
      <c r="R23" t="s">
        <v>74</v>
      </c>
      <c r="S23" t="s">
        <v>74</v>
      </c>
      <c r="T23" t="s">
        <v>74</v>
      </c>
      <c r="U23" t="s">
        <v>74</v>
      </c>
      <c r="V23" t="s">
        <v>290</v>
      </c>
      <c r="W23" t="s">
        <v>74</v>
      </c>
      <c r="X23" t="s">
        <v>74</v>
      </c>
      <c r="Y23" t="s">
        <v>74</v>
      </c>
      <c r="Z23" t="s">
        <v>74</v>
      </c>
      <c r="AA23" t="s">
        <v>291</v>
      </c>
      <c r="AB23" t="s">
        <v>74</v>
      </c>
      <c r="AC23" t="s">
        <v>74</v>
      </c>
      <c r="AD23" t="s">
        <v>74</v>
      </c>
      <c r="AE23" t="s">
        <v>74</v>
      </c>
      <c r="AF23" t="s">
        <v>74</v>
      </c>
      <c r="AG23" t="s">
        <v>74</v>
      </c>
      <c r="AH23" t="s">
        <v>74</v>
      </c>
      <c r="AI23" t="s">
        <v>74</v>
      </c>
      <c r="AJ23" t="s">
        <v>74</v>
      </c>
      <c r="AK23" t="s">
        <v>74</v>
      </c>
      <c r="AL23" t="s">
        <v>74</v>
      </c>
      <c r="AM23" t="s">
        <v>74</v>
      </c>
      <c r="AN23" t="s">
        <v>74</v>
      </c>
      <c r="AO23" t="s">
        <v>292</v>
      </c>
      <c r="AP23" t="s">
        <v>293</v>
      </c>
      <c r="AQ23" t="s">
        <v>74</v>
      </c>
      <c r="AR23" t="s">
        <v>74</v>
      </c>
      <c r="AS23" t="s">
        <v>74</v>
      </c>
      <c r="AT23" t="s">
        <v>283</v>
      </c>
      <c r="AU23">
        <v>2025</v>
      </c>
      <c r="AV23" t="s">
        <v>74</v>
      </c>
      <c r="AW23" t="s">
        <v>74</v>
      </c>
      <c r="AX23" t="s">
        <v>74</v>
      </c>
      <c r="AY23" t="s">
        <v>74</v>
      </c>
      <c r="AZ23" t="s">
        <v>74</v>
      </c>
      <c r="BA23" t="s">
        <v>74</v>
      </c>
      <c r="BB23" t="s">
        <v>74</v>
      </c>
      <c r="BC23" t="s">
        <v>74</v>
      </c>
      <c r="BD23" t="s">
        <v>74</v>
      </c>
      <c r="BE23" t="s">
        <v>294</v>
      </c>
      <c r="BF23" t="str">
        <f>HYPERLINK("http://dx.doi.org/10.1002/adma.202505762","http://dx.doi.org/10.1002/adma.202505762")</f>
        <v>http://dx.doi.org/10.1002/adma.202505762</v>
      </c>
      <c r="BG23" t="s">
        <v>74</v>
      </c>
      <c r="BH23" t="s">
        <v>208</v>
      </c>
      <c r="BI23" t="s">
        <v>74</v>
      </c>
      <c r="BJ23" t="s">
        <v>74</v>
      </c>
      <c r="BK23" t="s">
        <v>74</v>
      </c>
      <c r="BL23" t="s">
        <v>74</v>
      </c>
      <c r="BM23" t="s">
        <v>74</v>
      </c>
      <c r="BN23">
        <v>40685885</v>
      </c>
      <c r="BO23" t="s">
        <v>74</v>
      </c>
      <c r="BP23" t="s">
        <v>74</v>
      </c>
      <c r="BQ23" t="s">
        <v>74</v>
      </c>
      <c r="BR23" t="s">
        <v>74</v>
      </c>
      <c r="BS23" t="s">
        <v>295</v>
      </c>
      <c r="BT23" t="str">
        <f>HYPERLINK("https%3A%2F%2Fwww.webofscience.com%2Fwos%2Fwoscc%2Ffull-record%2FWOS:001531490600001","View Full Record in Web of Science")</f>
        <v>View Full Record in Web of Science</v>
      </c>
    </row>
    <row r="24" spans="1:72" x14ac:dyDescent="0.2">
      <c r="A24" t="s">
        <v>72</v>
      </c>
      <c r="B24" t="s">
        <v>296</v>
      </c>
      <c r="C24" t="s">
        <v>74</v>
      </c>
      <c r="D24" t="s">
        <v>74</v>
      </c>
      <c r="E24" t="s">
        <v>74</v>
      </c>
      <c r="F24" t="s">
        <v>297</v>
      </c>
      <c r="G24" t="s">
        <v>74</v>
      </c>
      <c r="H24" t="s">
        <v>74</v>
      </c>
      <c r="I24" t="s">
        <v>298</v>
      </c>
      <c r="J24" t="s">
        <v>267</v>
      </c>
      <c r="K24" t="s">
        <v>74</v>
      </c>
      <c r="L24" t="s">
        <v>74</v>
      </c>
      <c r="M24" t="s">
        <v>74</v>
      </c>
      <c r="N24" t="s">
        <v>74</v>
      </c>
      <c r="O24" t="s">
        <v>74</v>
      </c>
      <c r="P24" t="s">
        <v>74</v>
      </c>
      <c r="Q24" t="s">
        <v>74</v>
      </c>
      <c r="R24" t="s">
        <v>74</v>
      </c>
      <c r="S24" t="s">
        <v>74</v>
      </c>
      <c r="T24" t="s">
        <v>74</v>
      </c>
      <c r="U24" t="s">
        <v>74</v>
      </c>
      <c r="V24" t="s">
        <v>299</v>
      </c>
      <c r="W24" t="s">
        <v>74</v>
      </c>
      <c r="X24" t="s">
        <v>74</v>
      </c>
      <c r="Y24" t="s">
        <v>74</v>
      </c>
      <c r="Z24" t="s">
        <v>74</v>
      </c>
      <c r="AA24" t="s">
        <v>300</v>
      </c>
      <c r="AB24" t="s">
        <v>74</v>
      </c>
      <c r="AC24" t="s">
        <v>74</v>
      </c>
      <c r="AD24" t="s">
        <v>74</v>
      </c>
      <c r="AE24" t="s">
        <v>74</v>
      </c>
      <c r="AF24" t="s">
        <v>74</v>
      </c>
      <c r="AG24" t="s">
        <v>74</v>
      </c>
      <c r="AH24" t="s">
        <v>74</v>
      </c>
      <c r="AI24" t="s">
        <v>74</v>
      </c>
      <c r="AJ24" t="s">
        <v>74</v>
      </c>
      <c r="AK24" t="s">
        <v>74</v>
      </c>
      <c r="AL24" t="s">
        <v>74</v>
      </c>
      <c r="AM24" t="s">
        <v>74</v>
      </c>
      <c r="AN24" t="s">
        <v>74</v>
      </c>
      <c r="AO24" t="s">
        <v>270</v>
      </c>
      <c r="AP24" t="s">
        <v>271</v>
      </c>
      <c r="AQ24" t="s">
        <v>74</v>
      </c>
      <c r="AR24" t="s">
        <v>74</v>
      </c>
      <c r="AS24" t="s">
        <v>74</v>
      </c>
      <c r="AT24" t="s">
        <v>301</v>
      </c>
      <c r="AU24">
        <v>2025</v>
      </c>
      <c r="AV24" t="s">
        <v>74</v>
      </c>
      <c r="AW24" t="s">
        <v>74</v>
      </c>
      <c r="AX24" t="s">
        <v>74</v>
      </c>
      <c r="AY24" t="s">
        <v>74</v>
      </c>
      <c r="AZ24" t="s">
        <v>74</v>
      </c>
      <c r="BA24" t="s">
        <v>74</v>
      </c>
      <c r="BB24" t="s">
        <v>74</v>
      </c>
      <c r="BC24" t="s">
        <v>74</v>
      </c>
      <c r="BD24" t="s">
        <v>74</v>
      </c>
      <c r="BE24" t="s">
        <v>302</v>
      </c>
      <c r="BF24" t="str">
        <f>HYPERLINK("http://dx.doi.org/10.1002/adfm.202511558","http://dx.doi.org/10.1002/adfm.202511558")</f>
        <v>http://dx.doi.org/10.1002/adfm.202511558</v>
      </c>
      <c r="BG24" t="s">
        <v>74</v>
      </c>
      <c r="BH24" t="s">
        <v>208</v>
      </c>
      <c r="BI24" t="s">
        <v>74</v>
      </c>
      <c r="BJ24" t="s">
        <v>74</v>
      </c>
      <c r="BK24" t="s">
        <v>74</v>
      </c>
      <c r="BL24" t="s">
        <v>74</v>
      </c>
      <c r="BM24" t="s">
        <v>74</v>
      </c>
      <c r="BN24" t="s">
        <v>74</v>
      </c>
      <c r="BO24" t="s">
        <v>74</v>
      </c>
      <c r="BP24" t="s">
        <v>74</v>
      </c>
      <c r="BQ24" t="s">
        <v>74</v>
      </c>
      <c r="BR24" t="s">
        <v>74</v>
      </c>
      <c r="BS24" t="s">
        <v>303</v>
      </c>
      <c r="BT24" t="str">
        <f>HYPERLINK("https%3A%2F%2Fwww.webofscience.com%2Fwos%2Fwoscc%2Ffull-record%2FWOS:001527458600001","View Full Record in Web of Science")</f>
        <v>View Full Record in Web of Science</v>
      </c>
    </row>
    <row r="25" spans="1:72" x14ac:dyDescent="0.2">
      <c r="A25" t="s">
        <v>72</v>
      </c>
      <c r="B25" t="s">
        <v>304</v>
      </c>
      <c r="C25" t="s">
        <v>74</v>
      </c>
      <c r="D25" t="s">
        <v>74</v>
      </c>
      <c r="E25" t="s">
        <v>74</v>
      </c>
      <c r="F25" t="s">
        <v>305</v>
      </c>
      <c r="G25" t="s">
        <v>74</v>
      </c>
      <c r="H25" t="s">
        <v>74</v>
      </c>
      <c r="I25" t="s">
        <v>306</v>
      </c>
      <c r="J25" t="s">
        <v>307</v>
      </c>
      <c r="K25" t="s">
        <v>74</v>
      </c>
      <c r="L25" t="s">
        <v>74</v>
      </c>
      <c r="M25" t="s">
        <v>74</v>
      </c>
      <c r="N25" t="s">
        <v>74</v>
      </c>
      <c r="O25" t="s">
        <v>74</v>
      </c>
      <c r="P25" t="s">
        <v>74</v>
      </c>
      <c r="Q25" t="s">
        <v>74</v>
      </c>
      <c r="R25" t="s">
        <v>74</v>
      </c>
      <c r="S25" t="s">
        <v>74</v>
      </c>
      <c r="T25" t="s">
        <v>74</v>
      </c>
      <c r="U25" t="s">
        <v>74</v>
      </c>
      <c r="V25" t="s">
        <v>308</v>
      </c>
      <c r="W25" t="s">
        <v>74</v>
      </c>
      <c r="X25" t="s">
        <v>74</v>
      </c>
      <c r="Y25" t="s">
        <v>74</v>
      </c>
      <c r="Z25" t="s">
        <v>74</v>
      </c>
      <c r="AA25" t="s">
        <v>74</v>
      </c>
      <c r="AB25" t="s">
        <v>74</v>
      </c>
      <c r="AC25" t="s">
        <v>74</v>
      </c>
      <c r="AD25" t="s">
        <v>74</v>
      </c>
      <c r="AE25" t="s">
        <v>74</v>
      </c>
      <c r="AF25" t="s">
        <v>74</v>
      </c>
      <c r="AG25" t="s">
        <v>74</v>
      </c>
      <c r="AH25" t="s">
        <v>74</v>
      </c>
      <c r="AI25" t="s">
        <v>74</v>
      </c>
      <c r="AJ25" t="s">
        <v>74</v>
      </c>
      <c r="AK25" t="s">
        <v>74</v>
      </c>
      <c r="AL25" t="s">
        <v>74</v>
      </c>
      <c r="AM25" t="s">
        <v>74</v>
      </c>
      <c r="AN25" t="s">
        <v>74</v>
      </c>
      <c r="AO25" t="s">
        <v>74</v>
      </c>
      <c r="AP25" t="s">
        <v>309</v>
      </c>
      <c r="AQ25" t="s">
        <v>74</v>
      </c>
      <c r="AR25" t="s">
        <v>74</v>
      </c>
      <c r="AS25" t="s">
        <v>74</v>
      </c>
      <c r="AT25" t="s">
        <v>310</v>
      </c>
      <c r="AU25">
        <v>2025</v>
      </c>
      <c r="AV25" t="s">
        <v>74</v>
      </c>
      <c r="AW25" t="s">
        <v>74</v>
      </c>
      <c r="AX25" t="s">
        <v>74</v>
      </c>
      <c r="AY25" t="s">
        <v>74</v>
      </c>
      <c r="AZ25" t="s">
        <v>74</v>
      </c>
      <c r="BA25" t="s">
        <v>74</v>
      </c>
      <c r="BB25" t="s">
        <v>74</v>
      </c>
      <c r="BC25" t="s">
        <v>74</v>
      </c>
      <c r="BD25" t="s">
        <v>74</v>
      </c>
      <c r="BE25" t="s">
        <v>311</v>
      </c>
      <c r="BF25" t="str">
        <f>HYPERLINK("http://dx.doi.org/10.1002/batt.202500386","http://dx.doi.org/10.1002/batt.202500386")</f>
        <v>http://dx.doi.org/10.1002/batt.202500386</v>
      </c>
      <c r="BG25" t="s">
        <v>74</v>
      </c>
      <c r="BH25" t="s">
        <v>208</v>
      </c>
      <c r="BI25" t="s">
        <v>74</v>
      </c>
      <c r="BJ25" t="s">
        <v>74</v>
      </c>
      <c r="BK25" t="s">
        <v>74</v>
      </c>
      <c r="BL25" t="s">
        <v>74</v>
      </c>
      <c r="BM25" t="s">
        <v>74</v>
      </c>
      <c r="BN25" t="s">
        <v>74</v>
      </c>
      <c r="BO25" t="s">
        <v>74</v>
      </c>
      <c r="BP25" t="s">
        <v>74</v>
      </c>
      <c r="BQ25" t="s">
        <v>74</v>
      </c>
      <c r="BR25" t="s">
        <v>74</v>
      </c>
      <c r="BS25" t="s">
        <v>312</v>
      </c>
      <c r="BT25" t="str">
        <f>HYPERLINK("https%3A%2F%2Fwww.webofscience.com%2Fwos%2Fwoscc%2Ffull-record%2FWOS:001526779100001","View Full Record in Web of Science")</f>
        <v>View Full Record in Web of Science</v>
      </c>
    </row>
    <row r="26" spans="1:72" x14ac:dyDescent="0.2">
      <c r="A26" t="s">
        <v>72</v>
      </c>
      <c r="B26" t="s">
        <v>313</v>
      </c>
      <c r="C26" t="s">
        <v>74</v>
      </c>
      <c r="D26" t="s">
        <v>74</v>
      </c>
      <c r="E26" t="s">
        <v>74</v>
      </c>
      <c r="F26" t="s">
        <v>314</v>
      </c>
      <c r="G26" t="s">
        <v>74</v>
      </c>
      <c r="H26" t="s">
        <v>74</v>
      </c>
      <c r="I26" t="s">
        <v>315</v>
      </c>
      <c r="J26" t="s">
        <v>278</v>
      </c>
      <c r="K26" t="s">
        <v>74</v>
      </c>
      <c r="L26" t="s">
        <v>74</v>
      </c>
      <c r="M26" t="s">
        <v>74</v>
      </c>
      <c r="N26" t="s">
        <v>74</v>
      </c>
      <c r="O26" t="s">
        <v>74</v>
      </c>
      <c r="P26" t="s">
        <v>74</v>
      </c>
      <c r="Q26" t="s">
        <v>74</v>
      </c>
      <c r="R26" t="s">
        <v>74</v>
      </c>
      <c r="S26" t="s">
        <v>74</v>
      </c>
      <c r="T26" t="s">
        <v>74</v>
      </c>
      <c r="U26" t="s">
        <v>74</v>
      </c>
      <c r="V26" t="s">
        <v>316</v>
      </c>
      <c r="W26" t="s">
        <v>74</v>
      </c>
      <c r="X26" t="s">
        <v>74</v>
      </c>
      <c r="Y26" t="s">
        <v>74</v>
      </c>
      <c r="Z26" t="s">
        <v>74</v>
      </c>
      <c r="AA26" t="s">
        <v>74</v>
      </c>
      <c r="AB26" t="s">
        <v>74</v>
      </c>
      <c r="AC26" t="s">
        <v>74</v>
      </c>
      <c r="AD26" t="s">
        <v>74</v>
      </c>
      <c r="AE26" t="s">
        <v>74</v>
      </c>
      <c r="AF26" t="s">
        <v>74</v>
      </c>
      <c r="AG26" t="s">
        <v>74</v>
      </c>
      <c r="AH26" t="s">
        <v>74</v>
      </c>
      <c r="AI26" t="s">
        <v>74</v>
      </c>
      <c r="AJ26" t="s">
        <v>74</v>
      </c>
      <c r="AK26" t="s">
        <v>74</v>
      </c>
      <c r="AL26" t="s">
        <v>74</v>
      </c>
      <c r="AM26" t="s">
        <v>74</v>
      </c>
      <c r="AN26" t="s">
        <v>74</v>
      </c>
      <c r="AO26" t="s">
        <v>281</v>
      </c>
      <c r="AP26" t="s">
        <v>282</v>
      </c>
      <c r="AQ26" t="s">
        <v>74</v>
      </c>
      <c r="AR26" t="s">
        <v>74</v>
      </c>
      <c r="AS26" t="s">
        <v>74</v>
      </c>
      <c r="AT26" t="s">
        <v>317</v>
      </c>
      <c r="AU26">
        <v>2025</v>
      </c>
      <c r="AV26">
        <v>13</v>
      </c>
      <c r="AW26">
        <v>31</v>
      </c>
      <c r="AX26" t="s">
        <v>74</v>
      </c>
      <c r="AY26" t="s">
        <v>74</v>
      </c>
      <c r="AZ26" t="s">
        <v>74</v>
      </c>
      <c r="BA26" t="s">
        <v>74</v>
      </c>
      <c r="BB26">
        <v>25749</v>
      </c>
      <c r="BC26">
        <v>25761</v>
      </c>
      <c r="BD26" t="s">
        <v>74</v>
      </c>
      <c r="BE26" t="s">
        <v>318</v>
      </c>
      <c r="BF26" t="str">
        <f>HYPERLINK("http://dx.doi.org/10.1039/d5ta01263e","http://dx.doi.org/10.1039/d5ta01263e")</f>
        <v>http://dx.doi.org/10.1039/d5ta01263e</v>
      </c>
      <c r="BG26" t="s">
        <v>74</v>
      </c>
      <c r="BH26" t="s">
        <v>208</v>
      </c>
      <c r="BI26" t="s">
        <v>74</v>
      </c>
      <c r="BJ26" t="s">
        <v>74</v>
      </c>
      <c r="BK26" t="s">
        <v>74</v>
      </c>
      <c r="BL26" t="s">
        <v>74</v>
      </c>
      <c r="BM26" t="s">
        <v>74</v>
      </c>
      <c r="BN26" t="s">
        <v>74</v>
      </c>
      <c r="BO26" t="s">
        <v>74</v>
      </c>
      <c r="BP26" t="s">
        <v>74</v>
      </c>
      <c r="BQ26" t="s">
        <v>74</v>
      </c>
      <c r="BR26" t="s">
        <v>74</v>
      </c>
      <c r="BS26" t="s">
        <v>319</v>
      </c>
      <c r="BT26" t="str">
        <f>HYPERLINK("https%3A%2F%2Fwww.webofscience.com%2Fwos%2Fwoscc%2Ffull-record%2FWOS:001525742500001","View Full Record in Web of Science")</f>
        <v>View Full Record in Web of Science</v>
      </c>
    </row>
    <row r="27" spans="1:72" x14ac:dyDescent="0.2">
      <c r="A27" t="s">
        <v>72</v>
      </c>
      <c r="B27" t="s">
        <v>320</v>
      </c>
      <c r="C27" t="s">
        <v>74</v>
      </c>
      <c r="D27" t="s">
        <v>74</v>
      </c>
      <c r="E27" t="s">
        <v>74</v>
      </c>
      <c r="F27" t="s">
        <v>321</v>
      </c>
      <c r="G27" t="s">
        <v>74</v>
      </c>
      <c r="H27" t="s">
        <v>74</v>
      </c>
      <c r="I27" t="s">
        <v>322</v>
      </c>
      <c r="J27" t="s">
        <v>98</v>
      </c>
      <c r="K27" t="s">
        <v>74</v>
      </c>
      <c r="L27" t="s">
        <v>74</v>
      </c>
      <c r="M27" t="s">
        <v>74</v>
      </c>
      <c r="N27" t="s">
        <v>74</v>
      </c>
      <c r="O27" t="s">
        <v>74</v>
      </c>
      <c r="P27" t="s">
        <v>74</v>
      </c>
      <c r="Q27" t="s">
        <v>74</v>
      </c>
      <c r="R27" t="s">
        <v>74</v>
      </c>
      <c r="S27" t="s">
        <v>74</v>
      </c>
      <c r="T27" t="s">
        <v>74</v>
      </c>
      <c r="U27" t="s">
        <v>74</v>
      </c>
      <c r="V27" t="s">
        <v>323</v>
      </c>
      <c r="W27" t="s">
        <v>74</v>
      </c>
      <c r="X27" t="s">
        <v>74</v>
      </c>
      <c r="Y27" t="s">
        <v>74</v>
      </c>
      <c r="Z27" t="s">
        <v>74</v>
      </c>
      <c r="AA27" t="s">
        <v>324</v>
      </c>
      <c r="AB27" t="s">
        <v>74</v>
      </c>
      <c r="AC27" t="s">
        <v>74</v>
      </c>
      <c r="AD27" t="s">
        <v>74</v>
      </c>
      <c r="AE27" t="s">
        <v>74</v>
      </c>
      <c r="AF27" t="s">
        <v>74</v>
      </c>
      <c r="AG27" t="s">
        <v>74</v>
      </c>
      <c r="AH27" t="s">
        <v>74</v>
      </c>
      <c r="AI27" t="s">
        <v>74</v>
      </c>
      <c r="AJ27" t="s">
        <v>74</v>
      </c>
      <c r="AK27" t="s">
        <v>74</v>
      </c>
      <c r="AL27" t="s">
        <v>74</v>
      </c>
      <c r="AM27" t="s">
        <v>74</v>
      </c>
      <c r="AN27" t="s">
        <v>74</v>
      </c>
      <c r="AO27" t="s">
        <v>101</v>
      </c>
      <c r="AP27" t="s">
        <v>102</v>
      </c>
      <c r="AQ27" t="s">
        <v>74</v>
      </c>
      <c r="AR27" t="s">
        <v>74</v>
      </c>
      <c r="AS27" t="s">
        <v>74</v>
      </c>
      <c r="AT27" t="s">
        <v>325</v>
      </c>
      <c r="AU27">
        <v>2025</v>
      </c>
      <c r="AV27">
        <v>654</v>
      </c>
      <c r="AW27" t="s">
        <v>74</v>
      </c>
      <c r="AX27" t="s">
        <v>74</v>
      </c>
      <c r="AY27" t="s">
        <v>74</v>
      </c>
      <c r="AZ27" t="s">
        <v>74</v>
      </c>
      <c r="BA27" t="s">
        <v>74</v>
      </c>
      <c r="BB27" t="s">
        <v>74</v>
      </c>
      <c r="BC27" t="s">
        <v>74</v>
      </c>
      <c r="BD27">
        <v>237839</v>
      </c>
      <c r="BE27" t="s">
        <v>326</v>
      </c>
      <c r="BF27" t="str">
        <f>HYPERLINK("http://dx.doi.org/10.1016/j.jpowsour.2025.237839","http://dx.doi.org/10.1016/j.jpowsour.2025.237839")</f>
        <v>http://dx.doi.org/10.1016/j.jpowsour.2025.237839</v>
      </c>
      <c r="BG27" t="s">
        <v>74</v>
      </c>
      <c r="BH27" t="s">
        <v>208</v>
      </c>
      <c r="BI27" t="s">
        <v>74</v>
      </c>
      <c r="BJ27" t="s">
        <v>74</v>
      </c>
      <c r="BK27" t="s">
        <v>74</v>
      </c>
      <c r="BL27" t="s">
        <v>74</v>
      </c>
      <c r="BM27" t="s">
        <v>74</v>
      </c>
      <c r="BN27" t="s">
        <v>74</v>
      </c>
      <c r="BO27" t="s">
        <v>74</v>
      </c>
      <c r="BP27" t="s">
        <v>74</v>
      </c>
      <c r="BQ27" t="s">
        <v>74</v>
      </c>
      <c r="BR27" t="s">
        <v>74</v>
      </c>
      <c r="BS27" t="s">
        <v>327</v>
      </c>
      <c r="BT27" t="str">
        <f>HYPERLINK("https%3A%2F%2Fwww.webofscience.com%2Fwos%2Fwoscc%2Ffull-record%2FWOS:001537478200001","View Full Record in Web of Science")</f>
        <v>View Full Record in Web of Science</v>
      </c>
    </row>
    <row r="28" spans="1:72" x14ac:dyDescent="0.2">
      <c r="A28" t="s">
        <v>72</v>
      </c>
      <c r="B28" t="s">
        <v>328</v>
      </c>
      <c r="C28" t="s">
        <v>74</v>
      </c>
      <c r="D28" t="s">
        <v>74</v>
      </c>
      <c r="E28" t="s">
        <v>74</v>
      </c>
      <c r="F28" t="s">
        <v>329</v>
      </c>
      <c r="G28" t="s">
        <v>74</v>
      </c>
      <c r="H28" t="s">
        <v>74</v>
      </c>
      <c r="I28" t="s">
        <v>330</v>
      </c>
      <c r="J28" t="s">
        <v>331</v>
      </c>
      <c r="K28" t="s">
        <v>74</v>
      </c>
      <c r="L28" t="s">
        <v>74</v>
      </c>
      <c r="M28" t="s">
        <v>74</v>
      </c>
      <c r="N28" t="s">
        <v>74</v>
      </c>
      <c r="O28" t="s">
        <v>74</v>
      </c>
      <c r="P28" t="s">
        <v>74</v>
      </c>
      <c r="Q28" t="s">
        <v>74</v>
      </c>
      <c r="R28" t="s">
        <v>74</v>
      </c>
      <c r="S28" t="s">
        <v>74</v>
      </c>
      <c r="T28" t="s">
        <v>74</v>
      </c>
      <c r="U28" t="s">
        <v>74</v>
      </c>
      <c r="V28" t="s">
        <v>332</v>
      </c>
      <c r="W28" t="s">
        <v>74</v>
      </c>
      <c r="X28" t="s">
        <v>74</v>
      </c>
      <c r="Y28" t="s">
        <v>74</v>
      </c>
      <c r="Z28" t="s">
        <v>74</v>
      </c>
      <c r="AA28" t="s">
        <v>74</v>
      </c>
      <c r="AB28" t="s">
        <v>74</v>
      </c>
      <c r="AC28" t="s">
        <v>74</v>
      </c>
      <c r="AD28" t="s">
        <v>74</v>
      </c>
      <c r="AE28" t="s">
        <v>74</v>
      </c>
      <c r="AF28" t="s">
        <v>74</v>
      </c>
      <c r="AG28" t="s">
        <v>74</v>
      </c>
      <c r="AH28" t="s">
        <v>74</v>
      </c>
      <c r="AI28" t="s">
        <v>74</v>
      </c>
      <c r="AJ28" t="s">
        <v>74</v>
      </c>
      <c r="AK28" t="s">
        <v>74</v>
      </c>
      <c r="AL28" t="s">
        <v>74</v>
      </c>
      <c r="AM28" t="s">
        <v>74</v>
      </c>
      <c r="AN28" t="s">
        <v>74</v>
      </c>
      <c r="AO28" t="s">
        <v>333</v>
      </c>
      <c r="AP28" t="s">
        <v>334</v>
      </c>
      <c r="AQ28" t="s">
        <v>74</v>
      </c>
      <c r="AR28" t="s">
        <v>74</v>
      </c>
      <c r="AS28" t="s">
        <v>74</v>
      </c>
      <c r="AT28" t="s">
        <v>335</v>
      </c>
      <c r="AU28">
        <v>2025</v>
      </c>
      <c r="AV28" t="s">
        <v>74</v>
      </c>
      <c r="AW28" t="s">
        <v>74</v>
      </c>
      <c r="AX28" t="s">
        <v>74</v>
      </c>
      <c r="AY28" t="s">
        <v>74</v>
      </c>
      <c r="AZ28" t="s">
        <v>74</v>
      </c>
      <c r="BA28" t="s">
        <v>74</v>
      </c>
      <c r="BB28" t="s">
        <v>74</v>
      </c>
      <c r="BC28" t="s">
        <v>74</v>
      </c>
      <c r="BD28" t="s">
        <v>74</v>
      </c>
      <c r="BE28" t="s">
        <v>336</v>
      </c>
      <c r="BF28" t="str">
        <f>HYPERLINK("http://dx.doi.org/10.1007/s12598-025-03403-x","http://dx.doi.org/10.1007/s12598-025-03403-x")</f>
        <v>http://dx.doi.org/10.1007/s12598-025-03403-x</v>
      </c>
      <c r="BG28" t="s">
        <v>74</v>
      </c>
      <c r="BH28" t="s">
        <v>208</v>
      </c>
      <c r="BI28" t="s">
        <v>74</v>
      </c>
      <c r="BJ28" t="s">
        <v>74</v>
      </c>
      <c r="BK28" t="s">
        <v>74</v>
      </c>
      <c r="BL28" t="s">
        <v>74</v>
      </c>
      <c r="BM28" t="s">
        <v>74</v>
      </c>
      <c r="BN28" t="s">
        <v>74</v>
      </c>
      <c r="BO28" t="s">
        <v>74</v>
      </c>
      <c r="BP28" t="s">
        <v>74</v>
      </c>
      <c r="BQ28" t="s">
        <v>74</v>
      </c>
      <c r="BR28" t="s">
        <v>74</v>
      </c>
      <c r="BS28" t="s">
        <v>337</v>
      </c>
      <c r="BT28" t="str">
        <f>HYPERLINK("https%3A%2F%2Fwww.webofscience.com%2Fwos%2Fwoscc%2Ffull-record%2FWOS:001528271500001","View Full Record in Web of Science")</f>
        <v>View Full Record in Web of Science</v>
      </c>
    </row>
    <row r="29" spans="1:72" x14ac:dyDescent="0.2">
      <c r="A29" t="s">
        <v>72</v>
      </c>
      <c r="B29" t="s">
        <v>338</v>
      </c>
      <c r="C29" t="s">
        <v>74</v>
      </c>
      <c r="D29" t="s">
        <v>74</v>
      </c>
      <c r="E29" t="s">
        <v>74</v>
      </c>
      <c r="F29" t="s">
        <v>339</v>
      </c>
      <c r="G29" t="s">
        <v>74</v>
      </c>
      <c r="H29" t="s">
        <v>74</v>
      </c>
      <c r="I29" t="s">
        <v>340</v>
      </c>
      <c r="J29" t="s">
        <v>341</v>
      </c>
      <c r="K29" t="s">
        <v>74</v>
      </c>
      <c r="L29" t="s">
        <v>74</v>
      </c>
      <c r="M29" t="s">
        <v>74</v>
      </c>
      <c r="N29" t="s">
        <v>74</v>
      </c>
      <c r="O29" t="s">
        <v>74</v>
      </c>
      <c r="P29" t="s">
        <v>74</v>
      </c>
      <c r="Q29" t="s">
        <v>74</v>
      </c>
      <c r="R29" t="s">
        <v>74</v>
      </c>
      <c r="S29" t="s">
        <v>74</v>
      </c>
      <c r="T29" t="s">
        <v>74</v>
      </c>
      <c r="U29" t="s">
        <v>74</v>
      </c>
      <c r="V29" t="s">
        <v>342</v>
      </c>
      <c r="W29" t="s">
        <v>74</v>
      </c>
      <c r="X29" t="s">
        <v>74</v>
      </c>
      <c r="Y29" t="s">
        <v>74</v>
      </c>
      <c r="Z29" t="s">
        <v>74</v>
      </c>
      <c r="AA29" t="s">
        <v>343</v>
      </c>
      <c r="AB29" t="s">
        <v>74</v>
      </c>
      <c r="AC29" t="s">
        <v>74</v>
      </c>
      <c r="AD29" t="s">
        <v>74</v>
      </c>
      <c r="AE29" t="s">
        <v>74</v>
      </c>
      <c r="AF29" t="s">
        <v>74</v>
      </c>
      <c r="AG29" t="s">
        <v>74</v>
      </c>
      <c r="AH29" t="s">
        <v>74</v>
      </c>
      <c r="AI29" t="s">
        <v>74</v>
      </c>
      <c r="AJ29" t="s">
        <v>74</v>
      </c>
      <c r="AK29" t="s">
        <v>74</v>
      </c>
      <c r="AL29" t="s">
        <v>74</v>
      </c>
      <c r="AM29" t="s">
        <v>74</v>
      </c>
      <c r="AN29" t="s">
        <v>74</v>
      </c>
      <c r="AO29" t="s">
        <v>344</v>
      </c>
      <c r="AP29" t="s">
        <v>345</v>
      </c>
      <c r="AQ29" t="s">
        <v>74</v>
      </c>
      <c r="AR29" t="s">
        <v>74</v>
      </c>
      <c r="AS29" t="s">
        <v>74</v>
      </c>
      <c r="AT29" t="s">
        <v>346</v>
      </c>
      <c r="AU29">
        <v>2025</v>
      </c>
      <c r="AV29" t="s">
        <v>74</v>
      </c>
      <c r="AW29" t="s">
        <v>74</v>
      </c>
      <c r="AX29" t="s">
        <v>74</v>
      </c>
      <c r="AY29" t="s">
        <v>74</v>
      </c>
      <c r="AZ29" t="s">
        <v>74</v>
      </c>
      <c r="BA29" t="s">
        <v>74</v>
      </c>
      <c r="BB29" t="s">
        <v>74</v>
      </c>
      <c r="BC29" t="s">
        <v>74</v>
      </c>
      <c r="BD29" t="s">
        <v>74</v>
      </c>
      <c r="BE29" t="s">
        <v>347</v>
      </c>
      <c r="BF29" t="str">
        <f>HYPERLINK("http://dx.doi.org/10.1002/ente.202500550","http://dx.doi.org/10.1002/ente.202500550")</f>
        <v>http://dx.doi.org/10.1002/ente.202500550</v>
      </c>
      <c r="BG29" t="s">
        <v>74</v>
      </c>
      <c r="BH29" t="s">
        <v>208</v>
      </c>
      <c r="BI29" t="s">
        <v>74</v>
      </c>
      <c r="BJ29" t="s">
        <v>74</v>
      </c>
      <c r="BK29" t="s">
        <v>74</v>
      </c>
      <c r="BL29" t="s">
        <v>74</v>
      </c>
      <c r="BM29" t="s">
        <v>74</v>
      </c>
      <c r="BN29" t="s">
        <v>74</v>
      </c>
      <c r="BO29" t="s">
        <v>74</v>
      </c>
      <c r="BP29" t="s">
        <v>74</v>
      </c>
      <c r="BQ29" t="s">
        <v>74</v>
      </c>
      <c r="BR29" t="s">
        <v>74</v>
      </c>
      <c r="BS29" t="s">
        <v>348</v>
      </c>
      <c r="BT29" t="str">
        <f>HYPERLINK("https%3A%2F%2Fwww.webofscience.com%2Fwos%2Fwoscc%2Ffull-record%2FWOS:001523578400001","View Full Record in Web of Science")</f>
        <v>View Full Record in Web of Science</v>
      </c>
    </row>
    <row r="30" spans="1:72" x14ac:dyDescent="0.2">
      <c r="A30" t="s">
        <v>72</v>
      </c>
      <c r="B30" t="s">
        <v>349</v>
      </c>
      <c r="C30" t="s">
        <v>74</v>
      </c>
      <c r="D30" t="s">
        <v>74</v>
      </c>
      <c r="E30" t="s">
        <v>74</v>
      </c>
      <c r="F30" t="s">
        <v>350</v>
      </c>
      <c r="G30" t="s">
        <v>74</v>
      </c>
      <c r="H30" t="s">
        <v>74</v>
      </c>
      <c r="I30" t="s">
        <v>351</v>
      </c>
      <c r="J30" t="s">
        <v>352</v>
      </c>
      <c r="K30" t="s">
        <v>74</v>
      </c>
      <c r="L30" t="s">
        <v>74</v>
      </c>
      <c r="M30" t="s">
        <v>74</v>
      </c>
      <c r="N30" t="s">
        <v>74</v>
      </c>
      <c r="O30" t="s">
        <v>74</v>
      </c>
      <c r="P30" t="s">
        <v>74</v>
      </c>
      <c r="Q30" t="s">
        <v>74</v>
      </c>
      <c r="R30" t="s">
        <v>74</v>
      </c>
      <c r="S30" t="s">
        <v>74</v>
      </c>
      <c r="T30" t="s">
        <v>74</v>
      </c>
      <c r="U30" t="s">
        <v>74</v>
      </c>
      <c r="V30" t="s">
        <v>353</v>
      </c>
      <c r="W30" t="s">
        <v>74</v>
      </c>
      <c r="X30" t="s">
        <v>74</v>
      </c>
      <c r="Y30" t="s">
        <v>74</v>
      </c>
      <c r="Z30" t="s">
        <v>74</v>
      </c>
      <c r="AA30" t="s">
        <v>74</v>
      </c>
      <c r="AB30" t="s">
        <v>74</v>
      </c>
      <c r="AC30" t="s">
        <v>74</v>
      </c>
      <c r="AD30" t="s">
        <v>74</v>
      </c>
      <c r="AE30" t="s">
        <v>74</v>
      </c>
      <c r="AF30" t="s">
        <v>74</v>
      </c>
      <c r="AG30" t="s">
        <v>74</v>
      </c>
      <c r="AH30" t="s">
        <v>74</v>
      </c>
      <c r="AI30" t="s">
        <v>74</v>
      </c>
      <c r="AJ30" t="s">
        <v>74</v>
      </c>
      <c r="AK30" t="s">
        <v>74</v>
      </c>
      <c r="AL30" t="s">
        <v>74</v>
      </c>
      <c r="AM30" t="s">
        <v>74</v>
      </c>
      <c r="AN30" t="s">
        <v>74</v>
      </c>
      <c r="AO30" t="s">
        <v>354</v>
      </c>
      <c r="AP30" t="s">
        <v>355</v>
      </c>
      <c r="AQ30" t="s">
        <v>74</v>
      </c>
      <c r="AR30" t="s">
        <v>74</v>
      </c>
      <c r="AS30" t="s">
        <v>74</v>
      </c>
      <c r="AT30" t="s">
        <v>356</v>
      </c>
      <c r="AU30">
        <v>2025</v>
      </c>
      <c r="AV30" t="s">
        <v>74</v>
      </c>
      <c r="AW30" t="s">
        <v>74</v>
      </c>
      <c r="AX30" t="s">
        <v>74</v>
      </c>
      <c r="AY30" t="s">
        <v>74</v>
      </c>
      <c r="AZ30" t="s">
        <v>74</v>
      </c>
      <c r="BA30" t="s">
        <v>74</v>
      </c>
      <c r="BB30" t="s">
        <v>74</v>
      </c>
      <c r="BC30" t="s">
        <v>74</v>
      </c>
      <c r="BD30" t="s">
        <v>74</v>
      </c>
      <c r="BE30" t="s">
        <v>357</v>
      </c>
      <c r="BF30" t="str">
        <f>HYPERLINK("http://dx.doi.org/10.1002/aenm.202502592","http://dx.doi.org/10.1002/aenm.202502592")</f>
        <v>http://dx.doi.org/10.1002/aenm.202502592</v>
      </c>
      <c r="BG30" t="s">
        <v>74</v>
      </c>
      <c r="BH30" t="s">
        <v>208</v>
      </c>
      <c r="BI30" t="s">
        <v>74</v>
      </c>
      <c r="BJ30" t="s">
        <v>74</v>
      </c>
      <c r="BK30" t="s">
        <v>74</v>
      </c>
      <c r="BL30" t="s">
        <v>74</v>
      </c>
      <c r="BM30" t="s">
        <v>74</v>
      </c>
      <c r="BN30" t="s">
        <v>74</v>
      </c>
      <c r="BO30" t="s">
        <v>74</v>
      </c>
      <c r="BP30" t="s">
        <v>74</v>
      </c>
      <c r="BQ30" t="s">
        <v>74</v>
      </c>
      <c r="BR30" t="s">
        <v>74</v>
      </c>
      <c r="BS30" t="s">
        <v>358</v>
      </c>
      <c r="BT30" t="str">
        <f>HYPERLINK("https%3A%2F%2Fwww.webofscience.com%2Fwos%2Fwoscc%2Ffull-record%2FWOS:001521808600001","View Full Record in Web of Science")</f>
        <v>View Full Record in Web of Science</v>
      </c>
    </row>
    <row r="31" spans="1:72" x14ac:dyDescent="0.2">
      <c r="A31" t="s">
        <v>72</v>
      </c>
      <c r="B31" t="s">
        <v>359</v>
      </c>
      <c r="C31" t="s">
        <v>74</v>
      </c>
      <c r="D31" t="s">
        <v>74</v>
      </c>
      <c r="E31" t="s">
        <v>74</v>
      </c>
      <c r="F31" t="s">
        <v>360</v>
      </c>
      <c r="G31" t="s">
        <v>74</v>
      </c>
      <c r="H31" t="s">
        <v>74</v>
      </c>
      <c r="I31" t="s">
        <v>361</v>
      </c>
      <c r="J31" t="s">
        <v>362</v>
      </c>
      <c r="K31" t="s">
        <v>74</v>
      </c>
      <c r="L31" t="s">
        <v>74</v>
      </c>
      <c r="M31" t="s">
        <v>74</v>
      </c>
      <c r="N31" t="s">
        <v>74</v>
      </c>
      <c r="O31" t="s">
        <v>74</v>
      </c>
      <c r="P31" t="s">
        <v>74</v>
      </c>
      <c r="Q31" t="s">
        <v>74</v>
      </c>
      <c r="R31" t="s">
        <v>74</v>
      </c>
      <c r="S31" t="s">
        <v>74</v>
      </c>
      <c r="T31" t="s">
        <v>74</v>
      </c>
      <c r="U31" t="s">
        <v>74</v>
      </c>
      <c r="V31" t="s">
        <v>363</v>
      </c>
      <c r="W31" t="s">
        <v>74</v>
      </c>
      <c r="X31" t="s">
        <v>74</v>
      </c>
      <c r="Y31" t="s">
        <v>74</v>
      </c>
      <c r="Z31" t="s">
        <v>74</v>
      </c>
      <c r="AA31" t="s">
        <v>364</v>
      </c>
      <c r="AB31" t="s">
        <v>365</v>
      </c>
      <c r="AC31" t="s">
        <v>74</v>
      </c>
      <c r="AD31" t="s">
        <v>74</v>
      </c>
      <c r="AE31" t="s">
        <v>74</v>
      </c>
      <c r="AF31" t="s">
        <v>74</v>
      </c>
      <c r="AG31" t="s">
        <v>74</v>
      </c>
      <c r="AH31" t="s">
        <v>74</v>
      </c>
      <c r="AI31" t="s">
        <v>74</v>
      </c>
      <c r="AJ31" t="s">
        <v>74</v>
      </c>
      <c r="AK31" t="s">
        <v>74</v>
      </c>
      <c r="AL31" t="s">
        <v>74</v>
      </c>
      <c r="AM31" t="s">
        <v>74</v>
      </c>
      <c r="AN31" t="s">
        <v>74</v>
      </c>
      <c r="AO31" t="s">
        <v>366</v>
      </c>
      <c r="AP31" t="s">
        <v>367</v>
      </c>
      <c r="AQ31" t="s">
        <v>74</v>
      </c>
      <c r="AR31" t="s">
        <v>74</v>
      </c>
      <c r="AS31" t="s">
        <v>74</v>
      </c>
      <c r="AT31" t="s">
        <v>368</v>
      </c>
      <c r="AU31">
        <v>2025</v>
      </c>
      <c r="AV31">
        <v>36</v>
      </c>
      <c r="AW31">
        <v>7</v>
      </c>
      <c r="AX31" t="s">
        <v>74</v>
      </c>
      <c r="AY31" t="s">
        <v>74</v>
      </c>
      <c r="AZ31" t="s">
        <v>74</v>
      </c>
      <c r="BA31" t="s">
        <v>74</v>
      </c>
      <c r="BB31" t="s">
        <v>74</v>
      </c>
      <c r="BC31" t="s">
        <v>74</v>
      </c>
      <c r="BD31">
        <v>109775</v>
      </c>
      <c r="BE31" t="s">
        <v>369</v>
      </c>
      <c r="BF31" t="str">
        <f>HYPERLINK("http://dx.doi.org/10.1016/j.cclet.2024.109775","http://dx.doi.org/10.1016/j.cclet.2024.109775")</f>
        <v>http://dx.doi.org/10.1016/j.cclet.2024.109775</v>
      </c>
      <c r="BG31" t="s">
        <v>74</v>
      </c>
      <c r="BH31" t="s">
        <v>74</v>
      </c>
      <c r="BI31" t="s">
        <v>74</v>
      </c>
      <c r="BJ31" t="s">
        <v>74</v>
      </c>
      <c r="BK31" t="s">
        <v>74</v>
      </c>
      <c r="BL31" t="s">
        <v>74</v>
      </c>
      <c r="BM31" t="s">
        <v>74</v>
      </c>
      <c r="BN31" t="s">
        <v>74</v>
      </c>
      <c r="BO31" t="s">
        <v>74</v>
      </c>
      <c r="BP31" t="s">
        <v>74</v>
      </c>
      <c r="BQ31" t="s">
        <v>74</v>
      </c>
      <c r="BR31" t="s">
        <v>74</v>
      </c>
      <c r="BS31" t="s">
        <v>370</v>
      </c>
      <c r="BT31" t="str">
        <f>HYPERLINK("https%3A%2F%2Fwww.webofscience.com%2Fwos%2Fwoscc%2Ffull-record%2FWOS:001498927700006","View Full Record in Web of Science")</f>
        <v>View Full Record in Web of Science</v>
      </c>
    </row>
    <row r="32" spans="1:72" x14ac:dyDescent="0.2">
      <c r="A32" t="s">
        <v>72</v>
      </c>
      <c r="B32" t="s">
        <v>371</v>
      </c>
      <c r="C32" t="s">
        <v>74</v>
      </c>
      <c r="D32" t="s">
        <v>74</v>
      </c>
      <c r="E32" t="s">
        <v>74</v>
      </c>
      <c r="F32" t="s">
        <v>372</v>
      </c>
      <c r="G32" t="s">
        <v>74</v>
      </c>
      <c r="H32" t="s">
        <v>74</v>
      </c>
      <c r="I32" t="s">
        <v>373</v>
      </c>
      <c r="J32" t="s">
        <v>374</v>
      </c>
      <c r="K32" t="s">
        <v>74</v>
      </c>
      <c r="L32" t="s">
        <v>74</v>
      </c>
      <c r="M32" t="s">
        <v>74</v>
      </c>
      <c r="N32" t="s">
        <v>74</v>
      </c>
      <c r="O32" t="s">
        <v>74</v>
      </c>
      <c r="P32" t="s">
        <v>74</v>
      </c>
      <c r="Q32" t="s">
        <v>74</v>
      </c>
      <c r="R32" t="s">
        <v>74</v>
      </c>
      <c r="S32" t="s">
        <v>74</v>
      </c>
      <c r="T32" t="s">
        <v>74</v>
      </c>
      <c r="U32" t="s">
        <v>74</v>
      </c>
      <c r="V32" t="s">
        <v>375</v>
      </c>
      <c r="W32" t="s">
        <v>74</v>
      </c>
      <c r="X32" t="s">
        <v>74</v>
      </c>
      <c r="Y32" t="s">
        <v>74</v>
      </c>
      <c r="Z32" t="s">
        <v>74</v>
      </c>
      <c r="AA32" t="s">
        <v>376</v>
      </c>
      <c r="AB32" t="s">
        <v>74</v>
      </c>
      <c r="AC32" t="s">
        <v>74</v>
      </c>
      <c r="AD32" t="s">
        <v>74</v>
      </c>
      <c r="AE32" t="s">
        <v>74</v>
      </c>
      <c r="AF32" t="s">
        <v>74</v>
      </c>
      <c r="AG32" t="s">
        <v>74</v>
      </c>
      <c r="AH32" t="s">
        <v>74</v>
      </c>
      <c r="AI32" t="s">
        <v>74</v>
      </c>
      <c r="AJ32" t="s">
        <v>74</v>
      </c>
      <c r="AK32" t="s">
        <v>74</v>
      </c>
      <c r="AL32" t="s">
        <v>74</v>
      </c>
      <c r="AM32" t="s">
        <v>74</v>
      </c>
      <c r="AN32" t="s">
        <v>74</v>
      </c>
      <c r="AO32" t="s">
        <v>377</v>
      </c>
      <c r="AP32" t="s">
        <v>74</v>
      </c>
      <c r="AQ32" t="s">
        <v>74</v>
      </c>
      <c r="AR32" t="s">
        <v>74</v>
      </c>
      <c r="AS32" t="s">
        <v>74</v>
      </c>
      <c r="AT32" t="s">
        <v>378</v>
      </c>
      <c r="AU32">
        <v>2025</v>
      </c>
      <c r="AV32">
        <v>10</v>
      </c>
      <c r="AW32">
        <v>7</v>
      </c>
      <c r="AX32" t="s">
        <v>74</v>
      </c>
      <c r="AY32" t="s">
        <v>74</v>
      </c>
      <c r="AZ32" t="s">
        <v>74</v>
      </c>
      <c r="BA32" t="s">
        <v>74</v>
      </c>
      <c r="BB32">
        <v>3629</v>
      </c>
      <c r="BC32">
        <v>3637</v>
      </c>
      <c r="BD32" t="s">
        <v>74</v>
      </c>
      <c r="BE32" t="s">
        <v>379</v>
      </c>
      <c r="BF32" t="str">
        <f>HYPERLINK("http://dx.doi.org/10.1021/acsenergylett.5c01343","http://dx.doi.org/10.1021/acsenergylett.5c01343")</f>
        <v>http://dx.doi.org/10.1021/acsenergylett.5c01343</v>
      </c>
      <c r="BG32" t="s">
        <v>74</v>
      </c>
      <c r="BH32" t="s">
        <v>208</v>
      </c>
      <c r="BI32" t="s">
        <v>74</v>
      </c>
      <c r="BJ32" t="s">
        <v>74</v>
      </c>
      <c r="BK32" t="s">
        <v>74</v>
      </c>
      <c r="BL32" t="s">
        <v>74</v>
      </c>
      <c r="BM32" t="s">
        <v>74</v>
      </c>
      <c r="BN32" t="s">
        <v>74</v>
      </c>
      <c r="BO32" t="s">
        <v>74</v>
      </c>
      <c r="BP32" t="s">
        <v>74</v>
      </c>
      <c r="BQ32" t="s">
        <v>74</v>
      </c>
      <c r="BR32" t="s">
        <v>74</v>
      </c>
      <c r="BS32" t="s">
        <v>380</v>
      </c>
      <c r="BT32" t="str">
        <f>HYPERLINK("https%3A%2F%2Fwww.webofscience.com%2Fwos%2Fwoscc%2Ffull-record%2FWOS:001521219400001","View Full Record in Web of Science")</f>
        <v>View Full Record in Web of Science</v>
      </c>
    </row>
    <row r="33" spans="1:72" x14ac:dyDescent="0.2">
      <c r="A33" t="s">
        <v>72</v>
      </c>
      <c r="B33" t="s">
        <v>381</v>
      </c>
      <c r="C33" t="s">
        <v>74</v>
      </c>
      <c r="D33" t="s">
        <v>74</v>
      </c>
      <c r="E33" t="s">
        <v>74</v>
      </c>
      <c r="F33" t="s">
        <v>382</v>
      </c>
      <c r="G33" t="s">
        <v>74</v>
      </c>
      <c r="H33" t="s">
        <v>74</v>
      </c>
      <c r="I33" t="s">
        <v>383</v>
      </c>
      <c r="J33" t="s">
        <v>384</v>
      </c>
      <c r="K33" t="s">
        <v>74</v>
      </c>
      <c r="L33" t="s">
        <v>74</v>
      </c>
      <c r="M33" t="s">
        <v>74</v>
      </c>
      <c r="N33" t="s">
        <v>74</v>
      </c>
      <c r="O33" t="s">
        <v>74</v>
      </c>
      <c r="P33" t="s">
        <v>74</v>
      </c>
      <c r="Q33" t="s">
        <v>74</v>
      </c>
      <c r="R33" t="s">
        <v>74</v>
      </c>
      <c r="S33" t="s">
        <v>74</v>
      </c>
      <c r="T33" t="s">
        <v>74</v>
      </c>
      <c r="U33" t="s">
        <v>74</v>
      </c>
      <c r="V33" t="s">
        <v>385</v>
      </c>
      <c r="W33" t="s">
        <v>74</v>
      </c>
      <c r="X33" t="s">
        <v>74</v>
      </c>
      <c r="Y33" t="s">
        <v>74</v>
      </c>
      <c r="Z33" t="s">
        <v>74</v>
      </c>
      <c r="AA33" t="s">
        <v>74</v>
      </c>
      <c r="AB33" t="s">
        <v>74</v>
      </c>
      <c r="AC33" t="s">
        <v>74</v>
      </c>
      <c r="AD33" t="s">
        <v>74</v>
      </c>
      <c r="AE33" t="s">
        <v>74</v>
      </c>
      <c r="AF33" t="s">
        <v>74</v>
      </c>
      <c r="AG33" t="s">
        <v>74</v>
      </c>
      <c r="AH33" t="s">
        <v>74</v>
      </c>
      <c r="AI33" t="s">
        <v>74</v>
      </c>
      <c r="AJ33" t="s">
        <v>74</v>
      </c>
      <c r="AK33" t="s">
        <v>74</v>
      </c>
      <c r="AL33" t="s">
        <v>74</v>
      </c>
      <c r="AM33" t="s">
        <v>74</v>
      </c>
      <c r="AN33" t="s">
        <v>74</v>
      </c>
      <c r="AO33" t="s">
        <v>386</v>
      </c>
      <c r="AP33" t="s">
        <v>387</v>
      </c>
      <c r="AQ33" t="s">
        <v>74</v>
      </c>
      <c r="AR33" t="s">
        <v>74</v>
      </c>
      <c r="AS33" t="s">
        <v>74</v>
      </c>
      <c r="AT33" t="s">
        <v>368</v>
      </c>
      <c r="AU33">
        <v>2025</v>
      </c>
      <c r="AV33">
        <v>51</v>
      </c>
      <c r="AW33">
        <v>18</v>
      </c>
      <c r="AX33" t="s">
        <v>145</v>
      </c>
      <c r="AY33" t="s">
        <v>74</v>
      </c>
      <c r="AZ33" t="s">
        <v>74</v>
      </c>
      <c r="BA33" t="s">
        <v>74</v>
      </c>
      <c r="BB33">
        <v>26078</v>
      </c>
      <c r="BC33">
        <v>26084</v>
      </c>
      <c r="BD33" t="s">
        <v>74</v>
      </c>
      <c r="BE33" t="s">
        <v>388</v>
      </c>
      <c r="BF33" t="str">
        <f>HYPERLINK("http://dx.doi.org/10.1016/j.ceramint.2025.03.292","http://dx.doi.org/10.1016/j.ceramint.2025.03.292")</f>
        <v>http://dx.doi.org/10.1016/j.ceramint.2025.03.292</v>
      </c>
      <c r="BG33" t="s">
        <v>74</v>
      </c>
      <c r="BH33" t="s">
        <v>74</v>
      </c>
      <c r="BI33" t="s">
        <v>74</v>
      </c>
      <c r="BJ33" t="s">
        <v>74</v>
      </c>
      <c r="BK33" t="s">
        <v>74</v>
      </c>
      <c r="BL33" t="s">
        <v>74</v>
      </c>
      <c r="BM33" t="s">
        <v>74</v>
      </c>
      <c r="BN33" t="s">
        <v>74</v>
      </c>
      <c r="BO33" t="s">
        <v>74</v>
      </c>
      <c r="BP33" t="s">
        <v>74</v>
      </c>
      <c r="BQ33" t="s">
        <v>74</v>
      </c>
      <c r="BR33" t="s">
        <v>74</v>
      </c>
      <c r="BS33" t="s">
        <v>389</v>
      </c>
      <c r="BT33" t="str">
        <f>HYPERLINK("https%3A%2F%2Fwww.webofscience.com%2Fwos%2Fwoscc%2Ffull-record%2FWOS:001532628400001","View Full Record in Web of Science")</f>
        <v>View Full Record in Web of Science</v>
      </c>
    </row>
    <row r="34" spans="1:72" x14ac:dyDescent="0.2">
      <c r="A34" t="s">
        <v>72</v>
      </c>
      <c r="B34" t="s">
        <v>390</v>
      </c>
      <c r="C34" t="s">
        <v>74</v>
      </c>
      <c r="D34" t="s">
        <v>74</v>
      </c>
      <c r="E34" t="s">
        <v>74</v>
      </c>
      <c r="F34" t="s">
        <v>391</v>
      </c>
      <c r="G34" t="s">
        <v>74</v>
      </c>
      <c r="H34" t="s">
        <v>74</v>
      </c>
      <c r="I34" t="s">
        <v>392</v>
      </c>
      <c r="J34" t="s">
        <v>151</v>
      </c>
      <c r="K34" t="s">
        <v>74</v>
      </c>
      <c r="L34" t="s">
        <v>74</v>
      </c>
      <c r="M34" t="s">
        <v>74</v>
      </c>
      <c r="N34" t="s">
        <v>74</v>
      </c>
      <c r="O34" t="s">
        <v>74</v>
      </c>
      <c r="P34" t="s">
        <v>74</v>
      </c>
      <c r="Q34" t="s">
        <v>74</v>
      </c>
      <c r="R34" t="s">
        <v>74</v>
      </c>
      <c r="S34" t="s">
        <v>74</v>
      </c>
      <c r="T34" t="s">
        <v>74</v>
      </c>
      <c r="U34" t="s">
        <v>74</v>
      </c>
      <c r="V34" t="s">
        <v>393</v>
      </c>
      <c r="W34" t="s">
        <v>74</v>
      </c>
      <c r="X34" t="s">
        <v>74</v>
      </c>
      <c r="Y34" t="s">
        <v>74</v>
      </c>
      <c r="Z34" t="s">
        <v>74</v>
      </c>
      <c r="AA34" t="s">
        <v>74</v>
      </c>
      <c r="AB34" t="s">
        <v>74</v>
      </c>
      <c r="AC34" t="s">
        <v>74</v>
      </c>
      <c r="AD34" t="s">
        <v>74</v>
      </c>
      <c r="AE34" t="s">
        <v>74</v>
      </c>
      <c r="AF34" t="s">
        <v>74</v>
      </c>
      <c r="AG34" t="s">
        <v>74</v>
      </c>
      <c r="AH34" t="s">
        <v>74</v>
      </c>
      <c r="AI34" t="s">
        <v>74</v>
      </c>
      <c r="AJ34" t="s">
        <v>74</v>
      </c>
      <c r="AK34" t="s">
        <v>74</v>
      </c>
      <c r="AL34" t="s">
        <v>74</v>
      </c>
      <c r="AM34" t="s">
        <v>74</v>
      </c>
      <c r="AN34" t="s">
        <v>74</v>
      </c>
      <c r="AO34" t="s">
        <v>153</v>
      </c>
      <c r="AP34" t="s">
        <v>154</v>
      </c>
      <c r="AQ34" t="s">
        <v>74</v>
      </c>
      <c r="AR34" t="s">
        <v>74</v>
      </c>
      <c r="AS34" t="s">
        <v>74</v>
      </c>
      <c r="AT34" t="s">
        <v>368</v>
      </c>
      <c r="AU34">
        <v>2025</v>
      </c>
      <c r="AV34">
        <v>80</v>
      </c>
      <c r="AW34" t="s">
        <v>74</v>
      </c>
      <c r="AX34" t="s">
        <v>74</v>
      </c>
      <c r="AY34" t="s">
        <v>74</v>
      </c>
      <c r="AZ34" t="s">
        <v>74</v>
      </c>
      <c r="BA34" t="s">
        <v>74</v>
      </c>
      <c r="BB34" t="s">
        <v>74</v>
      </c>
      <c r="BC34" t="s">
        <v>74</v>
      </c>
      <c r="BD34">
        <v>104389</v>
      </c>
      <c r="BE34" t="s">
        <v>394</v>
      </c>
      <c r="BF34" t="str">
        <f>HYPERLINK("http://dx.doi.org/10.1016/j.ensm.2025.104389","http://dx.doi.org/10.1016/j.ensm.2025.104389")</f>
        <v>http://dx.doi.org/10.1016/j.ensm.2025.104389</v>
      </c>
      <c r="BG34" t="s">
        <v>74</v>
      </c>
      <c r="BH34" t="s">
        <v>74</v>
      </c>
      <c r="BI34" t="s">
        <v>74</v>
      </c>
      <c r="BJ34" t="s">
        <v>74</v>
      </c>
      <c r="BK34" t="s">
        <v>74</v>
      </c>
      <c r="BL34" t="s">
        <v>74</v>
      </c>
      <c r="BM34" t="s">
        <v>74</v>
      </c>
      <c r="BN34" t="s">
        <v>74</v>
      </c>
      <c r="BO34" t="s">
        <v>74</v>
      </c>
      <c r="BP34" t="s">
        <v>74</v>
      </c>
      <c r="BQ34" t="s">
        <v>74</v>
      </c>
      <c r="BR34" t="s">
        <v>74</v>
      </c>
      <c r="BS34" t="s">
        <v>395</v>
      </c>
      <c r="BT34" t="str">
        <f>HYPERLINK("https%3A%2F%2Fwww.webofscience.com%2Fwos%2Fwoscc%2Ffull-record%2FWOS:001511732200002","View Full Record in Web of Science")</f>
        <v>View Full Record in Web of Science</v>
      </c>
    </row>
    <row r="35" spans="1:72" x14ac:dyDescent="0.2">
      <c r="A35" t="s">
        <v>72</v>
      </c>
      <c r="B35" t="s">
        <v>396</v>
      </c>
      <c r="C35" t="s">
        <v>74</v>
      </c>
      <c r="D35" t="s">
        <v>74</v>
      </c>
      <c r="E35" t="s">
        <v>74</v>
      </c>
      <c r="F35" t="s">
        <v>397</v>
      </c>
      <c r="G35" t="s">
        <v>74</v>
      </c>
      <c r="H35" t="s">
        <v>74</v>
      </c>
      <c r="I35" t="s">
        <v>398</v>
      </c>
      <c r="J35" t="s">
        <v>399</v>
      </c>
      <c r="K35" t="s">
        <v>74</v>
      </c>
      <c r="L35" t="s">
        <v>74</v>
      </c>
      <c r="M35" t="s">
        <v>74</v>
      </c>
      <c r="N35" t="s">
        <v>74</v>
      </c>
      <c r="O35" t="s">
        <v>74</v>
      </c>
      <c r="P35" t="s">
        <v>74</v>
      </c>
      <c r="Q35" t="s">
        <v>74</v>
      </c>
      <c r="R35" t="s">
        <v>74</v>
      </c>
      <c r="S35" t="s">
        <v>74</v>
      </c>
      <c r="T35" t="s">
        <v>74</v>
      </c>
      <c r="U35" t="s">
        <v>74</v>
      </c>
      <c r="V35" t="s">
        <v>400</v>
      </c>
      <c r="W35" t="s">
        <v>74</v>
      </c>
      <c r="X35" t="s">
        <v>74</v>
      </c>
      <c r="Y35" t="s">
        <v>74</v>
      </c>
      <c r="Z35" t="s">
        <v>74</v>
      </c>
      <c r="AA35" t="s">
        <v>401</v>
      </c>
      <c r="AB35" t="s">
        <v>74</v>
      </c>
      <c r="AC35" t="s">
        <v>74</v>
      </c>
      <c r="AD35" t="s">
        <v>74</v>
      </c>
      <c r="AE35" t="s">
        <v>74</v>
      </c>
      <c r="AF35" t="s">
        <v>74</v>
      </c>
      <c r="AG35" t="s">
        <v>74</v>
      </c>
      <c r="AH35" t="s">
        <v>74</v>
      </c>
      <c r="AI35" t="s">
        <v>74</v>
      </c>
      <c r="AJ35" t="s">
        <v>74</v>
      </c>
      <c r="AK35" t="s">
        <v>74</v>
      </c>
      <c r="AL35" t="s">
        <v>74</v>
      </c>
      <c r="AM35" t="s">
        <v>74</v>
      </c>
      <c r="AN35" t="s">
        <v>74</v>
      </c>
      <c r="AO35" t="s">
        <v>402</v>
      </c>
      <c r="AP35" t="s">
        <v>403</v>
      </c>
      <c r="AQ35" t="s">
        <v>74</v>
      </c>
      <c r="AR35" t="s">
        <v>74</v>
      </c>
      <c r="AS35" t="s">
        <v>74</v>
      </c>
      <c r="AT35" t="s">
        <v>404</v>
      </c>
      <c r="AU35">
        <v>2025</v>
      </c>
      <c r="AV35">
        <v>147</v>
      </c>
      <c r="AW35">
        <v>27</v>
      </c>
      <c r="AX35" t="s">
        <v>74</v>
      </c>
      <c r="AY35" t="s">
        <v>74</v>
      </c>
      <c r="AZ35" t="s">
        <v>74</v>
      </c>
      <c r="BA35" t="s">
        <v>74</v>
      </c>
      <c r="BB35">
        <v>23931</v>
      </c>
      <c r="BC35">
        <v>23945</v>
      </c>
      <c r="BD35" t="s">
        <v>74</v>
      </c>
      <c r="BE35" t="s">
        <v>405</v>
      </c>
      <c r="BF35" t="str">
        <f>HYPERLINK("http://dx.doi.org/10.1021/jacs.5c06741","http://dx.doi.org/10.1021/jacs.5c06741")</f>
        <v>http://dx.doi.org/10.1021/jacs.5c06741</v>
      </c>
      <c r="BG35" t="s">
        <v>74</v>
      </c>
      <c r="BH35" t="s">
        <v>406</v>
      </c>
      <c r="BI35" t="s">
        <v>74</v>
      </c>
      <c r="BJ35" t="s">
        <v>74</v>
      </c>
      <c r="BK35" t="s">
        <v>74</v>
      </c>
      <c r="BL35" t="s">
        <v>74</v>
      </c>
      <c r="BM35" t="s">
        <v>74</v>
      </c>
      <c r="BN35">
        <v>40583344</v>
      </c>
      <c r="BO35" t="s">
        <v>74</v>
      </c>
      <c r="BP35" t="s">
        <v>74</v>
      </c>
      <c r="BQ35" t="s">
        <v>74</v>
      </c>
      <c r="BR35" t="s">
        <v>74</v>
      </c>
      <c r="BS35" t="s">
        <v>407</v>
      </c>
      <c r="BT35" t="str">
        <f>HYPERLINK("https%3A%2F%2Fwww.webofscience.com%2Fwos%2Fwoscc%2Ffull-record%2FWOS:001520198400001","View Full Record in Web of Science")</f>
        <v>View Full Record in Web of Science</v>
      </c>
    </row>
    <row r="36" spans="1:72" x14ac:dyDescent="0.2">
      <c r="A36" t="s">
        <v>72</v>
      </c>
      <c r="B36" t="s">
        <v>408</v>
      </c>
      <c r="C36" t="s">
        <v>74</v>
      </c>
      <c r="D36" t="s">
        <v>74</v>
      </c>
      <c r="E36" t="s">
        <v>74</v>
      </c>
      <c r="F36" t="s">
        <v>409</v>
      </c>
      <c r="G36" t="s">
        <v>74</v>
      </c>
      <c r="H36" t="s">
        <v>74</v>
      </c>
      <c r="I36" t="s">
        <v>410</v>
      </c>
      <c r="J36" t="s">
        <v>411</v>
      </c>
      <c r="K36" t="s">
        <v>74</v>
      </c>
      <c r="L36" t="s">
        <v>74</v>
      </c>
      <c r="M36" t="s">
        <v>74</v>
      </c>
      <c r="N36" t="s">
        <v>74</v>
      </c>
      <c r="O36" t="s">
        <v>74</v>
      </c>
      <c r="P36" t="s">
        <v>74</v>
      </c>
      <c r="Q36" t="s">
        <v>74</v>
      </c>
      <c r="R36" t="s">
        <v>74</v>
      </c>
      <c r="S36" t="s">
        <v>74</v>
      </c>
      <c r="T36" t="s">
        <v>74</v>
      </c>
      <c r="U36" t="s">
        <v>74</v>
      </c>
      <c r="V36" t="s">
        <v>412</v>
      </c>
      <c r="W36" t="s">
        <v>74</v>
      </c>
      <c r="X36" t="s">
        <v>74</v>
      </c>
      <c r="Y36" t="s">
        <v>74</v>
      </c>
      <c r="Z36" t="s">
        <v>74</v>
      </c>
      <c r="AA36" t="s">
        <v>413</v>
      </c>
      <c r="AB36" t="s">
        <v>74</v>
      </c>
      <c r="AC36" t="s">
        <v>74</v>
      </c>
      <c r="AD36" t="s">
        <v>74</v>
      </c>
      <c r="AE36" t="s">
        <v>74</v>
      </c>
      <c r="AF36" t="s">
        <v>74</v>
      </c>
      <c r="AG36" t="s">
        <v>74</v>
      </c>
      <c r="AH36" t="s">
        <v>74</v>
      </c>
      <c r="AI36" t="s">
        <v>74</v>
      </c>
      <c r="AJ36" t="s">
        <v>74</v>
      </c>
      <c r="AK36" t="s">
        <v>74</v>
      </c>
      <c r="AL36" t="s">
        <v>74</v>
      </c>
      <c r="AM36" t="s">
        <v>74</v>
      </c>
      <c r="AN36" t="s">
        <v>74</v>
      </c>
      <c r="AO36" t="s">
        <v>414</v>
      </c>
      <c r="AP36" t="s">
        <v>415</v>
      </c>
      <c r="AQ36" t="s">
        <v>74</v>
      </c>
      <c r="AR36" t="s">
        <v>74</v>
      </c>
      <c r="AS36" t="s">
        <v>74</v>
      </c>
      <c r="AT36" t="s">
        <v>416</v>
      </c>
      <c r="AU36">
        <v>2025</v>
      </c>
      <c r="AV36" t="s">
        <v>74</v>
      </c>
      <c r="AW36" t="s">
        <v>74</v>
      </c>
      <c r="AX36" t="s">
        <v>74</v>
      </c>
      <c r="AY36" t="s">
        <v>74</v>
      </c>
      <c r="AZ36" t="s">
        <v>74</v>
      </c>
      <c r="BA36" t="s">
        <v>74</v>
      </c>
      <c r="BB36" t="s">
        <v>74</v>
      </c>
      <c r="BC36" t="s">
        <v>74</v>
      </c>
      <c r="BD36" t="s">
        <v>74</v>
      </c>
      <c r="BE36" t="s">
        <v>417</v>
      </c>
      <c r="BF36" t="str">
        <f>HYPERLINK("http://dx.doi.org/10.1002/smll.202503534","http://dx.doi.org/10.1002/smll.202503534")</f>
        <v>http://dx.doi.org/10.1002/smll.202503534</v>
      </c>
      <c r="BG36" t="s">
        <v>74</v>
      </c>
      <c r="BH36" t="s">
        <v>406</v>
      </c>
      <c r="BI36" t="s">
        <v>74</v>
      </c>
      <c r="BJ36" t="s">
        <v>74</v>
      </c>
      <c r="BK36" t="s">
        <v>74</v>
      </c>
      <c r="BL36" t="s">
        <v>74</v>
      </c>
      <c r="BM36" t="s">
        <v>74</v>
      </c>
      <c r="BN36">
        <v>40576503</v>
      </c>
      <c r="BO36" t="s">
        <v>74</v>
      </c>
      <c r="BP36" t="s">
        <v>74</v>
      </c>
      <c r="BQ36" t="s">
        <v>74</v>
      </c>
      <c r="BR36" t="s">
        <v>74</v>
      </c>
      <c r="BS36" t="s">
        <v>418</v>
      </c>
      <c r="BT36" t="str">
        <f>HYPERLINK("https%3A%2F%2Fwww.webofscience.com%2Fwos%2Fwoscc%2Ffull-record%2FWOS:001517936800001","View Full Record in Web of Science")</f>
        <v>View Full Record in Web of Science</v>
      </c>
    </row>
    <row r="37" spans="1:72" x14ac:dyDescent="0.2">
      <c r="A37" t="s">
        <v>72</v>
      </c>
      <c r="B37" t="s">
        <v>419</v>
      </c>
      <c r="C37" t="s">
        <v>74</v>
      </c>
      <c r="D37" t="s">
        <v>74</v>
      </c>
      <c r="E37" t="s">
        <v>74</v>
      </c>
      <c r="F37" t="s">
        <v>420</v>
      </c>
      <c r="G37" t="s">
        <v>74</v>
      </c>
      <c r="H37" t="s">
        <v>74</v>
      </c>
      <c r="I37" t="s">
        <v>421</v>
      </c>
      <c r="J37" t="s">
        <v>422</v>
      </c>
      <c r="K37" t="s">
        <v>74</v>
      </c>
      <c r="L37" t="s">
        <v>74</v>
      </c>
      <c r="M37" t="s">
        <v>74</v>
      </c>
      <c r="N37" t="s">
        <v>74</v>
      </c>
      <c r="O37" t="s">
        <v>74</v>
      </c>
      <c r="P37" t="s">
        <v>74</v>
      </c>
      <c r="Q37" t="s">
        <v>74</v>
      </c>
      <c r="R37" t="s">
        <v>74</v>
      </c>
      <c r="S37" t="s">
        <v>74</v>
      </c>
      <c r="T37" t="s">
        <v>74</v>
      </c>
      <c r="U37" t="s">
        <v>74</v>
      </c>
      <c r="V37" t="s">
        <v>423</v>
      </c>
      <c r="W37" t="s">
        <v>74</v>
      </c>
      <c r="X37" t="s">
        <v>74</v>
      </c>
      <c r="Y37" t="s">
        <v>74</v>
      </c>
      <c r="Z37" t="s">
        <v>74</v>
      </c>
      <c r="AA37" t="s">
        <v>424</v>
      </c>
      <c r="AB37" t="s">
        <v>425</v>
      </c>
      <c r="AC37" t="s">
        <v>74</v>
      </c>
      <c r="AD37" t="s">
        <v>74</v>
      </c>
      <c r="AE37" t="s">
        <v>74</v>
      </c>
      <c r="AF37" t="s">
        <v>74</v>
      </c>
      <c r="AG37" t="s">
        <v>74</v>
      </c>
      <c r="AH37" t="s">
        <v>74</v>
      </c>
      <c r="AI37" t="s">
        <v>74</v>
      </c>
      <c r="AJ37" t="s">
        <v>74</v>
      </c>
      <c r="AK37" t="s">
        <v>74</v>
      </c>
      <c r="AL37" t="s">
        <v>74</v>
      </c>
      <c r="AM37" t="s">
        <v>74</v>
      </c>
      <c r="AN37" t="s">
        <v>74</v>
      </c>
      <c r="AO37" t="s">
        <v>426</v>
      </c>
      <c r="AP37" t="s">
        <v>74</v>
      </c>
      <c r="AQ37" t="s">
        <v>74</v>
      </c>
      <c r="AR37" t="s">
        <v>74</v>
      </c>
      <c r="AS37" t="s">
        <v>74</v>
      </c>
      <c r="AT37" t="s">
        <v>427</v>
      </c>
      <c r="AU37">
        <v>2025</v>
      </c>
      <c r="AV37">
        <v>8</v>
      </c>
      <c r="AW37">
        <v>13</v>
      </c>
      <c r="AX37" t="s">
        <v>74</v>
      </c>
      <c r="AY37" t="s">
        <v>74</v>
      </c>
      <c r="AZ37" t="s">
        <v>74</v>
      </c>
      <c r="BA37" t="s">
        <v>74</v>
      </c>
      <c r="BB37">
        <v>9637</v>
      </c>
      <c r="BC37">
        <v>9645</v>
      </c>
      <c r="BD37" t="s">
        <v>74</v>
      </c>
      <c r="BE37" t="s">
        <v>428</v>
      </c>
      <c r="BF37" t="str">
        <f>HYPERLINK("http://dx.doi.org/10.1021/acsaem.5c01264","http://dx.doi.org/10.1021/acsaem.5c01264")</f>
        <v>http://dx.doi.org/10.1021/acsaem.5c01264</v>
      </c>
      <c r="BG37" t="s">
        <v>74</v>
      </c>
      <c r="BH37" t="s">
        <v>74</v>
      </c>
      <c r="BI37" t="s">
        <v>74</v>
      </c>
      <c r="BJ37" t="s">
        <v>74</v>
      </c>
      <c r="BK37" t="s">
        <v>74</v>
      </c>
      <c r="BL37" t="s">
        <v>74</v>
      </c>
      <c r="BM37" t="s">
        <v>74</v>
      </c>
      <c r="BN37" t="s">
        <v>74</v>
      </c>
      <c r="BO37" t="s">
        <v>74</v>
      </c>
      <c r="BP37" t="s">
        <v>74</v>
      </c>
      <c r="BQ37" t="s">
        <v>74</v>
      </c>
      <c r="BR37" t="s">
        <v>74</v>
      </c>
      <c r="BS37" t="s">
        <v>429</v>
      </c>
      <c r="BT37" t="str">
        <f>HYPERLINK("https%3A%2F%2Fwww.webofscience.com%2Fwos%2Fwoscc%2Ffull-record%2FWOS:001528497300001","View Full Record in Web of Science")</f>
        <v>View Full Record in Web of Science</v>
      </c>
    </row>
    <row r="38" spans="1:72" x14ac:dyDescent="0.2">
      <c r="A38" t="s">
        <v>72</v>
      </c>
      <c r="B38" t="s">
        <v>430</v>
      </c>
      <c r="C38" t="s">
        <v>74</v>
      </c>
      <c r="D38" t="s">
        <v>74</v>
      </c>
      <c r="E38" t="s">
        <v>74</v>
      </c>
      <c r="F38" t="s">
        <v>431</v>
      </c>
      <c r="G38" t="s">
        <v>74</v>
      </c>
      <c r="H38" t="s">
        <v>74</v>
      </c>
      <c r="I38" t="s">
        <v>432</v>
      </c>
      <c r="J38" t="s">
        <v>433</v>
      </c>
      <c r="K38" t="s">
        <v>74</v>
      </c>
      <c r="L38" t="s">
        <v>74</v>
      </c>
      <c r="M38" t="s">
        <v>74</v>
      </c>
      <c r="N38" t="s">
        <v>74</v>
      </c>
      <c r="O38" t="s">
        <v>74</v>
      </c>
      <c r="P38" t="s">
        <v>74</v>
      </c>
      <c r="Q38" t="s">
        <v>74</v>
      </c>
      <c r="R38" t="s">
        <v>74</v>
      </c>
      <c r="S38" t="s">
        <v>74</v>
      </c>
      <c r="T38" t="s">
        <v>74</v>
      </c>
      <c r="U38" t="s">
        <v>74</v>
      </c>
      <c r="V38" t="s">
        <v>434</v>
      </c>
      <c r="W38" t="s">
        <v>74</v>
      </c>
      <c r="X38" t="s">
        <v>74</v>
      </c>
      <c r="Y38" t="s">
        <v>74</v>
      </c>
      <c r="Z38" t="s">
        <v>74</v>
      </c>
      <c r="AA38" t="s">
        <v>74</v>
      </c>
      <c r="AB38" t="s">
        <v>74</v>
      </c>
      <c r="AC38" t="s">
        <v>74</v>
      </c>
      <c r="AD38" t="s">
        <v>74</v>
      </c>
      <c r="AE38" t="s">
        <v>74</v>
      </c>
      <c r="AF38" t="s">
        <v>74</v>
      </c>
      <c r="AG38" t="s">
        <v>74</v>
      </c>
      <c r="AH38" t="s">
        <v>74</v>
      </c>
      <c r="AI38" t="s">
        <v>74</v>
      </c>
      <c r="AJ38" t="s">
        <v>74</v>
      </c>
      <c r="AK38" t="s">
        <v>74</v>
      </c>
      <c r="AL38" t="s">
        <v>74</v>
      </c>
      <c r="AM38" t="s">
        <v>74</v>
      </c>
      <c r="AN38" t="s">
        <v>74</v>
      </c>
      <c r="AO38" t="s">
        <v>435</v>
      </c>
      <c r="AP38" t="s">
        <v>436</v>
      </c>
      <c r="AQ38" t="s">
        <v>74</v>
      </c>
      <c r="AR38" t="s">
        <v>74</v>
      </c>
      <c r="AS38" t="s">
        <v>74</v>
      </c>
      <c r="AT38" t="s">
        <v>437</v>
      </c>
      <c r="AU38">
        <v>2025</v>
      </c>
      <c r="AV38">
        <v>1034</v>
      </c>
      <c r="AW38" t="s">
        <v>74</v>
      </c>
      <c r="AX38" t="s">
        <v>74</v>
      </c>
      <c r="AY38" t="s">
        <v>74</v>
      </c>
      <c r="AZ38" t="s">
        <v>74</v>
      </c>
      <c r="BA38" t="s">
        <v>74</v>
      </c>
      <c r="BB38" t="s">
        <v>74</v>
      </c>
      <c r="BC38" t="s">
        <v>74</v>
      </c>
      <c r="BD38">
        <v>181419</v>
      </c>
      <c r="BE38" t="s">
        <v>438</v>
      </c>
      <c r="BF38" t="str">
        <f>HYPERLINK("http://dx.doi.org/10.1016/j.jallcom.2025.181419","http://dx.doi.org/10.1016/j.jallcom.2025.181419")</f>
        <v>http://dx.doi.org/10.1016/j.jallcom.2025.181419</v>
      </c>
      <c r="BG38" t="s">
        <v>74</v>
      </c>
      <c r="BH38" t="s">
        <v>74</v>
      </c>
      <c r="BI38" t="s">
        <v>74</v>
      </c>
      <c r="BJ38" t="s">
        <v>74</v>
      </c>
      <c r="BK38" t="s">
        <v>74</v>
      </c>
      <c r="BL38" t="s">
        <v>74</v>
      </c>
      <c r="BM38" t="s">
        <v>74</v>
      </c>
      <c r="BN38" t="s">
        <v>74</v>
      </c>
      <c r="BO38" t="s">
        <v>74</v>
      </c>
      <c r="BP38" t="s">
        <v>74</v>
      </c>
      <c r="BQ38" t="s">
        <v>74</v>
      </c>
      <c r="BR38" t="s">
        <v>74</v>
      </c>
      <c r="BS38" t="s">
        <v>439</v>
      </c>
      <c r="BT38" t="str">
        <f>HYPERLINK("https%3A%2F%2Fwww.webofscience.com%2Fwos%2Fwoscc%2Ffull-record%2FWOS:001510929600003","View Full Record in Web of Science")</f>
        <v>View Full Record in Web of Science</v>
      </c>
    </row>
    <row r="39" spans="1:72" x14ac:dyDescent="0.2">
      <c r="A39" t="s">
        <v>72</v>
      </c>
      <c r="B39" t="s">
        <v>440</v>
      </c>
      <c r="C39" t="s">
        <v>74</v>
      </c>
      <c r="D39" t="s">
        <v>74</v>
      </c>
      <c r="E39" t="s">
        <v>74</v>
      </c>
      <c r="F39" t="s">
        <v>441</v>
      </c>
      <c r="G39" t="s">
        <v>74</v>
      </c>
      <c r="H39" t="s">
        <v>74</v>
      </c>
      <c r="I39" t="s">
        <v>442</v>
      </c>
      <c r="J39" t="s">
        <v>191</v>
      </c>
      <c r="K39" t="s">
        <v>74</v>
      </c>
      <c r="L39" t="s">
        <v>74</v>
      </c>
      <c r="M39" t="s">
        <v>74</v>
      </c>
      <c r="N39" t="s">
        <v>74</v>
      </c>
      <c r="O39" t="s">
        <v>74</v>
      </c>
      <c r="P39" t="s">
        <v>74</v>
      </c>
      <c r="Q39" t="s">
        <v>74</v>
      </c>
      <c r="R39" t="s">
        <v>74</v>
      </c>
      <c r="S39" t="s">
        <v>74</v>
      </c>
      <c r="T39" t="s">
        <v>74</v>
      </c>
      <c r="U39" t="s">
        <v>74</v>
      </c>
      <c r="V39" t="s">
        <v>443</v>
      </c>
      <c r="W39" t="s">
        <v>74</v>
      </c>
      <c r="X39" t="s">
        <v>74</v>
      </c>
      <c r="Y39" t="s">
        <v>74</v>
      </c>
      <c r="Z39" t="s">
        <v>74</v>
      </c>
      <c r="AA39" t="s">
        <v>444</v>
      </c>
      <c r="AB39" t="s">
        <v>445</v>
      </c>
      <c r="AC39" t="s">
        <v>74</v>
      </c>
      <c r="AD39" t="s">
        <v>74</v>
      </c>
      <c r="AE39" t="s">
        <v>74</v>
      </c>
      <c r="AF39" t="s">
        <v>74</v>
      </c>
      <c r="AG39" t="s">
        <v>74</v>
      </c>
      <c r="AH39" t="s">
        <v>74</v>
      </c>
      <c r="AI39" t="s">
        <v>74</v>
      </c>
      <c r="AJ39" t="s">
        <v>74</v>
      </c>
      <c r="AK39" t="s">
        <v>74</v>
      </c>
      <c r="AL39" t="s">
        <v>74</v>
      </c>
      <c r="AM39" t="s">
        <v>74</v>
      </c>
      <c r="AN39" t="s">
        <v>74</v>
      </c>
      <c r="AO39" t="s">
        <v>74</v>
      </c>
      <c r="AP39" t="s">
        <v>194</v>
      </c>
      <c r="AQ39" t="s">
        <v>74</v>
      </c>
      <c r="AR39" t="s">
        <v>74</v>
      </c>
      <c r="AS39" t="s">
        <v>74</v>
      </c>
      <c r="AT39" t="s">
        <v>446</v>
      </c>
      <c r="AU39">
        <v>2025</v>
      </c>
      <c r="AV39" t="s">
        <v>74</v>
      </c>
      <c r="AW39" t="s">
        <v>74</v>
      </c>
      <c r="AX39" t="s">
        <v>74</v>
      </c>
      <c r="AY39" t="s">
        <v>74</v>
      </c>
      <c r="AZ39" t="s">
        <v>74</v>
      </c>
      <c r="BA39" t="s">
        <v>74</v>
      </c>
      <c r="BB39" t="s">
        <v>74</v>
      </c>
      <c r="BC39" t="s">
        <v>74</v>
      </c>
      <c r="BD39" t="s">
        <v>74</v>
      </c>
      <c r="BE39" t="s">
        <v>447</v>
      </c>
      <c r="BF39" t="str">
        <f>HYPERLINK("http://dx.doi.org/10.1002/sstr.202500238","http://dx.doi.org/10.1002/sstr.202500238")</f>
        <v>http://dx.doi.org/10.1002/sstr.202500238</v>
      </c>
      <c r="BG39" t="s">
        <v>74</v>
      </c>
      <c r="BH39" t="s">
        <v>406</v>
      </c>
      <c r="BI39" t="s">
        <v>74</v>
      </c>
      <c r="BJ39" t="s">
        <v>74</v>
      </c>
      <c r="BK39" t="s">
        <v>74</v>
      </c>
      <c r="BL39" t="s">
        <v>74</v>
      </c>
      <c r="BM39" t="s">
        <v>74</v>
      </c>
      <c r="BN39" t="s">
        <v>74</v>
      </c>
      <c r="BO39" t="s">
        <v>74</v>
      </c>
      <c r="BP39" t="s">
        <v>74</v>
      </c>
      <c r="BQ39" t="s">
        <v>74</v>
      </c>
      <c r="BR39" t="s">
        <v>74</v>
      </c>
      <c r="BS39" t="s">
        <v>448</v>
      </c>
      <c r="BT39" t="str">
        <f>HYPERLINK("https%3A%2F%2Fwww.webofscience.com%2Fwos%2Fwoscc%2Ffull-record%2FWOS:001516471000001","View Full Record in Web of Science")</f>
        <v>View Full Record in Web of Science</v>
      </c>
    </row>
    <row r="40" spans="1:72" x14ac:dyDescent="0.2">
      <c r="A40" t="s">
        <v>72</v>
      </c>
      <c r="B40" t="s">
        <v>449</v>
      </c>
      <c r="C40" t="s">
        <v>74</v>
      </c>
      <c r="D40" t="s">
        <v>74</v>
      </c>
      <c r="E40" t="s">
        <v>74</v>
      </c>
      <c r="F40" t="s">
        <v>450</v>
      </c>
      <c r="G40" t="s">
        <v>74</v>
      </c>
      <c r="H40" t="s">
        <v>74</v>
      </c>
      <c r="I40" t="s">
        <v>451</v>
      </c>
      <c r="J40" t="s">
        <v>422</v>
      </c>
      <c r="K40" t="s">
        <v>74</v>
      </c>
      <c r="L40" t="s">
        <v>74</v>
      </c>
      <c r="M40" t="s">
        <v>74</v>
      </c>
      <c r="N40" t="s">
        <v>74</v>
      </c>
      <c r="O40" t="s">
        <v>74</v>
      </c>
      <c r="P40" t="s">
        <v>74</v>
      </c>
      <c r="Q40" t="s">
        <v>74</v>
      </c>
      <c r="R40" t="s">
        <v>74</v>
      </c>
      <c r="S40" t="s">
        <v>74</v>
      </c>
      <c r="T40" t="s">
        <v>74</v>
      </c>
      <c r="U40" t="s">
        <v>74</v>
      </c>
      <c r="V40" t="s">
        <v>452</v>
      </c>
      <c r="W40" t="s">
        <v>74</v>
      </c>
      <c r="X40" t="s">
        <v>74</v>
      </c>
      <c r="Y40" t="s">
        <v>74</v>
      </c>
      <c r="Z40" t="s">
        <v>74</v>
      </c>
      <c r="AA40" t="s">
        <v>453</v>
      </c>
      <c r="AB40" t="s">
        <v>454</v>
      </c>
      <c r="AC40" t="s">
        <v>74</v>
      </c>
      <c r="AD40" t="s">
        <v>74</v>
      </c>
      <c r="AE40" t="s">
        <v>74</v>
      </c>
      <c r="AF40" t="s">
        <v>74</v>
      </c>
      <c r="AG40" t="s">
        <v>74</v>
      </c>
      <c r="AH40" t="s">
        <v>74</v>
      </c>
      <c r="AI40" t="s">
        <v>74</v>
      </c>
      <c r="AJ40" t="s">
        <v>74</v>
      </c>
      <c r="AK40" t="s">
        <v>74</v>
      </c>
      <c r="AL40" t="s">
        <v>74</v>
      </c>
      <c r="AM40" t="s">
        <v>74</v>
      </c>
      <c r="AN40" t="s">
        <v>74</v>
      </c>
      <c r="AO40" t="s">
        <v>426</v>
      </c>
      <c r="AP40" t="s">
        <v>74</v>
      </c>
      <c r="AQ40" t="s">
        <v>74</v>
      </c>
      <c r="AR40" t="s">
        <v>74</v>
      </c>
      <c r="AS40" t="s">
        <v>74</v>
      </c>
      <c r="AT40" t="s">
        <v>437</v>
      </c>
      <c r="AU40">
        <v>2025</v>
      </c>
      <c r="AV40">
        <v>8</v>
      </c>
      <c r="AW40">
        <v>13</v>
      </c>
      <c r="AX40" t="s">
        <v>74</v>
      </c>
      <c r="AY40" t="s">
        <v>74</v>
      </c>
      <c r="AZ40" t="s">
        <v>74</v>
      </c>
      <c r="BA40" t="s">
        <v>74</v>
      </c>
      <c r="BB40">
        <v>9348</v>
      </c>
      <c r="BC40">
        <v>9355</v>
      </c>
      <c r="BD40" t="s">
        <v>74</v>
      </c>
      <c r="BE40" t="s">
        <v>455</v>
      </c>
      <c r="BF40" t="str">
        <f>HYPERLINK("http://dx.doi.org/10.1021/acsaem.5c01006","http://dx.doi.org/10.1021/acsaem.5c01006")</f>
        <v>http://dx.doi.org/10.1021/acsaem.5c01006</v>
      </c>
      <c r="BG40" t="s">
        <v>74</v>
      </c>
      <c r="BH40" t="s">
        <v>406</v>
      </c>
      <c r="BI40" t="s">
        <v>74</v>
      </c>
      <c r="BJ40" t="s">
        <v>74</v>
      </c>
      <c r="BK40" t="s">
        <v>74</v>
      </c>
      <c r="BL40" t="s">
        <v>74</v>
      </c>
      <c r="BM40" t="s">
        <v>74</v>
      </c>
      <c r="BN40" t="s">
        <v>74</v>
      </c>
      <c r="BO40" t="s">
        <v>74</v>
      </c>
      <c r="BP40" t="s">
        <v>74</v>
      </c>
      <c r="BQ40" t="s">
        <v>74</v>
      </c>
      <c r="BR40" t="s">
        <v>74</v>
      </c>
      <c r="BS40" t="s">
        <v>456</v>
      </c>
      <c r="BT40" t="str">
        <f>HYPERLINK("https%3A%2F%2Fwww.webofscience.com%2Fwos%2Fwoscc%2Ffull-record%2FWOS:001517176100001","View Full Record in Web of Science")</f>
        <v>View Full Record in Web of Science</v>
      </c>
    </row>
    <row r="41" spans="1:72" x14ac:dyDescent="0.2">
      <c r="A41" t="s">
        <v>72</v>
      </c>
      <c r="B41" t="s">
        <v>457</v>
      </c>
      <c r="C41" t="s">
        <v>74</v>
      </c>
      <c r="D41" t="s">
        <v>74</v>
      </c>
      <c r="E41" t="s">
        <v>74</v>
      </c>
      <c r="F41" t="s">
        <v>458</v>
      </c>
      <c r="G41" t="s">
        <v>74</v>
      </c>
      <c r="H41" t="s">
        <v>74</v>
      </c>
      <c r="I41" t="s">
        <v>459</v>
      </c>
      <c r="J41" t="s">
        <v>460</v>
      </c>
      <c r="K41" t="s">
        <v>74</v>
      </c>
      <c r="L41" t="s">
        <v>74</v>
      </c>
      <c r="M41" t="s">
        <v>74</v>
      </c>
      <c r="N41" t="s">
        <v>74</v>
      </c>
      <c r="O41" t="s">
        <v>74</v>
      </c>
      <c r="P41" t="s">
        <v>74</v>
      </c>
      <c r="Q41" t="s">
        <v>74</v>
      </c>
      <c r="R41" t="s">
        <v>74</v>
      </c>
      <c r="S41" t="s">
        <v>74</v>
      </c>
      <c r="T41" t="s">
        <v>74</v>
      </c>
      <c r="U41" t="s">
        <v>74</v>
      </c>
      <c r="V41" t="s">
        <v>461</v>
      </c>
      <c r="W41" t="s">
        <v>74</v>
      </c>
      <c r="X41" t="s">
        <v>74</v>
      </c>
      <c r="Y41" t="s">
        <v>74</v>
      </c>
      <c r="Z41" t="s">
        <v>74</v>
      </c>
      <c r="AA41" t="s">
        <v>462</v>
      </c>
      <c r="AB41" t="s">
        <v>74</v>
      </c>
      <c r="AC41" t="s">
        <v>74</v>
      </c>
      <c r="AD41" t="s">
        <v>74</v>
      </c>
      <c r="AE41" t="s">
        <v>74</v>
      </c>
      <c r="AF41" t="s">
        <v>74</v>
      </c>
      <c r="AG41" t="s">
        <v>74</v>
      </c>
      <c r="AH41" t="s">
        <v>74</v>
      </c>
      <c r="AI41" t="s">
        <v>74</v>
      </c>
      <c r="AJ41" t="s">
        <v>74</v>
      </c>
      <c r="AK41" t="s">
        <v>74</v>
      </c>
      <c r="AL41" t="s">
        <v>74</v>
      </c>
      <c r="AM41" t="s">
        <v>74</v>
      </c>
      <c r="AN41" t="s">
        <v>74</v>
      </c>
      <c r="AO41" t="s">
        <v>463</v>
      </c>
      <c r="AP41" t="s">
        <v>464</v>
      </c>
      <c r="AQ41" t="s">
        <v>74</v>
      </c>
      <c r="AR41" t="s">
        <v>74</v>
      </c>
      <c r="AS41" t="s">
        <v>74</v>
      </c>
      <c r="AT41" t="s">
        <v>465</v>
      </c>
      <c r="AU41">
        <v>2025</v>
      </c>
      <c r="AV41">
        <v>234</v>
      </c>
      <c r="AW41" t="s">
        <v>74</v>
      </c>
      <c r="AX41" t="s">
        <v>74</v>
      </c>
      <c r="AY41" t="s">
        <v>74</v>
      </c>
      <c r="AZ41" t="s">
        <v>74</v>
      </c>
      <c r="BA41" t="s">
        <v>74</v>
      </c>
      <c r="BB41" t="s">
        <v>74</v>
      </c>
      <c r="BC41" t="s">
        <v>74</v>
      </c>
      <c r="BD41">
        <v>114016</v>
      </c>
      <c r="BE41" t="s">
        <v>466</v>
      </c>
      <c r="BF41" t="str">
        <f>HYPERLINK("http://dx.doi.org/10.1016/j.eurpolymj.2025.114016","http://dx.doi.org/10.1016/j.eurpolymj.2025.114016")</f>
        <v>http://dx.doi.org/10.1016/j.eurpolymj.2025.114016</v>
      </c>
      <c r="BG41" t="s">
        <v>74</v>
      </c>
      <c r="BH41" t="s">
        <v>74</v>
      </c>
      <c r="BI41" t="s">
        <v>74</v>
      </c>
      <c r="BJ41" t="s">
        <v>74</v>
      </c>
      <c r="BK41" t="s">
        <v>74</v>
      </c>
      <c r="BL41" t="s">
        <v>74</v>
      </c>
      <c r="BM41" t="s">
        <v>74</v>
      </c>
      <c r="BN41" t="s">
        <v>74</v>
      </c>
      <c r="BO41" t="s">
        <v>74</v>
      </c>
      <c r="BP41" t="s">
        <v>74</v>
      </c>
      <c r="BQ41" t="s">
        <v>74</v>
      </c>
      <c r="BR41" t="s">
        <v>74</v>
      </c>
      <c r="BS41" t="s">
        <v>467</v>
      </c>
      <c r="BT41" t="str">
        <f>HYPERLINK("https%3A%2F%2Fwww.webofscience.com%2Fwos%2Fwoscc%2Ffull-record%2FWOS:001498821900001","View Full Record in Web of Science")</f>
        <v>View Full Record in Web of Science</v>
      </c>
    </row>
    <row r="42" spans="1:72" x14ac:dyDescent="0.2">
      <c r="A42" t="s">
        <v>72</v>
      </c>
      <c r="B42" t="s">
        <v>468</v>
      </c>
      <c r="C42" t="s">
        <v>74</v>
      </c>
      <c r="D42" t="s">
        <v>74</v>
      </c>
      <c r="E42" t="s">
        <v>74</v>
      </c>
      <c r="F42" t="s">
        <v>469</v>
      </c>
      <c r="G42" t="s">
        <v>74</v>
      </c>
      <c r="H42" t="s">
        <v>74</v>
      </c>
      <c r="I42" t="s">
        <v>470</v>
      </c>
      <c r="J42" t="s">
        <v>399</v>
      </c>
      <c r="K42" t="s">
        <v>74</v>
      </c>
      <c r="L42" t="s">
        <v>74</v>
      </c>
      <c r="M42" t="s">
        <v>74</v>
      </c>
      <c r="N42" t="s">
        <v>74</v>
      </c>
      <c r="O42" t="s">
        <v>74</v>
      </c>
      <c r="P42" t="s">
        <v>74</v>
      </c>
      <c r="Q42" t="s">
        <v>74</v>
      </c>
      <c r="R42" t="s">
        <v>74</v>
      </c>
      <c r="S42" t="s">
        <v>74</v>
      </c>
      <c r="T42" t="s">
        <v>74</v>
      </c>
      <c r="U42" t="s">
        <v>74</v>
      </c>
      <c r="V42" t="s">
        <v>471</v>
      </c>
      <c r="W42" t="s">
        <v>74</v>
      </c>
      <c r="X42" t="s">
        <v>74</v>
      </c>
      <c r="Y42" t="s">
        <v>74</v>
      </c>
      <c r="Z42" t="s">
        <v>74</v>
      </c>
      <c r="AA42" t="s">
        <v>472</v>
      </c>
      <c r="AB42" t="s">
        <v>473</v>
      </c>
      <c r="AC42" t="s">
        <v>74</v>
      </c>
      <c r="AD42" t="s">
        <v>74</v>
      </c>
      <c r="AE42" t="s">
        <v>74</v>
      </c>
      <c r="AF42" t="s">
        <v>74</v>
      </c>
      <c r="AG42" t="s">
        <v>74</v>
      </c>
      <c r="AH42" t="s">
        <v>74</v>
      </c>
      <c r="AI42" t="s">
        <v>74</v>
      </c>
      <c r="AJ42" t="s">
        <v>74</v>
      </c>
      <c r="AK42" t="s">
        <v>74</v>
      </c>
      <c r="AL42" t="s">
        <v>74</v>
      </c>
      <c r="AM42" t="s">
        <v>74</v>
      </c>
      <c r="AN42" t="s">
        <v>74</v>
      </c>
      <c r="AO42" t="s">
        <v>402</v>
      </c>
      <c r="AP42" t="s">
        <v>403</v>
      </c>
      <c r="AQ42" t="s">
        <v>74</v>
      </c>
      <c r="AR42" t="s">
        <v>74</v>
      </c>
      <c r="AS42" t="s">
        <v>74</v>
      </c>
      <c r="AT42" t="s">
        <v>465</v>
      </c>
      <c r="AU42">
        <v>2025</v>
      </c>
      <c r="AV42">
        <v>147</v>
      </c>
      <c r="AW42">
        <v>26</v>
      </c>
      <c r="AX42" t="s">
        <v>74</v>
      </c>
      <c r="AY42" t="s">
        <v>74</v>
      </c>
      <c r="AZ42" t="s">
        <v>74</v>
      </c>
      <c r="BA42" t="s">
        <v>74</v>
      </c>
      <c r="BB42">
        <v>23331</v>
      </c>
      <c r="BC42">
        <v>23338</v>
      </c>
      <c r="BD42" t="s">
        <v>74</v>
      </c>
      <c r="BE42" t="s">
        <v>474</v>
      </c>
      <c r="BF42" t="str">
        <f>HYPERLINK("http://dx.doi.org/10.1021/jacs.5c08566","http://dx.doi.org/10.1021/jacs.5c08566")</f>
        <v>http://dx.doi.org/10.1021/jacs.5c08566</v>
      </c>
      <c r="BG42" t="s">
        <v>74</v>
      </c>
      <c r="BH42" t="s">
        <v>406</v>
      </c>
      <c r="BI42" t="s">
        <v>74</v>
      </c>
      <c r="BJ42" t="s">
        <v>74</v>
      </c>
      <c r="BK42" t="s">
        <v>74</v>
      </c>
      <c r="BL42" t="s">
        <v>74</v>
      </c>
      <c r="BM42" t="s">
        <v>74</v>
      </c>
      <c r="BN42">
        <v>40545637</v>
      </c>
      <c r="BO42" t="s">
        <v>74</v>
      </c>
      <c r="BP42" t="s">
        <v>74</v>
      </c>
      <c r="BQ42" t="s">
        <v>74</v>
      </c>
      <c r="BR42" t="s">
        <v>74</v>
      </c>
      <c r="BS42" t="s">
        <v>475</v>
      </c>
      <c r="BT42" t="str">
        <f>HYPERLINK("https%3A%2F%2Fwww.webofscience.com%2Fwos%2Fwoscc%2Ffull-record%2FWOS:001518559300001","View Full Record in Web of Science")</f>
        <v>View Full Record in Web of Science</v>
      </c>
    </row>
    <row r="43" spans="1:72" x14ac:dyDescent="0.2">
      <c r="A43" t="s">
        <v>72</v>
      </c>
      <c r="B43" t="s">
        <v>476</v>
      </c>
      <c r="C43" t="s">
        <v>74</v>
      </c>
      <c r="D43" t="s">
        <v>74</v>
      </c>
      <c r="E43" t="s">
        <v>74</v>
      </c>
      <c r="F43" t="s">
        <v>477</v>
      </c>
      <c r="G43" t="s">
        <v>74</v>
      </c>
      <c r="H43" t="s">
        <v>74</v>
      </c>
      <c r="I43" t="s">
        <v>478</v>
      </c>
      <c r="J43" t="s">
        <v>352</v>
      </c>
      <c r="K43" t="s">
        <v>74</v>
      </c>
      <c r="L43" t="s">
        <v>74</v>
      </c>
      <c r="M43" t="s">
        <v>74</v>
      </c>
      <c r="N43" t="s">
        <v>74</v>
      </c>
      <c r="O43" t="s">
        <v>74</v>
      </c>
      <c r="P43" t="s">
        <v>74</v>
      </c>
      <c r="Q43" t="s">
        <v>74</v>
      </c>
      <c r="R43" t="s">
        <v>74</v>
      </c>
      <c r="S43" t="s">
        <v>74</v>
      </c>
      <c r="T43" t="s">
        <v>74</v>
      </c>
      <c r="U43" t="s">
        <v>74</v>
      </c>
      <c r="V43" t="s">
        <v>479</v>
      </c>
      <c r="W43" t="s">
        <v>74</v>
      </c>
      <c r="X43" t="s">
        <v>74</v>
      </c>
      <c r="Y43" t="s">
        <v>74</v>
      </c>
      <c r="Z43" t="s">
        <v>74</v>
      </c>
      <c r="AA43" t="s">
        <v>480</v>
      </c>
      <c r="AB43" t="s">
        <v>481</v>
      </c>
      <c r="AC43" t="s">
        <v>74</v>
      </c>
      <c r="AD43" t="s">
        <v>74</v>
      </c>
      <c r="AE43" t="s">
        <v>74</v>
      </c>
      <c r="AF43" t="s">
        <v>74</v>
      </c>
      <c r="AG43" t="s">
        <v>74</v>
      </c>
      <c r="AH43" t="s">
        <v>74</v>
      </c>
      <c r="AI43" t="s">
        <v>74</v>
      </c>
      <c r="AJ43" t="s">
        <v>74</v>
      </c>
      <c r="AK43" t="s">
        <v>74</v>
      </c>
      <c r="AL43" t="s">
        <v>74</v>
      </c>
      <c r="AM43" t="s">
        <v>74</v>
      </c>
      <c r="AN43" t="s">
        <v>74</v>
      </c>
      <c r="AO43" t="s">
        <v>354</v>
      </c>
      <c r="AP43" t="s">
        <v>355</v>
      </c>
      <c r="AQ43" t="s">
        <v>74</v>
      </c>
      <c r="AR43" t="s">
        <v>74</v>
      </c>
      <c r="AS43" t="s">
        <v>74</v>
      </c>
      <c r="AT43" t="s">
        <v>482</v>
      </c>
      <c r="AU43">
        <v>2025</v>
      </c>
      <c r="AV43" t="s">
        <v>74</v>
      </c>
      <c r="AW43" t="s">
        <v>74</v>
      </c>
      <c r="AX43" t="s">
        <v>74</v>
      </c>
      <c r="AY43" t="s">
        <v>74</v>
      </c>
      <c r="AZ43" t="s">
        <v>74</v>
      </c>
      <c r="BA43" t="s">
        <v>74</v>
      </c>
      <c r="BB43" t="s">
        <v>74</v>
      </c>
      <c r="BC43" t="s">
        <v>74</v>
      </c>
      <c r="BD43" t="s">
        <v>74</v>
      </c>
      <c r="BE43" t="s">
        <v>483</v>
      </c>
      <c r="BF43" t="str">
        <f>HYPERLINK("http://dx.doi.org/10.1002/aenm.202501074","http://dx.doi.org/10.1002/aenm.202501074")</f>
        <v>http://dx.doi.org/10.1002/aenm.202501074</v>
      </c>
      <c r="BG43" t="s">
        <v>74</v>
      </c>
      <c r="BH43" t="s">
        <v>406</v>
      </c>
      <c r="BI43" t="s">
        <v>74</v>
      </c>
      <c r="BJ43" t="s">
        <v>74</v>
      </c>
      <c r="BK43" t="s">
        <v>74</v>
      </c>
      <c r="BL43" t="s">
        <v>74</v>
      </c>
      <c r="BM43" t="s">
        <v>74</v>
      </c>
      <c r="BN43" t="s">
        <v>74</v>
      </c>
      <c r="BO43" t="s">
        <v>74</v>
      </c>
      <c r="BP43" t="s">
        <v>74</v>
      </c>
      <c r="BQ43" t="s">
        <v>74</v>
      </c>
      <c r="BR43" t="s">
        <v>74</v>
      </c>
      <c r="BS43" t="s">
        <v>484</v>
      </c>
      <c r="BT43" t="str">
        <f>HYPERLINK("https%3A%2F%2Fwww.webofscience.com%2Fwos%2Fwoscc%2Ffull-record%2FWOS:001508674700001","View Full Record in Web of Science")</f>
        <v>View Full Record in Web of Science</v>
      </c>
    </row>
    <row r="44" spans="1:72" x14ac:dyDescent="0.2">
      <c r="A44" t="s">
        <v>72</v>
      </c>
      <c r="B44" t="s">
        <v>485</v>
      </c>
      <c r="C44" t="s">
        <v>74</v>
      </c>
      <c r="D44" t="s">
        <v>74</v>
      </c>
      <c r="E44" t="s">
        <v>74</v>
      </c>
      <c r="F44" t="s">
        <v>486</v>
      </c>
      <c r="G44" t="s">
        <v>74</v>
      </c>
      <c r="H44" t="s">
        <v>74</v>
      </c>
      <c r="I44" t="s">
        <v>487</v>
      </c>
      <c r="J44" t="s">
        <v>488</v>
      </c>
      <c r="K44" t="s">
        <v>74</v>
      </c>
      <c r="L44" t="s">
        <v>74</v>
      </c>
      <c r="M44" t="s">
        <v>74</v>
      </c>
      <c r="N44" t="s">
        <v>74</v>
      </c>
      <c r="O44" t="s">
        <v>74</v>
      </c>
      <c r="P44" t="s">
        <v>74</v>
      </c>
      <c r="Q44" t="s">
        <v>74</v>
      </c>
      <c r="R44" t="s">
        <v>74</v>
      </c>
      <c r="S44" t="s">
        <v>74</v>
      </c>
      <c r="T44" t="s">
        <v>74</v>
      </c>
      <c r="U44" t="s">
        <v>74</v>
      </c>
      <c r="V44" t="s">
        <v>489</v>
      </c>
      <c r="W44" t="s">
        <v>74</v>
      </c>
      <c r="X44" t="s">
        <v>74</v>
      </c>
      <c r="Y44" t="s">
        <v>74</v>
      </c>
      <c r="Z44" t="s">
        <v>74</v>
      </c>
      <c r="AA44" t="s">
        <v>490</v>
      </c>
      <c r="AB44" t="s">
        <v>74</v>
      </c>
      <c r="AC44" t="s">
        <v>74</v>
      </c>
      <c r="AD44" t="s">
        <v>74</v>
      </c>
      <c r="AE44" t="s">
        <v>74</v>
      </c>
      <c r="AF44" t="s">
        <v>74</v>
      </c>
      <c r="AG44" t="s">
        <v>74</v>
      </c>
      <c r="AH44" t="s">
        <v>74</v>
      </c>
      <c r="AI44" t="s">
        <v>74</v>
      </c>
      <c r="AJ44" t="s">
        <v>74</v>
      </c>
      <c r="AK44" t="s">
        <v>74</v>
      </c>
      <c r="AL44" t="s">
        <v>74</v>
      </c>
      <c r="AM44" t="s">
        <v>74</v>
      </c>
      <c r="AN44" t="s">
        <v>74</v>
      </c>
      <c r="AO44" t="s">
        <v>491</v>
      </c>
      <c r="AP44" t="s">
        <v>74</v>
      </c>
      <c r="AQ44" t="s">
        <v>74</v>
      </c>
      <c r="AR44" t="s">
        <v>74</v>
      </c>
      <c r="AS44" t="s">
        <v>74</v>
      </c>
      <c r="AT44" t="s">
        <v>492</v>
      </c>
      <c r="AU44">
        <v>2025</v>
      </c>
      <c r="AV44">
        <v>13</v>
      </c>
      <c r="AW44">
        <v>24</v>
      </c>
      <c r="AX44" t="s">
        <v>74</v>
      </c>
      <c r="AY44" t="s">
        <v>74</v>
      </c>
      <c r="AZ44" t="s">
        <v>74</v>
      </c>
      <c r="BA44" t="s">
        <v>74</v>
      </c>
      <c r="BB44">
        <v>8951</v>
      </c>
      <c r="BC44">
        <v>8958</v>
      </c>
      <c r="BD44" t="s">
        <v>74</v>
      </c>
      <c r="BE44" t="s">
        <v>493</v>
      </c>
      <c r="BF44" t="str">
        <f>HYPERLINK("http://dx.doi.org/10.1021/acssuschemeng.5c00933","http://dx.doi.org/10.1021/acssuschemeng.5c00933")</f>
        <v>http://dx.doi.org/10.1021/acssuschemeng.5c00933</v>
      </c>
      <c r="BG44" t="s">
        <v>74</v>
      </c>
      <c r="BH44" t="s">
        <v>406</v>
      </c>
      <c r="BI44" t="s">
        <v>74</v>
      </c>
      <c r="BJ44" t="s">
        <v>74</v>
      </c>
      <c r="BK44" t="s">
        <v>74</v>
      </c>
      <c r="BL44" t="s">
        <v>74</v>
      </c>
      <c r="BM44" t="s">
        <v>74</v>
      </c>
      <c r="BN44" t="s">
        <v>74</v>
      </c>
      <c r="BO44" t="s">
        <v>74</v>
      </c>
      <c r="BP44" t="s">
        <v>74</v>
      </c>
      <c r="BQ44" t="s">
        <v>74</v>
      </c>
      <c r="BR44" t="s">
        <v>74</v>
      </c>
      <c r="BS44" t="s">
        <v>494</v>
      </c>
      <c r="BT44" t="str">
        <f>HYPERLINK("https%3A%2F%2Fwww.webofscience.com%2Fwos%2Fwoscc%2Ffull-record%2FWOS:001508706300001","View Full Record in Web of Science")</f>
        <v>View Full Record in Web of Science</v>
      </c>
    </row>
    <row r="45" spans="1:72" x14ac:dyDescent="0.2">
      <c r="A45" t="s">
        <v>72</v>
      </c>
      <c r="B45" t="s">
        <v>495</v>
      </c>
      <c r="C45" t="s">
        <v>74</v>
      </c>
      <c r="D45" t="s">
        <v>74</v>
      </c>
      <c r="E45" t="s">
        <v>74</v>
      </c>
      <c r="F45" t="s">
        <v>496</v>
      </c>
      <c r="G45" t="s">
        <v>74</v>
      </c>
      <c r="H45" t="s">
        <v>74</v>
      </c>
      <c r="I45" t="s">
        <v>497</v>
      </c>
      <c r="J45" t="s">
        <v>498</v>
      </c>
      <c r="K45" t="s">
        <v>74</v>
      </c>
      <c r="L45" t="s">
        <v>74</v>
      </c>
      <c r="M45" t="s">
        <v>74</v>
      </c>
      <c r="N45" t="s">
        <v>74</v>
      </c>
      <c r="O45" t="s">
        <v>74</v>
      </c>
      <c r="P45" t="s">
        <v>74</v>
      </c>
      <c r="Q45" t="s">
        <v>74</v>
      </c>
      <c r="R45" t="s">
        <v>74</v>
      </c>
      <c r="S45" t="s">
        <v>74</v>
      </c>
      <c r="T45" t="s">
        <v>74</v>
      </c>
      <c r="U45" t="s">
        <v>74</v>
      </c>
      <c r="V45" t="s">
        <v>499</v>
      </c>
      <c r="W45" t="s">
        <v>74</v>
      </c>
      <c r="X45" t="s">
        <v>74</v>
      </c>
      <c r="Y45" t="s">
        <v>74</v>
      </c>
      <c r="Z45" t="s">
        <v>74</v>
      </c>
      <c r="AA45" t="s">
        <v>500</v>
      </c>
      <c r="AB45" t="s">
        <v>501</v>
      </c>
      <c r="AC45" t="s">
        <v>74</v>
      </c>
      <c r="AD45" t="s">
        <v>74</v>
      </c>
      <c r="AE45" t="s">
        <v>74</v>
      </c>
      <c r="AF45" t="s">
        <v>74</v>
      </c>
      <c r="AG45" t="s">
        <v>74</v>
      </c>
      <c r="AH45" t="s">
        <v>74</v>
      </c>
      <c r="AI45" t="s">
        <v>74</v>
      </c>
      <c r="AJ45" t="s">
        <v>74</v>
      </c>
      <c r="AK45" t="s">
        <v>74</v>
      </c>
      <c r="AL45" t="s">
        <v>74</v>
      </c>
      <c r="AM45" t="s">
        <v>74</v>
      </c>
      <c r="AN45" t="s">
        <v>74</v>
      </c>
      <c r="AO45" t="s">
        <v>502</v>
      </c>
      <c r="AP45" t="s">
        <v>503</v>
      </c>
      <c r="AQ45" t="s">
        <v>74</v>
      </c>
      <c r="AR45" t="s">
        <v>74</v>
      </c>
      <c r="AS45" t="s">
        <v>74</v>
      </c>
      <c r="AT45" t="s">
        <v>504</v>
      </c>
      <c r="AU45">
        <v>2025</v>
      </c>
      <c r="AV45">
        <v>129</v>
      </c>
      <c r="AW45">
        <v>25</v>
      </c>
      <c r="AX45" t="s">
        <v>74</v>
      </c>
      <c r="AY45" t="s">
        <v>74</v>
      </c>
      <c r="AZ45" t="s">
        <v>74</v>
      </c>
      <c r="BA45" t="s">
        <v>74</v>
      </c>
      <c r="BB45">
        <v>11221</v>
      </c>
      <c r="BC45">
        <v>11251</v>
      </c>
      <c r="BD45" t="s">
        <v>74</v>
      </c>
      <c r="BE45" t="s">
        <v>505</v>
      </c>
      <c r="BF45" t="str">
        <f>HYPERLINK("http://dx.doi.org/10.1021/acs.jpcc.5c01331","http://dx.doi.org/10.1021/acs.jpcc.5c01331")</f>
        <v>http://dx.doi.org/10.1021/acs.jpcc.5c01331</v>
      </c>
      <c r="BG45" t="s">
        <v>74</v>
      </c>
      <c r="BH45" t="s">
        <v>406</v>
      </c>
      <c r="BI45" t="s">
        <v>74</v>
      </c>
      <c r="BJ45" t="s">
        <v>74</v>
      </c>
      <c r="BK45" t="s">
        <v>74</v>
      </c>
      <c r="BL45" t="s">
        <v>74</v>
      </c>
      <c r="BM45" t="s">
        <v>74</v>
      </c>
      <c r="BN45" t="s">
        <v>74</v>
      </c>
      <c r="BO45" t="s">
        <v>74</v>
      </c>
      <c r="BP45" t="s">
        <v>74</v>
      </c>
      <c r="BQ45" t="s">
        <v>74</v>
      </c>
      <c r="BR45" t="s">
        <v>74</v>
      </c>
      <c r="BS45" t="s">
        <v>506</v>
      </c>
      <c r="BT45" t="str">
        <f>HYPERLINK("https%3A%2F%2Fwww.webofscience.com%2Fwos%2Fwoscc%2Ffull-record%2FWOS:001510175800001","View Full Record in Web of Science")</f>
        <v>View Full Record in Web of Science</v>
      </c>
    </row>
    <row r="46" spans="1:72" x14ac:dyDescent="0.2">
      <c r="A46" t="s">
        <v>72</v>
      </c>
      <c r="B46" t="s">
        <v>507</v>
      </c>
      <c r="C46" t="s">
        <v>74</v>
      </c>
      <c r="D46" t="s">
        <v>74</v>
      </c>
      <c r="E46" t="s">
        <v>74</v>
      </c>
      <c r="F46" t="s">
        <v>508</v>
      </c>
      <c r="G46" t="s">
        <v>74</v>
      </c>
      <c r="H46" t="s">
        <v>74</v>
      </c>
      <c r="I46" t="s">
        <v>509</v>
      </c>
      <c r="J46" t="s">
        <v>510</v>
      </c>
      <c r="K46" t="s">
        <v>74</v>
      </c>
      <c r="L46" t="s">
        <v>74</v>
      </c>
      <c r="M46" t="s">
        <v>74</v>
      </c>
      <c r="N46" t="s">
        <v>74</v>
      </c>
      <c r="O46" t="s">
        <v>74</v>
      </c>
      <c r="P46" t="s">
        <v>74</v>
      </c>
      <c r="Q46" t="s">
        <v>74</v>
      </c>
      <c r="R46" t="s">
        <v>74</v>
      </c>
      <c r="S46" t="s">
        <v>74</v>
      </c>
      <c r="T46" t="s">
        <v>74</v>
      </c>
      <c r="U46" t="s">
        <v>74</v>
      </c>
      <c r="V46" t="s">
        <v>511</v>
      </c>
      <c r="W46" t="s">
        <v>74</v>
      </c>
      <c r="X46" t="s">
        <v>74</v>
      </c>
      <c r="Y46" t="s">
        <v>74</v>
      </c>
      <c r="Z46" t="s">
        <v>74</v>
      </c>
      <c r="AA46" t="s">
        <v>512</v>
      </c>
      <c r="AB46" t="s">
        <v>74</v>
      </c>
      <c r="AC46" t="s">
        <v>74</v>
      </c>
      <c r="AD46" t="s">
        <v>74</v>
      </c>
      <c r="AE46" t="s">
        <v>74</v>
      </c>
      <c r="AF46" t="s">
        <v>74</v>
      </c>
      <c r="AG46" t="s">
        <v>74</v>
      </c>
      <c r="AH46" t="s">
        <v>74</v>
      </c>
      <c r="AI46" t="s">
        <v>74</v>
      </c>
      <c r="AJ46" t="s">
        <v>74</v>
      </c>
      <c r="AK46" t="s">
        <v>74</v>
      </c>
      <c r="AL46" t="s">
        <v>74</v>
      </c>
      <c r="AM46" t="s">
        <v>74</v>
      </c>
      <c r="AN46" t="s">
        <v>74</v>
      </c>
      <c r="AO46" t="s">
        <v>513</v>
      </c>
      <c r="AP46" t="s">
        <v>74</v>
      </c>
      <c r="AQ46" t="s">
        <v>74</v>
      </c>
      <c r="AR46" t="s">
        <v>74</v>
      </c>
      <c r="AS46" t="s">
        <v>74</v>
      </c>
      <c r="AT46" t="s">
        <v>514</v>
      </c>
      <c r="AU46">
        <v>2025</v>
      </c>
      <c r="AV46">
        <v>46</v>
      </c>
      <c r="AW46">
        <v>6</v>
      </c>
      <c r="AX46" t="s">
        <v>74</v>
      </c>
      <c r="AY46" t="s">
        <v>74</v>
      </c>
      <c r="AZ46" t="s">
        <v>74</v>
      </c>
      <c r="BA46" t="s">
        <v>74</v>
      </c>
      <c r="BB46" t="s">
        <v>74</v>
      </c>
      <c r="BC46" t="s">
        <v>74</v>
      </c>
      <c r="BD46">
        <v>20240185</v>
      </c>
      <c r="BE46" t="s">
        <v>515</v>
      </c>
      <c r="BF46" t="str">
        <f>HYPERLINK("http://dx.doi.org/10.7503/cjcu20240185","http://dx.doi.org/10.7503/cjcu20240185")</f>
        <v>http://dx.doi.org/10.7503/cjcu20240185</v>
      </c>
      <c r="BG46" t="s">
        <v>74</v>
      </c>
      <c r="BH46" t="s">
        <v>74</v>
      </c>
      <c r="BI46" t="s">
        <v>74</v>
      </c>
      <c r="BJ46" t="s">
        <v>74</v>
      </c>
      <c r="BK46" t="s">
        <v>74</v>
      </c>
      <c r="BL46" t="s">
        <v>74</v>
      </c>
      <c r="BM46" t="s">
        <v>74</v>
      </c>
      <c r="BN46" t="s">
        <v>74</v>
      </c>
      <c r="BO46" t="s">
        <v>74</v>
      </c>
      <c r="BP46" t="s">
        <v>74</v>
      </c>
      <c r="BQ46" t="s">
        <v>74</v>
      </c>
      <c r="BR46" t="s">
        <v>74</v>
      </c>
      <c r="BS46" t="s">
        <v>516</v>
      </c>
      <c r="BT46" t="str">
        <f>HYPERLINK("https%3A%2F%2Fwww.webofscience.com%2Fwos%2Fwoscc%2Ffull-record%2FWOS:001523618300003","View Full Record in Web of Science")</f>
        <v>View Full Record in Web of Science</v>
      </c>
    </row>
    <row r="47" spans="1:72" x14ac:dyDescent="0.2">
      <c r="A47" t="s">
        <v>72</v>
      </c>
      <c r="B47" t="s">
        <v>517</v>
      </c>
      <c r="C47" t="s">
        <v>74</v>
      </c>
      <c r="D47" t="s">
        <v>74</v>
      </c>
      <c r="E47" t="s">
        <v>74</v>
      </c>
      <c r="F47" t="s">
        <v>518</v>
      </c>
      <c r="G47" t="s">
        <v>74</v>
      </c>
      <c r="H47" t="s">
        <v>74</v>
      </c>
      <c r="I47" t="s">
        <v>519</v>
      </c>
      <c r="J47" t="s">
        <v>267</v>
      </c>
      <c r="K47" t="s">
        <v>74</v>
      </c>
      <c r="L47" t="s">
        <v>74</v>
      </c>
      <c r="M47" t="s">
        <v>74</v>
      </c>
      <c r="N47" t="s">
        <v>74</v>
      </c>
      <c r="O47" t="s">
        <v>74</v>
      </c>
      <c r="P47" t="s">
        <v>74</v>
      </c>
      <c r="Q47" t="s">
        <v>74</v>
      </c>
      <c r="R47" t="s">
        <v>74</v>
      </c>
      <c r="S47" t="s">
        <v>74</v>
      </c>
      <c r="T47" t="s">
        <v>74</v>
      </c>
      <c r="U47" t="s">
        <v>74</v>
      </c>
      <c r="V47" t="s">
        <v>520</v>
      </c>
      <c r="W47" t="s">
        <v>74</v>
      </c>
      <c r="X47" t="s">
        <v>74</v>
      </c>
      <c r="Y47" t="s">
        <v>74</v>
      </c>
      <c r="Z47" t="s">
        <v>74</v>
      </c>
      <c r="AA47" t="s">
        <v>521</v>
      </c>
      <c r="AB47" t="s">
        <v>74</v>
      </c>
      <c r="AC47" t="s">
        <v>74</v>
      </c>
      <c r="AD47" t="s">
        <v>74</v>
      </c>
      <c r="AE47" t="s">
        <v>74</v>
      </c>
      <c r="AF47" t="s">
        <v>74</v>
      </c>
      <c r="AG47" t="s">
        <v>74</v>
      </c>
      <c r="AH47" t="s">
        <v>74</v>
      </c>
      <c r="AI47" t="s">
        <v>74</v>
      </c>
      <c r="AJ47" t="s">
        <v>74</v>
      </c>
      <c r="AK47" t="s">
        <v>74</v>
      </c>
      <c r="AL47" t="s">
        <v>74</v>
      </c>
      <c r="AM47" t="s">
        <v>74</v>
      </c>
      <c r="AN47" t="s">
        <v>74</v>
      </c>
      <c r="AO47" t="s">
        <v>270</v>
      </c>
      <c r="AP47" t="s">
        <v>271</v>
      </c>
      <c r="AQ47" t="s">
        <v>74</v>
      </c>
      <c r="AR47" t="s">
        <v>74</v>
      </c>
      <c r="AS47" t="s">
        <v>74</v>
      </c>
      <c r="AT47" t="s">
        <v>522</v>
      </c>
      <c r="AU47">
        <v>2025</v>
      </c>
      <c r="AV47" t="s">
        <v>74</v>
      </c>
      <c r="AW47" t="s">
        <v>74</v>
      </c>
      <c r="AX47" t="s">
        <v>74</v>
      </c>
      <c r="AY47" t="s">
        <v>74</v>
      </c>
      <c r="AZ47" t="s">
        <v>74</v>
      </c>
      <c r="BA47" t="s">
        <v>74</v>
      </c>
      <c r="BB47" t="s">
        <v>74</v>
      </c>
      <c r="BC47" t="s">
        <v>74</v>
      </c>
      <c r="BD47" t="s">
        <v>74</v>
      </c>
      <c r="BE47" t="s">
        <v>523</v>
      </c>
      <c r="BF47" t="str">
        <f>HYPERLINK("http://dx.doi.org/10.1002/adfm.202505843","http://dx.doi.org/10.1002/adfm.202505843")</f>
        <v>http://dx.doi.org/10.1002/adfm.202505843</v>
      </c>
      <c r="BG47" t="s">
        <v>74</v>
      </c>
      <c r="BH47" t="s">
        <v>406</v>
      </c>
      <c r="BI47" t="s">
        <v>74</v>
      </c>
      <c r="BJ47" t="s">
        <v>74</v>
      </c>
      <c r="BK47" t="s">
        <v>74</v>
      </c>
      <c r="BL47" t="s">
        <v>74</v>
      </c>
      <c r="BM47" t="s">
        <v>74</v>
      </c>
      <c r="BN47" t="s">
        <v>74</v>
      </c>
      <c r="BO47" t="s">
        <v>74</v>
      </c>
      <c r="BP47" t="s">
        <v>74</v>
      </c>
      <c r="BQ47" t="s">
        <v>74</v>
      </c>
      <c r="BR47" t="s">
        <v>74</v>
      </c>
      <c r="BS47" t="s">
        <v>524</v>
      </c>
      <c r="BT47" t="str">
        <f>HYPERLINK("https%3A%2F%2Fwww.webofscience.com%2Fwos%2Fwoscc%2Ffull-record%2FWOS:001503963900001","View Full Record in Web of Science")</f>
        <v>View Full Record in Web of Science</v>
      </c>
    </row>
    <row r="48" spans="1:72" x14ac:dyDescent="0.2">
      <c r="A48" t="s">
        <v>72</v>
      </c>
      <c r="B48" t="s">
        <v>525</v>
      </c>
      <c r="C48" t="s">
        <v>74</v>
      </c>
      <c r="D48" t="s">
        <v>74</v>
      </c>
      <c r="E48" t="s">
        <v>74</v>
      </c>
      <c r="F48" t="s">
        <v>526</v>
      </c>
      <c r="G48" t="s">
        <v>74</v>
      </c>
      <c r="H48" t="s">
        <v>74</v>
      </c>
      <c r="I48" t="s">
        <v>527</v>
      </c>
      <c r="J48" t="s">
        <v>528</v>
      </c>
      <c r="K48" t="s">
        <v>74</v>
      </c>
      <c r="L48" t="s">
        <v>74</v>
      </c>
      <c r="M48" t="s">
        <v>74</v>
      </c>
      <c r="N48" t="s">
        <v>74</v>
      </c>
      <c r="O48" t="s">
        <v>74</v>
      </c>
      <c r="P48" t="s">
        <v>74</v>
      </c>
      <c r="Q48" t="s">
        <v>74</v>
      </c>
      <c r="R48" t="s">
        <v>74</v>
      </c>
      <c r="S48" t="s">
        <v>74</v>
      </c>
      <c r="T48" t="s">
        <v>74</v>
      </c>
      <c r="U48" t="s">
        <v>74</v>
      </c>
      <c r="V48" t="s">
        <v>529</v>
      </c>
      <c r="W48" t="s">
        <v>74</v>
      </c>
      <c r="X48" t="s">
        <v>74</v>
      </c>
      <c r="Y48" t="s">
        <v>74</v>
      </c>
      <c r="Z48" t="s">
        <v>74</v>
      </c>
      <c r="AA48" t="s">
        <v>530</v>
      </c>
      <c r="AB48" t="s">
        <v>531</v>
      </c>
      <c r="AC48" t="s">
        <v>74</v>
      </c>
      <c r="AD48" t="s">
        <v>74</v>
      </c>
      <c r="AE48" t="s">
        <v>74</v>
      </c>
      <c r="AF48" t="s">
        <v>74</v>
      </c>
      <c r="AG48" t="s">
        <v>74</v>
      </c>
      <c r="AH48" t="s">
        <v>74</v>
      </c>
      <c r="AI48" t="s">
        <v>74</v>
      </c>
      <c r="AJ48" t="s">
        <v>74</v>
      </c>
      <c r="AK48" t="s">
        <v>74</v>
      </c>
      <c r="AL48" t="s">
        <v>74</v>
      </c>
      <c r="AM48" t="s">
        <v>74</v>
      </c>
      <c r="AN48" t="s">
        <v>74</v>
      </c>
      <c r="AO48" t="s">
        <v>532</v>
      </c>
      <c r="AP48" t="s">
        <v>533</v>
      </c>
      <c r="AQ48" t="s">
        <v>74</v>
      </c>
      <c r="AR48" t="s">
        <v>74</v>
      </c>
      <c r="AS48" t="s">
        <v>74</v>
      </c>
      <c r="AT48" t="s">
        <v>534</v>
      </c>
      <c r="AU48">
        <v>2025</v>
      </c>
      <c r="AV48">
        <v>17</v>
      </c>
      <c r="AW48">
        <v>23</v>
      </c>
      <c r="AX48" t="s">
        <v>74</v>
      </c>
      <c r="AY48" t="s">
        <v>74</v>
      </c>
      <c r="AZ48" t="s">
        <v>74</v>
      </c>
      <c r="BA48" t="s">
        <v>74</v>
      </c>
      <c r="BB48">
        <v>33824</v>
      </c>
      <c r="BC48">
        <v>33833</v>
      </c>
      <c r="BD48" t="s">
        <v>74</v>
      </c>
      <c r="BE48" t="s">
        <v>535</v>
      </c>
      <c r="BF48" t="str">
        <f>HYPERLINK("http://dx.doi.org/10.1021/acsami.5c01939","http://dx.doi.org/10.1021/acsami.5c01939")</f>
        <v>http://dx.doi.org/10.1021/acsami.5c01939</v>
      </c>
      <c r="BG48" t="s">
        <v>74</v>
      </c>
      <c r="BH48" t="s">
        <v>406</v>
      </c>
      <c r="BI48" t="s">
        <v>74</v>
      </c>
      <c r="BJ48" t="s">
        <v>74</v>
      </c>
      <c r="BK48" t="s">
        <v>74</v>
      </c>
      <c r="BL48" t="s">
        <v>74</v>
      </c>
      <c r="BM48" t="s">
        <v>74</v>
      </c>
      <c r="BN48">
        <v>40455615</v>
      </c>
      <c r="BO48" t="s">
        <v>74</v>
      </c>
      <c r="BP48" t="s">
        <v>74</v>
      </c>
      <c r="BQ48" t="s">
        <v>74</v>
      </c>
      <c r="BR48" t="s">
        <v>74</v>
      </c>
      <c r="BS48" t="s">
        <v>536</v>
      </c>
      <c r="BT48" t="str">
        <f>HYPERLINK("https%3A%2F%2Fwww.webofscience.com%2Fwos%2Fwoscc%2Ffull-record%2FWOS:001501890300001","View Full Record in Web of Science")</f>
        <v>View Full Record in Web of Science</v>
      </c>
    </row>
    <row r="49" spans="1:72" x14ac:dyDescent="0.2">
      <c r="A49" t="s">
        <v>72</v>
      </c>
      <c r="B49" t="s">
        <v>537</v>
      </c>
      <c r="C49" t="s">
        <v>74</v>
      </c>
      <c r="D49" t="s">
        <v>74</v>
      </c>
      <c r="E49" t="s">
        <v>74</v>
      </c>
      <c r="F49" t="s">
        <v>538</v>
      </c>
      <c r="G49" t="s">
        <v>74</v>
      </c>
      <c r="H49" t="s">
        <v>74</v>
      </c>
      <c r="I49" t="s">
        <v>539</v>
      </c>
      <c r="J49" t="s">
        <v>540</v>
      </c>
      <c r="K49" t="s">
        <v>74</v>
      </c>
      <c r="L49" t="s">
        <v>74</v>
      </c>
      <c r="M49" t="s">
        <v>74</v>
      </c>
      <c r="N49" t="s">
        <v>74</v>
      </c>
      <c r="O49" t="s">
        <v>74</v>
      </c>
      <c r="P49" t="s">
        <v>74</v>
      </c>
      <c r="Q49" t="s">
        <v>74</v>
      </c>
      <c r="R49" t="s">
        <v>74</v>
      </c>
      <c r="S49" t="s">
        <v>74</v>
      </c>
      <c r="T49" t="s">
        <v>74</v>
      </c>
      <c r="U49" t="s">
        <v>74</v>
      </c>
      <c r="V49" t="s">
        <v>541</v>
      </c>
      <c r="W49" t="s">
        <v>74</v>
      </c>
      <c r="X49" t="s">
        <v>74</v>
      </c>
      <c r="Y49" t="s">
        <v>74</v>
      </c>
      <c r="Z49" t="s">
        <v>74</v>
      </c>
      <c r="AA49" t="s">
        <v>542</v>
      </c>
      <c r="AB49" t="s">
        <v>74</v>
      </c>
      <c r="AC49" t="s">
        <v>74</v>
      </c>
      <c r="AD49" t="s">
        <v>74</v>
      </c>
      <c r="AE49" t="s">
        <v>74</v>
      </c>
      <c r="AF49" t="s">
        <v>74</v>
      </c>
      <c r="AG49" t="s">
        <v>74</v>
      </c>
      <c r="AH49" t="s">
        <v>74</v>
      </c>
      <c r="AI49" t="s">
        <v>74</v>
      </c>
      <c r="AJ49" t="s">
        <v>74</v>
      </c>
      <c r="AK49" t="s">
        <v>74</v>
      </c>
      <c r="AL49" t="s">
        <v>74</v>
      </c>
      <c r="AM49" t="s">
        <v>74</v>
      </c>
      <c r="AN49" t="s">
        <v>74</v>
      </c>
      <c r="AO49" t="s">
        <v>543</v>
      </c>
      <c r="AP49" t="s">
        <v>544</v>
      </c>
      <c r="AQ49" t="s">
        <v>74</v>
      </c>
      <c r="AR49" t="s">
        <v>74</v>
      </c>
      <c r="AS49" t="s">
        <v>74</v>
      </c>
      <c r="AT49" t="s">
        <v>545</v>
      </c>
      <c r="AU49">
        <v>2025</v>
      </c>
      <c r="AV49">
        <v>163</v>
      </c>
      <c r="AW49" t="s">
        <v>74</v>
      </c>
      <c r="AX49" t="s">
        <v>74</v>
      </c>
      <c r="AY49" t="s">
        <v>74</v>
      </c>
      <c r="AZ49" t="s">
        <v>74</v>
      </c>
      <c r="BA49" t="s">
        <v>74</v>
      </c>
      <c r="BB49" t="s">
        <v>74</v>
      </c>
      <c r="BC49" t="s">
        <v>74</v>
      </c>
      <c r="BD49">
        <v>107889</v>
      </c>
      <c r="BE49" t="s">
        <v>546</v>
      </c>
      <c r="BF49" t="str">
        <f>HYPERLINK("http://dx.doi.org/10.1016/j.solidstatesciences.2025.107889","http://dx.doi.org/10.1016/j.solidstatesciences.2025.107889")</f>
        <v>http://dx.doi.org/10.1016/j.solidstatesciences.2025.107889</v>
      </c>
      <c r="BG49" t="s">
        <v>74</v>
      </c>
      <c r="BH49" t="s">
        <v>547</v>
      </c>
      <c r="BI49" t="s">
        <v>74</v>
      </c>
      <c r="BJ49" t="s">
        <v>74</v>
      </c>
      <c r="BK49" t="s">
        <v>74</v>
      </c>
      <c r="BL49" t="s">
        <v>74</v>
      </c>
      <c r="BM49" t="s">
        <v>74</v>
      </c>
      <c r="BN49" t="s">
        <v>74</v>
      </c>
      <c r="BO49" t="s">
        <v>74</v>
      </c>
      <c r="BP49" t="s">
        <v>74</v>
      </c>
      <c r="BQ49" t="s">
        <v>74</v>
      </c>
      <c r="BR49" t="s">
        <v>74</v>
      </c>
      <c r="BS49" t="s">
        <v>548</v>
      </c>
      <c r="BT49" t="str">
        <f>HYPERLINK("https%3A%2F%2Fwww.webofscience.com%2Fwos%2Fwoscc%2Ffull-record%2FWOS:001442471400001","View Full Record in Web of Science")</f>
        <v>View Full Record in Web of Science</v>
      </c>
    </row>
    <row r="50" spans="1:72" x14ac:dyDescent="0.2">
      <c r="A50" t="s">
        <v>72</v>
      </c>
      <c r="B50" t="s">
        <v>549</v>
      </c>
      <c r="C50" t="s">
        <v>74</v>
      </c>
      <c r="D50" t="s">
        <v>74</v>
      </c>
      <c r="E50" t="s">
        <v>74</v>
      </c>
      <c r="F50" t="s">
        <v>550</v>
      </c>
      <c r="G50" t="s">
        <v>74</v>
      </c>
      <c r="H50" t="s">
        <v>74</v>
      </c>
      <c r="I50" t="s">
        <v>551</v>
      </c>
      <c r="J50" t="s">
        <v>267</v>
      </c>
      <c r="K50" t="s">
        <v>74</v>
      </c>
      <c r="L50" t="s">
        <v>74</v>
      </c>
      <c r="M50" t="s">
        <v>74</v>
      </c>
      <c r="N50" t="s">
        <v>74</v>
      </c>
      <c r="O50" t="s">
        <v>74</v>
      </c>
      <c r="P50" t="s">
        <v>74</v>
      </c>
      <c r="Q50" t="s">
        <v>74</v>
      </c>
      <c r="R50" t="s">
        <v>74</v>
      </c>
      <c r="S50" t="s">
        <v>74</v>
      </c>
      <c r="T50" t="s">
        <v>74</v>
      </c>
      <c r="U50" t="s">
        <v>74</v>
      </c>
      <c r="V50" t="s">
        <v>552</v>
      </c>
      <c r="W50" t="s">
        <v>74</v>
      </c>
      <c r="X50" t="s">
        <v>74</v>
      </c>
      <c r="Y50" t="s">
        <v>74</v>
      </c>
      <c r="Z50" t="s">
        <v>74</v>
      </c>
      <c r="AA50" t="s">
        <v>553</v>
      </c>
      <c r="AB50" t="s">
        <v>74</v>
      </c>
      <c r="AC50" t="s">
        <v>74</v>
      </c>
      <c r="AD50" t="s">
        <v>74</v>
      </c>
      <c r="AE50" t="s">
        <v>74</v>
      </c>
      <c r="AF50" t="s">
        <v>74</v>
      </c>
      <c r="AG50" t="s">
        <v>74</v>
      </c>
      <c r="AH50" t="s">
        <v>74</v>
      </c>
      <c r="AI50" t="s">
        <v>74</v>
      </c>
      <c r="AJ50" t="s">
        <v>74</v>
      </c>
      <c r="AK50" t="s">
        <v>74</v>
      </c>
      <c r="AL50" t="s">
        <v>74</v>
      </c>
      <c r="AM50" t="s">
        <v>74</v>
      </c>
      <c r="AN50" t="s">
        <v>74</v>
      </c>
      <c r="AO50" t="s">
        <v>270</v>
      </c>
      <c r="AP50" t="s">
        <v>271</v>
      </c>
      <c r="AQ50" t="s">
        <v>74</v>
      </c>
      <c r="AR50" t="s">
        <v>74</v>
      </c>
      <c r="AS50" t="s">
        <v>74</v>
      </c>
      <c r="AT50" t="s">
        <v>554</v>
      </c>
      <c r="AU50">
        <v>2025</v>
      </c>
      <c r="AV50" t="s">
        <v>74</v>
      </c>
      <c r="AW50" t="s">
        <v>74</v>
      </c>
      <c r="AX50" t="s">
        <v>74</v>
      </c>
      <c r="AY50" t="s">
        <v>74</v>
      </c>
      <c r="AZ50" t="s">
        <v>74</v>
      </c>
      <c r="BA50" t="s">
        <v>74</v>
      </c>
      <c r="BB50" t="s">
        <v>74</v>
      </c>
      <c r="BC50" t="s">
        <v>74</v>
      </c>
      <c r="BD50" t="s">
        <v>74</v>
      </c>
      <c r="BE50" t="s">
        <v>555</v>
      </c>
      <c r="BF50" t="str">
        <f>HYPERLINK("http://dx.doi.org/10.1002/adfm.202500255","http://dx.doi.org/10.1002/adfm.202500255")</f>
        <v>http://dx.doi.org/10.1002/adfm.202500255</v>
      </c>
      <c r="BG50" t="s">
        <v>74</v>
      </c>
      <c r="BH50" t="s">
        <v>547</v>
      </c>
      <c r="BI50" t="s">
        <v>74</v>
      </c>
      <c r="BJ50" t="s">
        <v>74</v>
      </c>
      <c r="BK50" t="s">
        <v>74</v>
      </c>
      <c r="BL50" t="s">
        <v>74</v>
      </c>
      <c r="BM50" t="s">
        <v>74</v>
      </c>
      <c r="BN50" t="s">
        <v>74</v>
      </c>
      <c r="BO50" t="s">
        <v>74</v>
      </c>
      <c r="BP50" t="s">
        <v>74</v>
      </c>
      <c r="BQ50" t="s">
        <v>74</v>
      </c>
      <c r="BR50" t="s">
        <v>74</v>
      </c>
      <c r="BS50" t="s">
        <v>556</v>
      </c>
      <c r="BT50" t="str">
        <f>HYPERLINK("https%3A%2F%2Fwww.webofscience.com%2Fwos%2Fwoscc%2Ffull-record%2FWOS:001493584600001","View Full Record in Web of Science")</f>
        <v>View Full Record in Web of Science</v>
      </c>
    </row>
    <row r="51" spans="1:72" x14ac:dyDescent="0.2">
      <c r="A51" t="s">
        <v>72</v>
      </c>
      <c r="B51" t="s">
        <v>557</v>
      </c>
      <c r="C51" t="s">
        <v>74</v>
      </c>
      <c r="D51" t="s">
        <v>74</v>
      </c>
      <c r="E51" t="s">
        <v>74</v>
      </c>
      <c r="F51" t="s">
        <v>558</v>
      </c>
      <c r="G51" t="s">
        <v>74</v>
      </c>
      <c r="H51" t="s">
        <v>74</v>
      </c>
      <c r="I51" t="s">
        <v>559</v>
      </c>
      <c r="J51" t="s">
        <v>560</v>
      </c>
      <c r="K51" t="s">
        <v>74</v>
      </c>
      <c r="L51" t="s">
        <v>74</v>
      </c>
      <c r="M51" t="s">
        <v>74</v>
      </c>
      <c r="N51" t="s">
        <v>74</v>
      </c>
      <c r="O51" t="s">
        <v>74</v>
      </c>
      <c r="P51" t="s">
        <v>74</v>
      </c>
      <c r="Q51" t="s">
        <v>74</v>
      </c>
      <c r="R51" t="s">
        <v>74</v>
      </c>
      <c r="S51" t="s">
        <v>74</v>
      </c>
      <c r="T51" t="s">
        <v>74</v>
      </c>
      <c r="U51" t="s">
        <v>74</v>
      </c>
      <c r="V51" t="s">
        <v>561</v>
      </c>
      <c r="W51" t="s">
        <v>74</v>
      </c>
      <c r="X51" t="s">
        <v>74</v>
      </c>
      <c r="Y51" t="s">
        <v>74</v>
      </c>
      <c r="Z51" t="s">
        <v>74</v>
      </c>
      <c r="AA51" t="s">
        <v>562</v>
      </c>
      <c r="AB51" t="s">
        <v>74</v>
      </c>
      <c r="AC51" t="s">
        <v>74</v>
      </c>
      <c r="AD51" t="s">
        <v>74</v>
      </c>
      <c r="AE51" t="s">
        <v>74</v>
      </c>
      <c r="AF51" t="s">
        <v>74</v>
      </c>
      <c r="AG51" t="s">
        <v>74</v>
      </c>
      <c r="AH51" t="s">
        <v>74</v>
      </c>
      <c r="AI51" t="s">
        <v>74</v>
      </c>
      <c r="AJ51" t="s">
        <v>74</v>
      </c>
      <c r="AK51" t="s">
        <v>74</v>
      </c>
      <c r="AL51" t="s">
        <v>74</v>
      </c>
      <c r="AM51" t="s">
        <v>74</v>
      </c>
      <c r="AN51" t="s">
        <v>74</v>
      </c>
      <c r="AO51" t="s">
        <v>563</v>
      </c>
      <c r="AP51" t="s">
        <v>564</v>
      </c>
      <c r="AQ51" t="s">
        <v>74</v>
      </c>
      <c r="AR51" t="s">
        <v>74</v>
      </c>
      <c r="AS51" t="s">
        <v>74</v>
      </c>
      <c r="AT51" t="s">
        <v>565</v>
      </c>
      <c r="AU51">
        <v>2025</v>
      </c>
      <c r="AV51">
        <v>31</v>
      </c>
      <c r="AW51">
        <v>34</v>
      </c>
      <c r="AX51" t="s">
        <v>74</v>
      </c>
      <c r="AY51" t="s">
        <v>74</v>
      </c>
      <c r="AZ51" t="s">
        <v>74</v>
      </c>
      <c r="BA51" t="s">
        <v>74</v>
      </c>
      <c r="BB51" t="s">
        <v>74</v>
      </c>
      <c r="BC51" t="s">
        <v>74</v>
      </c>
      <c r="BD51" t="s">
        <v>74</v>
      </c>
      <c r="BE51" t="s">
        <v>566</v>
      </c>
      <c r="BF51" t="str">
        <f>HYPERLINK("http://dx.doi.org/10.1002/chem.202500800","http://dx.doi.org/10.1002/chem.202500800")</f>
        <v>http://dx.doi.org/10.1002/chem.202500800</v>
      </c>
      <c r="BG51" t="s">
        <v>74</v>
      </c>
      <c r="BH51" t="s">
        <v>547</v>
      </c>
      <c r="BI51" t="s">
        <v>74</v>
      </c>
      <c r="BJ51" t="s">
        <v>74</v>
      </c>
      <c r="BK51" t="s">
        <v>74</v>
      </c>
      <c r="BL51" t="s">
        <v>74</v>
      </c>
      <c r="BM51" t="s">
        <v>74</v>
      </c>
      <c r="BN51">
        <v>40351145</v>
      </c>
      <c r="BO51" t="s">
        <v>74</v>
      </c>
      <c r="BP51" t="s">
        <v>74</v>
      </c>
      <c r="BQ51" t="s">
        <v>74</v>
      </c>
      <c r="BR51" t="s">
        <v>74</v>
      </c>
      <c r="BS51" t="s">
        <v>567</v>
      </c>
      <c r="BT51" t="str">
        <f>HYPERLINK("https%3A%2F%2Fwww.webofscience.com%2Fwos%2Fwoscc%2Ffull-record%2FWOS:001493411800001","View Full Record in Web of Science")</f>
        <v>View Full Record in Web of Science</v>
      </c>
    </row>
    <row r="52" spans="1:72" x14ac:dyDescent="0.2">
      <c r="A52" t="s">
        <v>72</v>
      </c>
      <c r="B52" t="s">
        <v>568</v>
      </c>
      <c r="C52" t="s">
        <v>74</v>
      </c>
      <c r="D52" t="s">
        <v>74</v>
      </c>
      <c r="E52" t="s">
        <v>74</v>
      </c>
      <c r="F52" t="s">
        <v>569</v>
      </c>
      <c r="G52" t="s">
        <v>74</v>
      </c>
      <c r="H52" t="s">
        <v>74</v>
      </c>
      <c r="I52" t="s">
        <v>570</v>
      </c>
      <c r="J52" t="s">
        <v>231</v>
      </c>
      <c r="K52" t="s">
        <v>74</v>
      </c>
      <c r="L52" t="s">
        <v>74</v>
      </c>
      <c r="M52" t="s">
        <v>74</v>
      </c>
      <c r="N52" t="s">
        <v>74</v>
      </c>
      <c r="O52" t="s">
        <v>74</v>
      </c>
      <c r="P52" t="s">
        <v>74</v>
      </c>
      <c r="Q52" t="s">
        <v>74</v>
      </c>
      <c r="R52" t="s">
        <v>74</v>
      </c>
      <c r="S52" t="s">
        <v>74</v>
      </c>
      <c r="T52" t="s">
        <v>74</v>
      </c>
      <c r="U52" t="s">
        <v>74</v>
      </c>
      <c r="V52" t="s">
        <v>571</v>
      </c>
      <c r="W52" t="s">
        <v>74</v>
      </c>
      <c r="X52" t="s">
        <v>74</v>
      </c>
      <c r="Y52" t="s">
        <v>74</v>
      </c>
      <c r="Z52" t="s">
        <v>74</v>
      </c>
      <c r="AA52" t="s">
        <v>572</v>
      </c>
      <c r="AB52" t="s">
        <v>573</v>
      </c>
      <c r="AC52" t="s">
        <v>74</v>
      </c>
      <c r="AD52" t="s">
        <v>74</v>
      </c>
      <c r="AE52" t="s">
        <v>74</v>
      </c>
      <c r="AF52" t="s">
        <v>74</v>
      </c>
      <c r="AG52" t="s">
        <v>74</v>
      </c>
      <c r="AH52" t="s">
        <v>74</v>
      </c>
      <c r="AI52" t="s">
        <v>74</v>
      </c>
      <c r="AJ52" t="s">
        <v>74</v>
      </c>
      <c r="AK52" t="s">
        <v>74</v>
      </c>
      <c r="AL52" t="s">
        <v>74</v>
      </c>
      <c r="AM52" t="s">
        <v>74</v>
      </c>
      <c r="AN52" t="s">
        <v>74</v>
      </c>
      <c r="AO52" t="s">
        <v>74</v>
      </c>
      <c r="AP52" t="s">
        <v>234</v>
      </c>
      <c r="AQ52" t="s">
        <v>74</v>
      </c>
      <c r="AR52" t="s">
        <v>74</v>
      </c>
      <c r="AS52" t="s">
        <v>74</v>
      </c>
      <c r="AT52" t="s">
        <v>574</v>
      </c>
      <c r="AU52">
        <v>2025</v>
      </c>
      <c r="AV52" t="s">
        <v>74</v>
      </c>
      <c r="AW52" t="s">
        <v>74</v>
      </c>
      <c r="AX52" t="s">
        <v>74</v>
      </c>
      <c r="AY52" t="s">
        <v>74</v>
      </c>
      <c r="AZ52" t="s">
        <v>74</v>
      </c>
      <c r="BA52" t="s">
        <v>74</v>
      </c>
      <c r="BB52" t="s">
        <v>74</v>
      </c>
      <c r="BC52" t="s">
        <v>74</v>
      </c>
      <c r="BD52" t="s">
        <v>74</v>
      </c>
      <c r="BE52" t="s">
        <v>575</v>
      </c>
      <c r="BF52" t="str">
        <f>HYPERLINK("http://dx.doi.org/10.1002/anie.202506036","http://dx.doi.org/10.1002/anie.202506036")</f>
        <v>http://dx.doi.org/10.1002/anie.202506036</v>
      </c>
      <c r="BG52" t="s">
        <v>74</v>
      </c>
      <c r="BH52" t="s">
        <v>547</v>
      </c>
      <c r="BI52" t="s">
        <v>74</v>
      </c>
      <c r="BJ52" t="s">
        <v>74</v>
      </c>
      <c r="BK52" t="s">
        <v>74</v>
      </c>
      <c r="BL52" t="s">
        <v>74</v>
      </c>
      <c r="BM52" t="s">
        <v>74</v>
      </c>
      <c r="BN52">
        <v>40321149</v>
      </c>
      <c r="BO52" t="s">
        <v>74</v>
      </c>
      <c r="BP52" t="s">
        <v>74</v>
      </c>
      <c r="BQ52" t="s">
        <v>74</v>
      </c>
      <c r="BR52" t="s">
        <v>74</v>
      </c>
      <c r="BS52" t="s">
        <v>576</v>
      </c>
      <c r="BT52" t="str">
        <f>HYPERLINK("https%3A%2F%2Fwww.webofscience.com%2Fwos%2Fwoscc%2Ffull-record%2FWOS:001489127400001","View Full Record in Web of Science")</f>
        <v>View Full Record in Web of Science</v>
      </c>
    </row>
    <row r="53" spans="1:72" x14ac:dyDescent="0.2">
      <c r="A53" t="s">
        <v>72</v>
      </c>
      <c r="B53" t="s">
        <v>577</v>
      </c>
      <c r="C53" t="s">
        <v>74</v>
      </c>
      <c r="D53" t="s">
        <v>74</v>
      </c>
      <c r="E53" t="s">
        <v>74</v>
      </c>
      <c r="F53" t="s">
        <v>578</v>
      </c>
      <c r="G53" t="s">
        <v>74</v>
      </c>
      <c r="H53" t="s">
        <v>74</v>
      </c>
      <c r="I53" t="s">
        <v>579</v>
      </c>
      <c r="J53" t="s">
        <v>267</v>
      </c>
      <c r="K53" t="s">
        <v>74</v>
      </c>
      <c r="L53" t="s">
        <v>74</v>
      </c>
      <c r="M53" t="s">
        <v>74</v>
      </c>
      <c r="N53" t="s">
        <v>74</v>
      </c>
      <c r="O53" t="s">
        <v>74</v>
      </c>
      <c r="P53" t="s">
        <v>74</v>
      </c>
      <c r="Q53" t="s">
        <v>74</v>
      </c>
      <c r="R53" t="s">
        <v>74</v>
      </c>
      <c r="S53" t="s">
        <v>74</v>
      </c>
      <c r="T53" t="s">
        <v>74</v>
      </c>
      <c r="U53" t="s">
        <v>74</v>
      </c>
      <c r="V53" t="s">
        <v>580</v>
      </c>
      <c r="W53" t="s">
        <v>74</v>
      </c>
      <c r="X53" t="s">
        <v>74</v>
      </c>
      <c r="Y53" t="s">
        <v>74</v>
      </c>
      <c r="Z53" t="s">
        <v>74</v>
      </c>
      <c r="AA53" t="s">
        <v>581</v>
      </c>
      <c r="AB53" t="s">
        <v>74</v>
      </c>
      <c r="AC53" t="s">
        <v>74</v>
      </c>
      <c r="AD53" t="s">
        <v>74</v>
      </c>
      <c r="AE53" t="s">
        <v>74</v>
      </c>
      <c r="AF53" t="s">
        <v>74</v>
      </c>
      <c r="AG53" t="s">
        <v>74</v>
      </c>
      <c r="AH53" t="s">
        <v>74</v>
      </c>
      <c r="AI53" t="s">
        <v>74</v>
      </c>
      <c r="AJ53" t="s">
        <v>74</v>
      </c>
      <c r="AK53" t="s">
        <v>74</v>
      </c>
      <c r="AL53" t="s">
        <v>74</v>
      </c>
      <c r="AM53" t="s">
        <v>74</v>
      </c>
      <c r="AN53" t="s">
        <v>74</v>
      </c>
      <c r="AO53" t="s">
        <v>270</v>
      </c>
      <c r="AP53" t="s">
        <v>271</v>
      </c>
      <c r="AQ53" t="s">
        <v>74</v>
      </c>
      <c r="AR53" t="s">
        <v>74</v>
      </c>
      <c r="AS53" t="s">
        <v>74</v>
      </c>
      <c r="AT53" t="s">
        <v>574</v>
      </c>
      <c r="AU53">
        <v>2025</v>
      </c>
      <c r="AV53" t="s">
        <v>74</v>
      </c>
      <c r="AW53" t="s">
        <v>74</v>
      </c>
      <c r="AX53" t="s">
        <v>74</v>
      </c>
      <c r="AY53" t="s">
        <v>74</v>
      </c>
      <c r="AZ53" t="s">
        <v>74</v>
      </c>
      <c r="BA53" t="s">
        <v>74</v>
      </c>
      <c r="BB53" t="s">
        <v>74</v>
      </c>
      <c r="BC53" t="s">
        <v>74</v>
      </c>
      <c r="BD53" t="s">
        <v>74</v>
      </c>
      <c r="BE53" t="s">
        <v>582</v>
      </c>
      <c r="BF53" t="str">
        <f>HYPERLINK("http://dx.doi.org/10.1002/adfm.202508225","http://dx.doi.org/10.1002/adfm.202508225")</f>
        <v>http://dx.doi.org/10.1002/adfm.202508225</v>
      </c>
      <c r="BG53" t="s">
        <v>74</v>
      </c>
      <c r="BH53" t="s">
        <v>547</v>
      </c>
      <c r="BI53" t="s">
        <v>74</v>
      </c>
      <c r="BJ53" t="s">
        <v>74</v>
      </c>
      <c r="BK53" t="s">
        <v>74</v>
      </c>
      <c r="BL53" t="s">
        <v>74</v>
      </c>
      <c r="BM53" t="s">
        <v>74</v>
      </c>
      <c r="BN53" t="s">
        <v>74</v>
      </c>
      <c r="BO53" t="s">
        <v>74</v>
      </c>
      <c r="BP53" t="s">
        <v>74</v>
      </c>
      <c r="BQ53" t="s">
        <v>74</v>
      </c>
      <c r="BR53" t="s">
        <v>74</v>
      </c>
      <c r="BS53" t="s">
        <v>583</v>
      </c>
      <c r="BT53" t="str">
        <f>HYPERLINK("https%3A%2F%2Fwww.webofscience.com%2Fwos%2Fwoscc%2Ffull-record%2FWOS:001489196700001","View Full Record in Web of Science")</f>
        <v>View Full Record in Web of Science</v>
      </c>
    </row>
    <row r="54" spans="1:72" x14ac:dyDescent="0.2">
      <c r="A54" t="s">
        <v>72</v>
      </c>
      <c r="B54" t="s">
        <v>584</v>
      </c>
      <c r="C54" t="s">
        <v>74</v>
      </c>
      <c r="D54" t="s">
        <v>74</v>
      </c>
      <c r="E54" t="s">
        <v>74</v>
      </c>
      <c r="F54" t="s">
        <v>585</v>
      </c>
      <c r="G54" t="s">
        <v>74</v>
      </c>
      <c r="H54" t="s">
        <v>74</v>
      </c>
      <c r="I54" t="s">
        <v>586</v>
      </c>
      <c r="J54" t="s">
        <v>587</v>
      </c>
      <c r="K54" t="s">
        <v>74</v>
      </c>
      <c r="L54" t="s">
        <v>74</v>
      </c>
      <c r="M54" t="s">
        <v>74</v>
      </c>
      <c r="N54" t="s">
        <v>74</v>
      </c>
      <c r="O54" t="s">
        <v>74</v>
      </c>
      <c r="P54" t="s">
        <v>74</v>
      </c>
      <c r="Q54" t="s">
        <v>74</v>
      </c>
      <c r="R54" t="s">
        <v>74</v>
      </c>
      <c r="S54" t="s">
        <v>74</v>
      </c>
      <c r="T54" t="s">
        <v>74</v>
      </c>
      <c r="U54" t="s">
        <v>74</v>
      </c>
      <c r="V54" t="s">
        <v>588</v>
      </c>
      <c r="W54" t="s">
        <v>74</v>
      </c>
      <c r="X54" t="s">
        <v>74</v>
      </c>
      <c r="Y54" t="s">
        <v>74</v>
      </c>
      <c r="Z54" t="s">
        <v>74</v>
      </c>
      <c r="AA54" t="s">
        <v>589</v>
      </c>
      <c r="AB54" t="s">
        <v>590</v>
      </c>
      <c r="AC54" t="s">
        <v>74</v>
      </c>
      <c r="AD54" t="s">
        <v>74</v>
      </c>
      <c r="AE54" t="s">
        <v>74</v>
      </c>
      <c r="AF54" t="s">
        <v>74</v>
      </c>
      <c r="AG54" t="s">
        <v>74</v>
      </c>
      <c r="AH54" t="s">
        <v>74</v>
      </c>
      <c r="AI54" t="s">
        <v>74</v>
      </c>
      <c r="AJ54" t="s">
        <v>74</v>
      </c>
      <c r="AK54" t="s">
        <v>74</v>
      </c>
      <c r="AL54" t="s">
        <v>74</v>
      </c>
      <c r="AM54" t="s">
        <v>74</v>
      </c>
      <c r="AN54" t="s">
        <v>74</v>
      </c>
      <c r="AO54" t="s">
        <v>591</v>
      </c>
      <c r="AP54" t="s">
        <v>74</v>
      </c>
      <c r="AQ54" t="s">
        <v>74</v>
      </c>
      <c r="AR54" t="s">
        <v>74</v>
      </c>
      <c r="AS54" t="s">
        <v>74</v>
      </c>
      <c r="AT54" t="s">
        <v>592</v>
      </c>
      <c r="AU54">
        <v>2025</v>
      </c>
      <c r="AV54">
        <v>12</v>
      </c>
      <c r="AW54">
        <v>11</v>
      </c>
      <c r="AX54" t="s">
        <v>74</v>
      </c>
      <c r="AY54" t="s">
        <v>74</v>
      </c>
      <c r="AZ54" t="s">
        <v>74</v>
      </c>
      <c r="BA54" t="s">
        <v>74</v>
      </c>
      <c r="BB54" t="s">
        <v>74</v>
      </c>
      <c r="BC54" t="s">
        <v>74</v>
      </c>
      <c r="BD54" t="s">
        <v>74</v>
      </c>
      <c r="BE54" t="s">
        <v>593</v>
      </c>
      <c r="BF54" t="str">
        <f>HYPERLINK("http://dx.doi.org/10.1002/celc.202500011","http://dx.doi.org/10.1002/celc.202500011")</f>
        <v>http://dx.doi.org/10.1002/celc.202500011</v>
      </c>
      <c r="BG54" t="s">
        <v>74</v>
      </c>
      <c r="BH54" t="s">
        <v>547</v>
      </c>
      <c r="BI54" t="s">
        <v>74</v>
      </c>
      <c r="BJ54" t="s">
        <v>74</v>
      </c>
      <c r="BK54" t="s">
        <v>74</v>
      </c>
      <c r="BL54" t="s">
        <v>74</v>
      </c>
      <c r="BM54" t="s">
        <v>74</v>
      </c>
      <c r="BN54" t="s">
        <v>74</v>
      </c>
      <c r="BO54" t="s">
        <v>74</v>
      </c>
      <c r="BP54" t="s">
        <v>74</v>
      </c>
      <c r="BQ54" t="s">
        <v>74</v>
      </c>
      <c r="BR54" t="s">
        <v>74</v>
      </c>
      <c r="BS54" t="s">
        <v>594</v>
      </c>
      <c r="BT54" t="str">
        <f>HYPERLINK("https%3A%2F%2Fwww.webofscience.com%2Fwos%2Fwoscc%2Ffull-record%2FWOS:001488052300001","View Full Record in Web of Science")</f>
        <v>View Full Record in Web of Science</v>
      </c>
    </row>
    <row r="55" spans="1:72" x14ac:dyDescent="0.2">
      <c r="A55" t="s">
        <v>72</v>
      </c>
      <c r="B55" t="s">
        <v>595</v>
      </c>
      <c r="C55" t="s">
        <v>74</v>
      </c>
      <c r="D55" t="s">
        <v>74</v>
      </c>
      <c r="E55" t="s">
        <v>74</v>
      </c>
      <c r="F55" t="s">
        <v>596</v>
      </c>
      <c r="G55" t="s">
        <v>74</v>
      </c>
      <c r="H55" t="s">
        <v>74</v>
      </c>
      <c r="I55" t="s">
        <v>597</v>
      </c>
      <c r="J55" t="s">
        <v>598</v>
      </c>
      <c r="K55" t="s">
        <v>74</v>
      </c>
      <c r="L55" t="s">
        <v>74</v>
      </c>
      <c r="M55" t="s">
        <v>74</v>
      </c>
      <c r="N55" t="s">
        <v>74</v>
      </c>
      <c r="O55" t="s">
        <v>74</v>
      </c>
      <c r="P55" t="s">
        <v>74</v>
      </c>
      <c r="Q55" t="s">
        <v>74</v>
      </c>
      <c r="R55" t="s">
        <v>74</v>
      </c>
      <c r="S55" t="s">
        <v>74</v>
      </c>
      <c r="T55" t="s">
        <v>74</v>
      </c>
      <c r="U55" t="s">
        <v>74</v>
      </c>
      <c r="V55" t="s">
        <v>599</v>
      </c>
      <c r="W55" t="s">
        <v>74</v>
      </c>
      <c r="X55" t="s">
        <v>74</v>
      </c>
      <c r="Y55" t="s">
        <v>74</v>
      </c>
      <c r="Z55" t="s">
        <v>74</v>
      </c>
      <c r="AA55" t="s">
        <v>74</v>
      </c>
      <c r="AB55" t="s">
        <v>600</v>
      </c>
      <c r="AC55" t="s">
        <v>74</v>
      </c>
      <c r="AD55" t="s">
        <v>74</v>
      </c>
      <c r="AE55" t="s">
        <v>74</v>
      </c>
      <c r="AF55" t="s">
        <v>74</v>
      </c>
      <c r="AG55" t="s">
        <v>74</v>
      </c>
      <c r="AH55" t="s">
        <v>74</v>
      </c>
      <c r="AI55" t="s">
        <v>74</v>
      </c>
      <c r="AJ55" t="s">
        <v>74</v>
      </c>
      <c r="AK55" t="s">
        <v>74</v>
      </c>
      <c r="AL55" t="s">
        <v>74</v>
      </c>
      <c r="AM55" t="s">
        <v>74</v>
      </c>
      <c r="AN55" t="s">
        <v>74</v>
      </c>
      <c r="AO55" t="s">
        <v>601</v>
      </c>
      <c r="AP55" t="s">
        <v>602</v>
      </c>
      <c r="AQ55" t="s">
        <v>74</v>
      </c>
      <c r="AR55" t="s">
        <v>74</v>
      </c>
      <c r="AS55" t="s">
        <v>74</v>
      </c>
      <c r="AT55" t="s">
        <v>603</v>
      </c>
      <c r="AU55">
        <v>2025</v>
      </c>
      <c r="AV55" t="s">
        <v>74</v>
      </c>
      <c r="AW55" t="s">
        <v>74</v>
      </c>
      <c r="AX55" t="s">
        <v>74</v>
      </c>
      <c r="AY55" t="s">
        <v>74</v>
      </c>
      <c r="AZ55" t="s">
        <v>74</v>
      </c>
      <c r="BA55" t="s">
        <v>74</v>
      </c>
      <c r="BB55" t="s">
        <v>74</v>
      </c>
      <c r="BC55" t="s">
        <v>74</v>
      </c>
      <c r="BD55" t="s">
        <v>74</v>
      </c>
      <c r="BE55" t="s">
        <v>604</v>
      </c>
      <c r="BF55" t="str">
        <f>HYPERLINK("http://dx.doi.org/10.1002/cssc.202500154","http://dx.doi.org/10.1002/cssc.202500154")</f>
        <v>http://dx.doi.org/10.1002/cssc.202500154</v>
      </c>
      <c r="BG55" t="s">
        <v>74</v>
      </c>
      <c r="BH55" t="s">
        <v>547</v>
      </c>
      <c r="BI55" t="s">
        <v>74</v>
      </c>
      <c r="BJ55" t="s">
        <v>74</v>
      </c>
      <c r="BK55" t="s">
        <v>74</v>
      </c>
      <c r="BL55" t="s">
        <v>74</v>
      </c>
      <c r="BM55" t="s">
        <v>74</v>
      </c>
      <c r="BN55">
        <v>40254892</v>
      </c>
      <c r="BO55" t="s">
        <v>74</v>
      </c>
      <c r="BP55" t="s">
        <v>74</v>
      </c>
      <c r="BQ55" t="s">
        <v>74</v>
      </c>
      <c r="BR55" t="s">
        <v>74</v>
      </c>
      <c r="BS55" t="s">
        <v>605</v>
      </c>
      <c r="BT55" t="str">
        <f>HYPERLINK("https%3A%2F%2Fwww.webofscience.com%2Fwos%2Fwoscc%2Ffull-record%2FWOS:001486324500001","View Full Record in Web of Science")</f>
        <v>View Full Record in Web of Science</v>
      </c>
    </row>
    <row r="56" spans="1:72" x14ac:dyDescent="0.2">
      <c r="A56" t="s">
        <v>72</v>
      </c>
      <c r="B56" t="s">
        <v>606</v>
      </c>
      <c r="C56" t="s">
        <v>74</v>
      </c>
      <c r="D56" t="s">
        <v>74</v>
      </c>
      <c r="E56" t="s">
        <v>74</v>
      </c>
      <c r="F56" t="s">
        <v>607</v>
      </c>
      <c r="G56" t="s">
        <v>74</v>
      </c>
      <c r="H56" t="s">
        <v>74</v>
      </c>
      <c r="I56" t="s">
        <v>608</v>
      </c>
      <c r="J56" t="s">
        <v>267</v>
      </c>
      <c r="K56" t="s">
        <v>74</v>
      </c>
      <c r="L56" t="s">
        <v>74</v>
      </c>
      <c r="M56" t="s">
        <v>74</v>
      </c>
      <c r="N56" t="s">
        <v>74</v>
      </c>
      <c r="O56" t="s">
        <v>74</v>
      </c>
      <c r="P56" t="s">
        <v>74</v>
      </c>
      <c r="Q56" t="s">
        <v>74</v>
      </c>
      <c r="R56" t="s">
        <v>74</v>
      </c>
      <c r="S56" t="s">
        <v>74</v>
      </c>
      <c r="T56" t="s">
        <v>74</v>
      </c>
      <c r="U56" t="s">
        <v>74</v>
      </c>
      <c r="V56" t="s">
        <v>609</v>
      </c>
      <c r="W56" t="s">
        <v>74</v>
      </c>
      <c r="X56" t="s">
        <v>74</v>
      </c>
      <c r="Y56" t="s">
        <v>74</v>
      </c>
      <c r="Z56" t="s">
        <v>74</v>
      </c>
      <c r="AA56" t="s">
        <v>610</v>
      </c>
      <c r="AB56" t="s">
        <v>74</v>
      </c>
      <c r="AC56" t="s">
        <v>74</v>
      </c>
      <c r="AD56" t="s">
        <v>74</v>
      </c>
      <c r="AE56" t="s">
        <v>74</v>
      </c>
      <c r="AF56" t="s">
        <v>74</v>
      </c>
      <c r="AG56" t="s">
        <v>74</v>
      </c>
      <c r="AH56" t="s">
        <v>74</v>
      </c>
      <c r="AI56" t="s">
        <v>74</v>
      </c>
      <c r="AJ56" t="s">
        <v>74</v>
      </c>
      <c r="AK56" t="s">
        <v>74</v>
      </c>
      <c r="AL56" t="s">
        <v>74</v>
      </c>
      <c r="AM56" t="s">
        <v>74</v>
      </c>
      <c r="AN56" t="s">
        <v>74</v>
      </c>
      <c r="AO56" t="s">
        <v>270</v>
      </c>
      <c r="AP56" t="s">
        <v>271</v>
      </c>
      <c r="AQ56" t="s">
        <v>74</v>
      </c>
      <c r="AR56" t="s">
        <v>74</v>
      </c>
      <c r="AS56" t="s">
        <v>74</v>
      </c>
      <c r="AT56" t="s">
        <v>611</v>
      </c>
      <c r="AU56">
        <v>2025</v>
      </c>
      <c r="AV56" t="s">
        <v>74</v>
      </c>
      <c r="AW56" t="s">
        <v>74</v>
      </c>
      <c r="AX56" t="s">
        <v>74</v>
      </c>
      <c r="AY56" t="s">
        <v>74</v>
      </c>
      <c r="AZ56" t="s">
        <v>74</v>
      </c>
      <c r="BA56" t="s">
        <v>74</v>
      </c>
      <c r="BB56" t="s">
        <v>74</v>
      </c>
      <c r="BC56" t="s">
        <v>74</v>
      </c>
      <c r="BD56" t="s">
        <v>74</v>
      </c>
      <c r="BE56" t="s">
        <v>612</v>
      </c>
      <c r="BF56" t="str">
        <f>HYPERLINK("http://dx.doi.org/10.1002/adfm.202504367","http://dx.doi.org/10.1002/adfm.202504367")</f>
        <v>http://dx.doi.org/10.1002/adfm.202504367</v>
      </c>
      <c r="BG56" t="s">
        <v>74</v>
      </c>
      <c r="BH56" t="s">
        <v>547</v>
      </c>
      <c r="BI56" t="s">
        <v>74</v>
      </c>
      <c r="BJ56" t="s">
        <v>74</v>
      </c>
      <c r="BK56" t="s">
        <v>74</v>
      </c>
      <c r="BL56" t="s">
        <v>74</v>
      </c>
      <c r="BM56" t="s">
        <v>74</v>
      </c>
      <c r="BN56" t="s">
        <v>74</v>
      </c>
      <c r="BO56" t="s">
        <v>74</v>
      </c>
      <c r="BP56" t="s">
        <v>74</v>
      </c>
      <c r="BQ56" t="s">
        <v>74</v>
      </c>
      <c r="BR56" t="s">
        <v>74</v>
      </c>
      <c r="BS56" t="s">
        <v>613</v>
      </c>
      <c r="BT56" t="str">
        <f>HYPERLINK("https%3A%2F%2Fwww.webofscience.com%2Fwos%2Fwoscc%2Ffull-record%2FWOS:001484480500001","View Full Record in Web of Science")</f>
        <v>View Full Record in Web of Science</v>
      </c>
    </row>
    <row r="57" spans="1:72" x14ac:dyDescent="0.2">
      <c r="A57" t="s">
        <v>72</v>
      </c>
      <c r="B57" t="s">
        <v>614</v>
      </c>
      <c r="C57" t="s">
        <v>74</v>
      </c>
      <c r="D57" t="s">
        <v>74</v>
      </c>
      <c r="E57" t="s">
        <v>74</v>
      </c>
      <c r="F57" t="s">
        <v>615</v>
      </c>
      <c r="G57" t="s">
        <v>74</v>
      </c>
      <c r="H57" t="s">
        <v>74</v>
      </c>
      <c r="I57" t="s">
        <v>616</v>
      </c>
      <c r="J57" t="s">
        <v>278</v>
      </c>
      <c r="K57" t="s">
        <v>74</v>
      </c>
      <c r="L57" t="s">
        <v>74</v>
      </c>
      <c r="M57" t="s">
        <v>74</v>
      </c>
      <c r="N57" t="s">
        <v>74</v>
      </c>
      <c r="O57" t="s">
        <v>74</v>
      </c>
      <c r="P57" t="s">
        <v>74</v>
      </c>
      <c r="Q57" t="s">
        <v>74</v>
      </c>
      <c r="R57" t="s">
        <v>74</v>
      </c>
      <c r="S57" t="s">
        <v>74</v>
      </c>
      <c r="T57" t="s">
        <v>74</v>
      </c>
      <c r="U57" t="s">
        <v>74</v>
      </c>
      <c r="V57" t="s">
        <v>617</v>
      </c>
      <c r="W57" t="s">
        <v>74</v>
      </c>
      <c r="X57" t="s">
        <v>74</v>
      </c>
      <c r="Y57" t="s">
        <v>74</v>
      </c>
      <c r="Z57" t="s">
        <v>74</v>
      </c>
      <c r="AA57" t="s">
        <v>618</v>
      </c>
      <c r="AB57" t="s">
        <v>74</v>
      </c>
      <c r="AC57" t="s">
        <v>74</v>
      </c>
      <c r="AD57" t="s">
        <v>74</v>
      </c>
      <c r="AE57" t="s">
        <v>74</v>
      </c>
      <c r="AF57" t="s">
        <v>74</v>
      </c>
      <c r="AG57" t="s">
        <v>74</v>
      </c>
      <c r="AH57" t="s">
        <v>74</v>
      </c>
      <c r="AI57" t="s">
        <v>74</v>
      </c>
      <c r="AJ57" t="s">
        <v>74</v>
      </c>
      <c r="AK57" t="s">
        <v>74</v>
      </c>
      <c r="AL57" t="s">
        <v>74</v>
      </c>
      <c r="AM57" t="s">
        <v>74</v>
      </c>
      <c r="AN57" t="s">
        <v>74</v>
      </c>
      <c r="AO57" t="s">
        <v>281</v>
      </c>
      <c r="AP57" t="s">
        <v>282</v>
      </c>
      <c r="AQ57" t="s">
        <v>74</v>
      </c>
      <c r="AR57" t="s">
        <v>74</v>
      </c>
      <c r="AS57" t="s">
        <v>74</v>
      </c>
      <c r="AT57" t="s">
        <v>565</v>
      </c>
      <c r="AU57">
        <v>2025</v>
      </c>
      <c r="AV57">
        <v>13</v>
      </c>
      <c r="AW57">
        <v>24</v>
      </c>
      <c r="AX57" t="s">
        <v>74</v>
      </c>
      <c r="AY57" t="s">
        <v>74</v>
      </c>
      <c r="AZ57" t="s">
        <v>74</v>
      </c>
      <c r="BA57" t="s">
        <v>74</v>
      </c>
      <c r="BB57">
        <v>18880</v>
      </c>
      <c r="BC57">
        <v>18891</v>
      </c>
      <c r="BD57" t="s">
        <v>74</v>
      </c>
      <c r="BE57" t="s">
        <v>619</v>
      </c>
      <c r="BF57" t="str">
        <f>HYPERLINK("http://dx.doi.org/10.1039/d5ta02390d","http://dx.doi.org/10.1039/d5ta02390d")</f>
        <v>http://dx.doi.org/10.1039/d5ta02390d</v>
      </c>
      <c r="BG57" t="s">
        <v>74</v>
      </c>
      <c r="BH57" t="s">
        <v>547</v>
      </c>
      <c r="BI57" t="s">
        <v>74</v>
      </c>
      <c r="BJ57" t="s">
        <v>74</v>
      </c>
      <c r="BK57" t="s">
        <v>74</v>
      </c>
      <c r="BL57" t="s">
        <v>74</v>
      </c>
      <c r="BM57" t="s">
        <v>74</v>
      </c>
      <c r="BN57" t="s">
        <v>74</v>
      </c>
      <c r="BO57" t="s">
        <v>74</v>
      </c>
      <c r="BP57" t="s">
        <v>74</v>
      </c>
      <c r="BQ57" t="s">
        <v>74</v>
      </c>
      <c r="BR57" t="s">
        <v>74</v>
      </c>
      <c r="BS57" t="s">
        <v>620</v>
      </c>
      <c r="BT57" t="str">
        <f>HYPERLINK("https%3A%2F%2Fwww.webofscience.com%2Fwos%2Fwoscc%2Ffull-record%2FWOS:001492560300001","View Full Record in Web of Science")</f>
        <v>View Full Record in Web of Science</v>
      </c>
    </row>
    <row r="58" spans="1:72" x14ac:dyDescent="0.2">
      <c r="A58" t="s">
        <v>72</v>
      </c>
      <c r="B58" t="s">
        <v>621</v>
      </c>
      <c r="C58" t="s">
        <v>74</v>
      </c>
      <c r="D58" t="s">
        <v>74</v>
      </c>
      <c r="E58" t="s">
        <v>74</v>
      </c>
      <c r="F58" t="s">
        <v>622</v>
      </c>
      <c r="G58" t="s">
        <v>74</v>
      </c>
      <c r="H58" t="s">
        <v>74</v>
      </c>
      <c r="I58" t="s">
        <v>623</v>
      </c>
      <c r="J58" t="s">
        <v>624</v>
      </c>
      <c r="K58" t="s">
        <v>74</v>
      </c>
      <c r="L58" t="s">
        <v>74</v>
      </c>
      <c r="M58" t="s">
        <v>74</v>
      </c>
      <c r="N58" t="s">
        <v>74</v>
      </c>
      <c r="O58" t="s">
        <v>74</v>
      </c>
      <c r="P58" t="s">
        <v>74</v>
      </c>
      <c r="Q58" t="s">
        <v>74</v>
      </c>
      <c r="R58" t="s">
        <v>74</v>
      </c>
      <c r="S58" t="s">
        <v>74</v>
      </c>
      <c r="T58" t="s">
        <v>74</v>
      </c>
      <c r="U58" t="s">
        <v>74</v>
      </c>
      <c r="V58" t="s">
        <v>625</v>
      </c>
      <c r="W58" t="s">
        <v>74</v>
      </c>
      <c r="X58" t="s">
        <v>74</v>
      </c>
      <c r="Y58" t="s">
        <v>74</v>
      </c>
      <c r="Z58" t="s">
        <v>74</v>
      </c>
      <c r="AA58" t="s">
        <v>626</v>
      </c>
      <c r="AB58" t="s">
        <v>74</v>
      </c>
      <c r="AC58" t="s">
        <v>74</v>
      </c>
      <c r="AD58" t="s">
        <v>74</v>
      </c>
      <c r="AE58" t="s">
        <v>74</v>
      </c>
      <c r="AF58" t="s">
        <v>74</v>
      </c>
      <c r="AG58" t="s">
        <v>74</v>
      </c>
      <c r="AH58" t="s">
        <v>74</v>
      </c>
      <c r="AI58" t="s">
        <v>74</v>
      </c>
      <c r="AJ58" t="s">
        <v>74</v>
      </c>
      <c r="AK58" t="s">
        <v>74</v>
      </c>
      <c r="AL58" t="s">
        <v>74</v>
      </c>
      <c r="AM58" t="s">
        <v>74</v>
      </c>
      <c r="AN58" t="s">
        <v>74</v>
      </c>
      <c r="AO58" t="s">
        <v>627</v>
      </c>
      <c r="AP58" t="s">
        <v>628</v>
      </c>
      <c r="AQ58" t="s">
        <v>74</v>
      </c>
      <c r="AR58" t="s">
        <v>74</v>
      </c>
      <c r="AS58" t="s">
        <v>74</v>
      </c>
      <c r="AT58" t="s">
        <v>629</v>
      </c>
      <c r="AU58">
        <v>2025</v>
      </c>
      <c r="AV58">
        <v>141</v>
      </c>
      <c r="AW58" t="s">
        <v>74</v>
      </c>
      <c r="AX58" t="s">
        <v>74</v>
      </c>
      <c r="AY58" t="s">
        <v>74</v>
      </c>
      <c r="AZ58" t="s">
        <v>74</v>
      </c>
      <c r="BA58" t="s">
        <v>74</v>
      </c>
      <c r="BB58" t="s">
        <v>74</v>
      </c>
      <c r="BC58" t="s">
        <v>74</v>
      </c>
      <c r="BD58">
        <v>111083</v>
      </c>
      <c r="BE58" t="s">
        <v>630</v>
      </c>
      <c r="BF58" t="str">
        <f>HYPERLINK("http://dx.doi.org/10.1016/j.nanoen.2025.111083","http://dx.doi.org/10.1016/j.nanoen.2025.111083")</f>
        <v>http://dx.doi.org/10.1016/j.nanoen.2025.111083</v>
      </c>
      <c r="BG58" t="s">
        <v>74</v>
      </c>
      <c r="BH58" t="s">
        <v>547</v>
      </c>
      <c r="BI58" t="s">
        <v>74</v>
      </c>
      <c r="BJ58" t="s">
        <v>74</v>
      </c>
      <c r="BK58" t="s">
        <v>74</v>
      </c>
      <c r="BL58" t="s">
        <v>74</v>
      </c>
      <c r="BM58" t="s">
        <v>74</v>
      </c>
      <c r="BN58" t="s">
        <v>74</v>
      </c>
      <c r="BO58" t="s">
        <v>74</v>
      </c>
      <c r="BP58" t="s">
        <v>74</v>
      </c>
      <c r="BQ58" t="s">
        <v>74</v>
      </c>
      <c r="BR58" t="s">
        <v>74</v>
      </c>
      <c r="BS58" t="s">
        <v>631</v>
      </c>
      <c r="BT58" t="str">
        <f>HYPERLINK("https%3A%2F%2Fwww.webofscience.com%2Fwos%2Fwoscc%2Ffull-record%2FWOS:001487377900002","View Full Record in Web of Science")</f>
        <v>View Full Record in Web of Science</v>
      </c>
    </row>
    <row r="59" spans="1:72" x14ac:dyDescent="0.2">
      <c r="A59" t="s">
        <v>72</v>
      </c>
      <c r="B59" t="s">
        <v>632</v>
      </c>
      <c r="C59" t="s">
        <v>74</v>
      </c>
      <c r="D59" t="s">
        <v>74</v>
      </c>
      <c r="E59" t="s">
        <v>74</v>
      </c>
      <c r="F59" t="s">
        <v>633</v>
      </c>
      <c r="G59" t="s">
        <v>74</v>
      </c>
      <c r="H59" t="s">
        <v>74</v>
      </c>
      <c r="I59" t="s">
        <v>634</v>
      </c>
      <c r="J59" t="s">
        <v>635</v>
      </c>
      <c r="K59" t="s">
        <v>74</v>
      </c>
      <c r="L59" t="s">
        <v>74</v>
      </c>
      <c r="M59" t="s">
        <v>74</v>
      </c>
      <c r="N59" t="s">
        <v>74</v>
      </c>
      <c r="O59" t="s">
        <v>74</v>
      </c>
      <c r="P59" t="s">
        <v>74</v>
      </c>
      <c r="Q59" t="s">
        <v>74</v>
      </c>
      <c r="R59" t="s">
        <v>74</v>
      </c>
      <c r="S59" t="s">
        <v>74</v>
      </c>
      <c r="T59" t="s">
        <v>74</v>
      </c>
      <c r="U59" t="s">
        <v>74</v>
      </c>
      <c r="V59" t="s">
        <v>636</v>
      </c>
      <c r="W59" t="s">
        <v>74</v>
      </c>
      <c r="X59" t="s">
        <v>74</v>
      </c>
      <c r="Y59" t="s">
        <v>74</v>
      </c>
      <c r="Z59" t="s">
        <v>74</v>
      </c>
      <c r="AA59" t="s">
        <v>637</v>
      </c>
      <c r="AB59" t="s">
        <v>638</v>
      </c>
      <c r="AC59" t="s">
        <v>74</v>
      </c>
      <c r="AD59" t="s">
        <v>74</v>
      </c>
      <c r="AE59" t="s">
        <v>74</v>
      </c>
      <c r="AF59" t="s">
        <v>74</v>
      </c>
      <c r="AG59" t="s">
        <v>74</v>
      </c>
      <c r="AH59" t="s">
        <v>74</v>
      </c>
      <c r="AI59" t="s">
        <v>74</v>
      </c>
      <c r="AJ59" t="s">
        <v>74</v>
      </c>
      <c r="AK59" t="s">
        <v>74</v>
      </c>
      <c r="AL59" t="s">
        <v>74</v>
      </c>
      <c r="AM59" t="s">
        <v>74</v>
      </c>
      <c r="AN59" t="s">
        <v>74</v>
      </c>
      <c r="AO59" t="s">
        <v>639</v>
      </c>
      <c r="AP59" t="s">
        <v>74</v>
      </c>
      <c r="AQ59" t="s">
        <v>74</v>
      </c>
      <c r="AR59" t="s">
        <v>74</v>
      </c>
      <c r="AS59" t="s">
        <v>74</v>
      </c>
      <c r="AT59" t="s">
        <v>640</v>
      </c>
      <c r="AU59">
        <v>2025</v>
      </c>
      <c r="AV59" t="s">
        <v>74</v>
      </c>
      <c r="AW59" t="s">
        <v>74</v>
      </c>
      <c r="AX59" t="s">
        <v>74</v>
      </c>
      <c r="AY59" t="s">
        <v>74</v>
      </c>
      <c r="AZ59" t="s">
        <v>74</v>
      </c>
      <c r="BA59" t="s">
        <v>74</v>
      </c>
      <c r="BB59" t="s">
        <v>74</v>
      </c>
      <c r="BC59" t="s">
        <v>74</v>
      </c>
      <c r="BD59" t="s">
        <v>74</v>
      </c>
      <c r="BE59" t="s">
        <v>641</v>
      </c>
      <c r="BF59" t="str">
        <f>HYPERLINK("http://dx.doi.org/10.1002/smtd.202500208","http://dx.doi.org/10.1002/smtd.202500208")</f>
        <v>http://dx.doi.org/10.1002/smtd.202500208</v>
      </c>
      <c r="BG59" t="s">
        <v>74</v>
      </c>
      <c r="BH59" t="s">
        <v>642</v>
      </c>
      <c r="BI59" t="s">
        <v>74</v>
      </c>
      <c r="BJ59" t="s">
        <v>74</v>
      </c>
      <c r="BK59" t="s">
        <v>74</v>
      </c>
      <c r="BL59" t="s">
        <v>74</v>
      </c>
      <c r="BM59" t="s">
        <v>74</v>
      </c>
      <c r="BN59">
        <v>40302305</v>
      </c>
      <c r="BO59" t="s">
        <v>74</v>
      </c>
      <c r="BP59" t="s">
        <v>74</v>
      </c>
      <c r="BQ59" t="s">
        <v>74</v>
      </c>
      <c r="BR59" t="s">
        <v>74</v>
      </c>
      <c r="BS59" t="s">
        <v>643</v>
      </c>
      <c r="BT59" t="str">
        <f>HYPERLINK("https%3A%2F%2Fwww.webofscience.com%2Fwos%2Fwoscc%2Ffull-record%2FWOS:001478557800001","View Full Record in Web of Science")</f>
        <v>View Full Record in Web of Science</v>
      </c>
    </row>
    <row r="60" spans="1:72" x14ac:dyDescent="0.2">
      <c r="A60" t="s">
        <v>72</v>
      </c>
      <c r="B60" t="s">
        <v>644</v>
      </c>
      <c r="C60" t="s">
        <v>74</v>
      </c>
      <c r="D60" t="s">
        <v>74</v>
      </c>
      <c r="E60" t="s">
        <v>74</v>
      </c>
      <c r="F60" t="s">
        <v>645</v>
      </c>
      <c r="G60" t="s">
        <v>74</v>
      </c>
      <c r="H60" t="s">
        <v>74</v>
      </c>
      <c r="I60" t="s">
        <v>646</v>
      </c>
      <c r="J60" t="s">
        <v>352</v>
      </c>
      <c r="K60" t="s">
        <v>74</v>
      </c>
      <c r="L60" t="s">
        <v>74</v>
      </c>
      <c r="M60" t="s">
        <v>74</v>
      </c>
      <c r="N60" t="s">
        <v>74</v>
      </c>
      <c r="O60" t="s">
        <v>74</v>
      </c>
      <c r="P60" t="s">
        <v>74</v>
      </c>
      <c r="Q60" t="s">
        <v>74</v>
      </c>
      <c r="R60" t="s">
        <v>74</v>
      </c>
      <c r="S60" t="s">
        <v>74</v>
      </c>
      <c r="T60" t="s">
        <v>74</v>
      </c>
      <c r="U60" t="s">
        <v>74</v>
      </c>
      <c r="V60" t="s">
        <v>647</v>
      </c>
      <c r="W60" t="s">
        <v>74</v>
      </c>
      <c r="X60" t="s">
        <v>74</v>
      </c>
      <c r="Y60" t="s">
        <v>74</v>
      </c>
      <c r="Z60" t="s">
        <v>74</v>
      </c>
      <c r="AA60" t="s">
        <v>648</v>
      </c>
      <c r="AB60" t="s">
        <v>74</v>
      </c>
      <c r="AC60" t="s">
        <v>74</v>
      </c>
      <c r="AD60" t="s">
        <v>74</v>
      </c>
      <c r="AE60" t="s">
        <v>74</v>
      </c>
      <c r="AF60" t="s">
        <v>74</v>
      </c>
      <c r="AG60" t="s">
        <v>74</v>
      </c>
      <c r="AH60" t="s">
        <v>74</v>
      </c>
      <c r="AI60" t="s">
        <v>74</v>
      </c>
      <c r="AJ60" t="s">
        <v>74</v>
      </c>
      <c r="AK60" t="s">
        <v>74</v>
      </c>
      <c r="AL60" t="s">
        <v>74</v>
      </c>
      <c r="AM60" t="s">
        <v>74</v>
      </c>
      <c r="AN60" t="s">
        <v>74</v>
      </c>
      <c r="AO60" t="s">
        <v>354</v>
      </c>
      <c r="AP60" t="s">
        <v>355</v>
      </c>
      <c r="AQ60" t="s">
        <v>74</v>
      </c>
      <c r="AR60" t="s">
        <v>74</v>
      </c>
      <c r="AS60" t="s">
        <v>74</v>
      </c>
      <c r="AT60" t="s">
        <v>640</v>
      </c>
      <c r="AU60">
        <v>2025</v>
      </c>
      <c r="AV60" t="s">
        <v>74</v>
      </c>
      <c r="AW60" t="s">
        <v>74</v>
      </c>
      <c r="AX60" t="s">
        <v>74</v>
      </c>
      <c r="AY60" t="s">
        <v>74</v>
      </c>
      <c r="AZ60" t="s">
        <v>74</v>
      </c>
      <c r="BA60" t="s">
        <v>74</v>
      </c>
      <c r="BB60" t="s">
        <v>74</v>
      </c>
      <c r="BC60" t="s">
        <v>74</v>
      </c>
      <c r="BD60" t="s">
        <v>74</v>
      </c>
      <c r="BE60" t="s">
        <v>649</v>
      </c>
      <c r="BF60" t="str">
        <f>HYPERLINK("http://dx.doi.org/10.1002/aenm.202500776","http://dx.doi.org/10.1002/aenm.202500776")</f>
        <v>http://dx.doi.org/10.1002/aenm.202500776</v>
      </c>
      <c r="BG60" t="s">
        <v>74</v>
      </c>
      <c r="BH60" t="s">
        <v>642</v>
      </c>
      <c r="BI60" t="s">
        <v>74</v>
      </c>
      <c r="BJ60" t="s">
        <v>74</v>
      </c>
      <c r="BK60" t="s">
        <v>74</v>
      </c>
      <c r="BL60" t="s">
        <v>74</v>
      </c>
      <c r="BM60" t="s">
        <v>74</v>
      </c>
      <c r="BN60" t="s">
        <v>74</v>
      </c>
      <c r="BO60" t="s">
        <v>74</v>
      </c>
      <c r="BP60" t="s">
        <v>74</v>
      </c>
      <c r="BQ60" t="s">
        <v>74</v>
      </c>
      <c r="BR60" t="s">
        <v>74</v>
      </c>
      <c r="BS60" t="s">
        <v>650</v>
      </c>
      <c r="BT60" t="str">
        <f>HYPERLINK("https%3A%2F%2Fwww.webofscience.com%2Fwos%2Fwoscc%2Ffull-record%2FWOS:001478497000001","View Full Record in Web of Science")</f>
        <v>View Full Record in Web of Science</v>
      </c>
    </row>
    <row r="61" spans="1:72" x14ac:dyDescent="0.2">
      <c r="A61" t="s">
        <v>72</v>
      </c>
      <c r="B61" t="s">
        <v>651</v>
      </c>
      <c r="C61" t="s">
        <v>74</v>
      </c>
      <c r="D61" t="s">
        <v>74</v>
      </c>
      <c r="E61" t="s">
        <v>74</v>
      </c>
      <c r="F61" t="s">
        <v>652</v>
      </c>
      <c r="G61" t="s">
        <v>74</v>
      </c>
      <c r="H61" t="s">
        <v>74</v>
      </c>
      <c r="I61" t="s">
        <v>653</v>
      </c>
      <c r="J61" t="s">
        <v>654</v>
      </c>
      <c r="K61" t="s">
        <v>74</v>
      </c>
      <c r="L61" t="s">
        <v>74</v>
      </c>
      <c r="M61" t="s">
        <v>74</v>
      </c>
      <c r="N61" t="s">
        <v>74</v>
      </c>
      <c r="O61" t="s">
        <v>74</v>
      </c>
      <c r="P61" t="s">
        <v>74</v>
      </c>
      <c r="Q61" t="s">
        <v>74</v>
      </c>
      <c r="R61" t="s">
        <v>74</v>
      </c>
      <c r="S61" t="s">
        <v>74</v>
      </c>
      <c r="T61" t="s">
        <v>74</v>
      </c>
      <c r="U61" t="s">
        <v>74</v>
      </c>
      <c r="V61" t="s">
        <v>655</v>
      </c>
      <c r="W61" t="s">
        <v>74</v>
      </c>
      <c r="X61" t="s">
        <v>74</v>
      </c>
      <c r="Y61" t="s">
        <v>74</v>
      </c>
      <c r="Z61" t="s">
        <v>74</v>
      </c>
      <c r="AA61" t="s">
        <v>656</v>
      </c>
      <c r="AB61" t="s">
        <v>74</v>
      </c>
      <c r="AC61" t="s">
        <v>74</v>
      </c>
      <c r="AD61" t="s">
        <v>74</v>
      </c>
      <c r="AE61" t="s">
        <v>74</v>
      </c>
      <c r="AF61" t="s">
        <v>74</v>
      </c>
      <c r="AG61" t="s">
        <v>74</v>
      </c>
      <c r="AH61" t="s">
        <v>74</v>
      </c>
      <c r="AI61" t="s">
        <v>74</v>
      </c>
      <c r="AJ61" t="s">
        <v>74</v>
      </c>
      <c r="AK61" t="s">
        <v>74</v>
      </c>
      <c r="AL61" t="s">
        <v>74</v>
      </c>
      <c r="AM61" t="s">
        <v>74</v>
      </c>
      <c r="AN61" t="s">
        <v>74</v>
      </c>
      <c r="AO61" t="s">
        <v>657</v>
      </c>
      <c r="AP61" t="s">
        <v>658</v>
      </c>
      <c r="AQ61" t="s">
        <v>74</v>
      </c>
      <c r="AR61" t="s">
        <v>74</v>
      </c>
      <c r="AS61" t="s">
        <v>74</v>
      </c>
      <c r="AT61" t="s">
        <v>659</v>
      </c>
      <c r="AU61">
        <v>2025</v>
      </c>
      <c r="AV61">
        <v>25</v>
      </c>
      <c r="AW61">
        <v>21</v>
      </c>
      <c r="AX61" t="s">
        <v>74</v>
      </c>
      <c r="AY61" t="s">
        <v>74</v>
      </c>
      <c r="AZ61" t="s">
        <v>74</v>
      </c>
      <c r="BA61" t="s">
        <v>74</v>
      </c>
      <c r="BB61">
        <v>8511</v>
      </c>
      <c r="BC61">
        <v>8518</v>
      </c>
      <c r="BD61" t="s">
        <v>74</v>
      </c>
      <c r="BE61" t="s">
        <v>660</v>
      </c>
      <c r="BF61" t="str">
        <f>HYPERLINK("http://dx.doi.org/10.1021/acs.nanolett.5c00896","http://dx.doi.org/10.1021/acs.nanolett.5c00896")</f>
        <v>http://dx.doi.org/10.1021/acs.nanolett.5c00896</v>
      </c>
      <c r="BG61" t="s">
        <v>74</v>
      </c>
      <c r="BH61" t="s">
        <v>642</v>
      </c>
      <c r="BI61" t="s">
        <v>74</v>
      </c>
      <c r="BJ61" t="s">
        <v>74</v>
      </c>
      <c r="BK61" t="s">
        <v>74</v>
      </c>
      <c r="BL61" t="s">
        <v>74</v>
      </c>
      <c r="BM61" t="s">
        <v>74</v>
      </c>
      <c r="BN61">
        <v>40294113</v>
      </c>
      <c r="BO61" t="s">
        <v>74</v>
      </c>
      <c r="BP61" t="s">
        <v>74</v>
      </c>
      <c r="BQ61" t="s">
        <v>74</v>
      </c>
      <c r="BR61" t="s">
        <v>74</v>
      </c>
      <c r="BS61" t="s">
        <v>661</v>
      </c>
      <c r="BT61" t="str">
        <f>HYPERLINK("https%3A%2F%2Fwww.webofscience.com%2Fwos%2Fwoscc%2Ffull-record%2FWOS:001487912900001","View Full Record in Web of Science")</f>
        <v>View Full Record in Web of Science</v>
      </c>
    </row>
    <row r="62" spans="1:72" x14ac:dyDescent="0.2">
      <c r="A62" t="s">
        <v>72</v>
      </c>
      <c r="B62" t="s">
        <v>662</v>
      </c>
      <c r="C62" t="s">
        <v>74</v>
      </c>
      <c r="D62" t="s">
        <v>74</v>
      </c>
      <c r="E62" t="s">
        <v>74</v>
      </c>
      <c r="F62" t="s">
        <v>663</v>
      </c>
      <c r="G62" t="s">
        <v>74</v>
      </c>
      <c r="H62" t="s">
        <v>74</v>
      </c>
      <c r="I62" t="s">
        <v>664</v>
      </c>
      <c r="J62" t="s">
        <v>665</v>
      </c>
      <c r="K62" t="s">
        <v>74</v>
      </c>
      <c r="L62" t="s">
        <v>74</v>
      </c>
      <c r="M62" t="s">
        <v>74</v>
      </c>
      <c r="N62" t="s">
        <v>74</v>
      </c>
      <c r="O62" t="s">
        <v>74</v>
      </c>
      <c r="P62" t="s">
        <v>74</v>
      </c>
      <c r="Q62" t="s">
        <v>74</v>
      </c>
      <c r="R62" t="s">
        <v>74</v>
      </c>
      <c r="S62" t="s">
        <v>74</v>
      </c>
      <c r="T62" t="s">
        <v>74</v>
      </c>
      <c r="U62" t="s">
        <v>74</v>
      </c>
      <c r="V62" t="s">
        <v>666</v>
      </c>
      <c r="W62" t="s">
        <v>74</v>
      </c>
      <c r="X62" t="s">
        <v>74</v>
      </c>
      <c r="Y62" t="s">
        <v>74</v>
      </c>
      <c r="Z62" t="s">
        <v>74</v>
      </c>
      <c r="AA62" t="s">
        <v>667</v>
      </c>
      <c r="AB62" t="s">
        <v>74</v>
      </c>
      <c r="AC62" t="s">
        <v>74</v>
      </c>
      <c r="AD62" t="s">
        <v>74</v>
      </c>
      <c r="AE62" t="s">
        <v>74</v>
      </c>
      <c r="AF62" t="s">
        <v>74</v>
      </c>
      <c r="AG62" t="s">
        <v>74</v>
      </c>
      <c r="AH62" t="s">
        <v>74</v>
      </c>
      <c r="AI62" t="s">
        <v>74</v>
      </c>
      <c r="AJ62" t="s">
        <v>74</v>
      </c>
      <c r="AK62" t="s">
        <v>74</v>
      </c>
      <c r="AL62" t="s">
        <v>74</v>
      </c>
      <c r="AM62" t="s">
        <v>74</v>
      </c>
      <c r="AN62" t="s">
        <v>74</v>
      </c>
      <c r="AO62" t="s">
        <v>668</v>
      </c>
      <c r="AP62" t="s">
        <v>669</v>
      </c>
      <c r="AQ62" t="s">
        <v>74</v>
      </c>
      <c r="AR62" t="s">
        <v>74</v>
      </c>
      <c r="AS62" t="s">
        <v>74</v>
      </c>
      <c r="AT62" t="s">
        <v>670</v>
      </c>
      <c r="AU62">
        <v>2025</v>
      </c>
      <c r="AV62">
        <v>422</v>
      </c>
      <c r="AW62" t="s">
        <v>74</v>
      </c>
      <c r="AX62" t="s">
        <v>74</v>
      </c>
      <c r="AY62" t="s">
        <v>74</v>
      </c>
      <c r="AZ62" t="s">
        <v>74</v>
      </c>
      <c r="BA62" t="s">
        <v>74</v>
      </c>
      <c r="BB62" t="s">
        <v>74</v>
      </c>
      <c r="BC62" t="s">
        <v>74</v>
      </c>
      <c r="BD62">
        <v>116815</v>
      </c>
      <c r="BE62" t="s">
        <v>671</v>
      </c>
      <c r="BF62" t="str">
        <f>HYPERLINK("http://dx.doi.org/10.1016/j.ssi.2025.116815","http://dx.doi.org/10.1016/j.ssi.2025.116815")</f>
        <v>http://dx.doi.org/10.1016/j.ssi.2025.116815</v>
      </c>
      <c r="BG62" t="s">
        <v>74</v>
      </c>
      <c r="BH62" t="s">
        <v>642</v>
      </c>
      <c r="BI62" t="s">
        <v>74</v>
      </c>
      <c r="BJ62" t="s">
        <v>74</v>
      </c>
      <c r="BK62" t="s">
        <v>74</v>
      </c>
      <c r="BL62" t="s">
        <v>74</v>
      </c>
      <c r="BM62" t="s">
        <v>74</v>
      </c>
      <c r="BN62" t="s">
        <v>74</v>
      </c>
      <c r="BO62" t="s">
        <v>74</v>
      </c>
      <c r="BP62" t="s">
        <v>74</v>
      </c>
      <c r="BQ62" t="s">
        <v>74</v>
      </c>
      <c r="BR62" t="s">
        <v>74</v>
      </c>
      <c r="BS62" t="s">
        <v>672</v>
      </c>
      <c r="BT62" t="str">
        <f>HYPERLINK("https%3A%2F%2Fwww.webofscience.com%2Fwos%2Fwoscc%2Ffull-record%2FWOS:001436625300001","View Full Record in Web of Science")</f>
        <v>View Full Record in Web of Science</v>
      </c>
    </row>
    <row r="63" spans="1:72" x14ac:dyDescent="0.2">
      <c r="A63" t="s">
        <v>72</v>
      </c>
      <c r="B63" t="s">
        <v>673</v>
      </c>
      <c r="C63" t="s">
        <v>74</v>
      </c>
      <c r="D63" t="s">
        <v>74</v>
      </c>
      <c r="E63" t="s">
        <v>74</v>
      </c>
      <c r="F63" t="s">
        <v>674</v>
      </c>
      <c r="G63" t="s">
        <v>74</v>
      </c>
      <c r="H63" t="s">
        <v>74</v>
      </c>
      <c r="I63" t="s">
        <v>675</v>
      </c>
      <c r="J63" t="s">
        <v>171</v>
      </c>
      <c r="K63" t="s">
        <v>74</v>
      </c>
      <c r="L63" t="s">
        <v>74</v>
      </c>
      <c r="M63" t="s">
        <v>74</v>
      </c>
      <c r="N63" t="s">
        <v>74</v>
      </c>
      <c r="O63" t="s">
        <v>74</v>
      </c>
      <c r="P63" t="s">
        <v>74</v>
      </c>
      <c r="Q63" t="s">
        <v>74</v>
      </c>
      <c r="R63" t="s">
        <v>74</v>
      </c>
      <c r="S63" t="s">
        <v>74</v>
      </c>
      <c r="T63" t="s">
        <v>74</v>
      </c>
      <c r="U63" t="s">
        <v>74</v>
      </c>
      <c r="V63" t="s">
        <v>676</v>
      </c>
      <c r="W63" t="s">
        <v>74</v>
      </c>
      <c r="X63" t="s">
        <v>74</v>
      </c>
      <c r="Y63" t="s">
        <v>74</v>
      </c>
      <c r="Z63" t="s">
        <v>74</v>
      </c>
      <c r="AA63" t="s">
        <v>74</v>
      </c>
      <c r="AB63" t="s">
        <v>74</v>
      </c>
      <c r="AC63" t="s">
        <v>74</v>
      </c>
      <c r="AD63" t="s">
        <v>74</v>
      </c>
      <c r="AE63" t="s">
        <v>74</v>
      </c>
      <c r="AF63" t="s">
        <v>74</v>
      </c>
      <c r="AG63" t="s">
        <v>74</v>
      </c>
      <c r="AH63" t="s">
        <v>74</v>
      </c>
      <c r="AI63" t="s">
        <v>74</v>
      </c>
      <c r="AJ63" t="s">
        <v>74</v>
      </c>
      <c r="AK63" t="s">
        <v>74</v>
      </c>
      <c r="AL63" t="s">
        <v>74</v>
      </c>
      <c r="AM63" t="s">
        <v>74</v>
      </c>
      <c r="AN63" t="s">
        <v>74</v>
      </c>
      <c r="AO63" t="s">
        <v>173</v>
      </c>
      <c r="AP63" t="s">
        <v>174</v>
      </c>
      <c r="AQ63" t="s">
        <v>74</v>
      </c>
      <c r="AR63" t="s">
        <v>74</v>
      </c>
      <c r="AS63" t="s">
        <v>74</v>
      </c>
      <c r="AT63" t="s">
        <v>155</v>
      </c>
      <c r="AU63">
        <v>2025</v>
      </c>
      <c r="AV63">
        <v>693</v>
      </c>
      <c r="AW63" t="s">
        <v>74</v>
      </c>
      <c r="AX63" t="s">
        <v>74</v>
      </c>
      <c r="AY63" t="s">
        <v>74</v>
      </c>
      <c r="AZ63" t="s">
        <v>74</v>
      </c>
      <c r="BA63" t="s">
        <v>74</v>
      </c>
      <c r="BB63" t="s">
        <v>74</v>
      </c>
      <c r="BC63" t="s">
        <v>74</v>
      </c>
      <c r="BD63">
        <v>137618</v>
      </c>
      <c r="BE63" t="s">
        <v>677</v>
      </c>
      <c r="BF63" t="str">
        <f>HYPERLINK("http://dx.doi.org/10.1016/j.jcis.2025.137618","http://dx.doi.org/10.1016/j.jcis.2025.137618")</f>
        <v>http://dx.doi.org/10.1016/j.jcis.2025.137618</v>
      </c>
      <c r="BG63" t="s">
        <v>74</v>
      </c>
      <c r="BH63" t="s">
        <v>642</v>
      </c>
      <c r="BI63" t="s">
        <v>74</v>
      </c>
      <c r="BJ63" t="s">
        <v>74</v>
      </c>
      <c r="BK63" t="s">
        <v>74</v>
      </c>
      <c r="BL63" t="s">
        <v>74</v>
      </c>
      <c r="BM63" t="s">
        <v>74</v>
      </c>
      <c r="BN63">
        <v>40253867</v>
      </c>
      <c r="BO63" t="s">
        <v>74</v>
      </c>
      <c r="BP63" t="s">
        <v>74</v>
      </c>
      <c r="BQ63" t="s">
        <v>74</v>
      </c>
      <c r="BR63" t="s">
        <v>74</v>
      </c>
      <c r="BS63" t="s">
        <v>678</v>
      </c>
      <c r="BT63" t="str">
        <f>HYPERLINK("https%3A%2F%2Fwww.webofscience.com%2Fwos%2Fwoscc%2Ffull-record%2FWOS:001476562900001","View Full Record in Web of Science")</f>
        <v>View Full Record in Web of Science</v>
      </c>
    </row>
    <row r="64" spans="1:72" x14ac:dyDescent="0.2">
      <c r="A64" t="s">
        <v>72</v>
      </c>
      <c r="B64" t="s">
        <v>679</v>
      </c>
      <c r="C64" t="s">
        <v>74</v>
      </c>
      <c r="D64" t="s">
        <v>74</v>
      </c>
      <c r="E64" t="s">
        <v>74</v>
      </c>
      <c r="F64" t="s">
        <v>680</v>
      </c>
      <c r="G64" t="s">
        <v>74</v>
      </c>
      <c r="H64" t="s">
        <v>74</v>
      </c>
      <c r="I64" t="s">
        <v>681</v>
      </c>
      <c r="J64" t="s">
        <v>98</v>
      </c>
      <c r="K64" t="s">
        <v>74</v>
      </c>
      <c r="L64" t="s">
        <v>74</v>
      </c>
      <c r="M64" t="s">
        <v>74</v>
      </c>
      <c r="N64" t="s">
        <v>74</v>
      </c>
      <c r="O64" t="s">
        <v>74</v>
      </c>
      <c r="P64" t="s">
        <v>74</v>
      </c>
      <c r="Q64" t="s">
        <v>74</v>
      </c>
      <c r="R64" t="s">
        <v>74</v>
      </c>
      <c r="S64" t="s">
        <v>74</v>
      </c>
      <c r="T64" t="s">
        <v>74</v>
      </c>
      <c r="U64" t="s">
        <v>74</v>
      </c>
      <c r="V64" t="s">
        <v>682</v>
      </c>
      <c r="W64" t="s">
        <v>74</v>
      </c>
      <c r="X64" t="s">
        <v>74</v>
      </c>
      <c r="Y64" t="s">
        <v>74</v>
      </c>
      <c r="Z64" t="s">
        <v>74</v>
      </c>
      <c r="AA64" t="s">
        <v>74</v>
      </c>
      <c r="AB64" t="s">
        <v>683</v>
      </c>
      <c r="AC64" t="s">
        <v>74</v>
      </c>
      <c r="AD64" t="s">
        <v>74</v>
      </c>
      <c r="AE64" t="s">
        <v>74</v>
      </c>
      <c r="AF64" t="s">
        <v>74</v>
      </c>
      <c r="AG64" t="s">
        <v>74</v>
      </c>
      <c r="AH64" t="s">
        <v>74</v>
      </c>
      <c r="AI64" t="s">
        <v>74</v>
      </c>
      <c r="AJ64" t="s">
        <v>74</v>
      </c>
      <c r="AK64" t="s">
        <v>74</v>
      </c>
      <c r="AL64" t="s">
        <v>74</v>
      </c>
      <c r="AM64" t="s">
        <v>74</v>
      </c>
      <c r="AN64" t="s">
        <v>74</v>
      </c>
      <c r="AO64" t="s">
        <v>101</v>
      </c>
      <c r="AP64" t="s">
        <v>102</v>
      </c>
      <c r="AQ64" t="s">
        <v>74</v>
      </c>
      <c r="AR64" t="s">
        <v>74</v>
      </c>
      <c r="AS64" t="s">
        <v>74</v>
      </c>
      <c r="AT64" t="s">
        <v>378</v>
      </c>
      <c r="AU64">
        <v>2025</v>
      </c>
      <c r="AV64">
        <v>643</v>
      </c>
      <c r="AW64" t="s">
        <v>74</v>
      </c>
      <c r="AX64" t="s">
        <v>74</v>
      </c>
      <c r="AY64" t="s">
        <v>74</v>
      </c>
      <c r="AZ64" t="s">
        <v>74</v>
      </c>
      <c r="BA64" t="s">
        <v>74</v>
      </c>
      <c r="BB64" t="s">
        <v>74</v>
      </c>
      <c r="BC64" t="s">
        <v>74</v>
      </c>
      <c r="BD64">
        <v>236988</v>
      </c>
      <c r="BE64" t="s">
        <v>684</v>
      </c>
      <c r="BF64" t="str">
        <f>HYPERLINK("http://dx.doi.org/10.1016/j.jpowsour.2025.236988","http://dx.doi.org/10.1016/j.jpowsour.2025.236988")</f>
        <v>http://dx.doi.org/10.1016/j.jpowsour.2025.236988</v>
      </c>
      <c r="BG64" t="s">
        <v>74</v>
      </c>
      <c r="BH64" t="s">
        <v>642</v>
      </c>
      <c r="BI64" t="s">
        <v>74</v>
      </c>
      <c r="BJ64" t="s">
        <v>74</v>
      </c>
      <c r="BK64" t="s">
        <v>74</v>
      </c>
      <c r="BL64" t="s">
        <v>74</v>
      </c>
      <c r="BM64" t="s">
        <v>74</v>
      </c>
      <c r="BN64" t="s">
        <v>74</v>
      </c>
      <c r="BO64" t="s">
        <v>74</v>
      </c>
      <c r="BP64" t="s">
        <v>74</v>
      </c>
      <c r="BQ64" t="s">
        <v>74</v>
      </c>
      <c r="BR64" t="s">
        <v>74</v>
      </c>
      <c r="BS64" t="s">
        <v>685</v>
      </c>
      <c r="BT64" t="str">
        <f>HYPERLINK("https%3A%2F%2Fwww.webofscience.com%2Fwos%2Fwoscc%2Ffull-record%2FWOS:001474176900001","View Full Record in Web of Science")</f>
        <v>View Full Record in Web of Science</v>
      </c>
    </row>
    <row r="65" spans="1:72" x14ac:dyDescent="0.2">
      <c r="A65" t="s">
        <v>72</v>
      </c>
      <c r="B65" t="s">
        <v>686</v>
      </c>
      <c r="C65" t="s">
        <v>74</v>
      </c>
      <c r="D65" t="s">
        <v>74</v>
      </c>
      <c r="E65" t="s">
        <v>74</v>
      </c>
      <c r="F65" t="s">
        <v>687</v>
      </c>
      <c r="G65" t="s">
        <v>74</v>
      </c>
      <c r="H65" t="s">
        <v>74</v>
      </c>
      <c r="I65" t="s">
        <v>688</v>
      </c>
      <c r="J65" t="s">
        <v>689</v>
      </c>
      <c r="K65" t="s">
        <v>74</v>
      </c>
      <c r="L65" t="s">
        <v>74</v>
      </c>
      <c r="M65" t="s">
        <v>74</v>
      </c>
      <c r="N65" t="s">
        <v>74</v>
      </c>
      <c r="O65" t="s">
        <v>74</v>
      </c>
      <c r="P65" t="s">
        <v>74</v>
      </c>
      <c r="Q65" t="s">
        <v>74</v>
      </c>
      <c r="R65" t="s">
        <v>74</v>
      </c>
      <c r="S65" t="s">
        <v>74</v>
      </c>
      <c r="T65" t="s">
        <v>74</v>
      </c>
      <c r="U65" t="s">
        <v>74</v>
      </c>
      <c r="V65" t="s">
        <v>690</v>
      </c>
      <c r="W65" t="s">
        <v>74</v>
      </c>
      <c r="X65" t="s">
        <v>74</v>
      </c>
      <c r="Y65" t="s">
        <v>74</v>
      </c>
      <c r="Z65" t="s">
        <v>74</v>
      </c>
      <c r="AA65" t="s">
        <v>691</v>
      </c>
      <c r="AB65" t="s">
        <v>692</v>
      </c>
      <c r="AC65" t="s">
        <v>74</v>
      </c>
      <c r="AD65" t="s">
        <v>74</v>
      </c>
      <c r="AE65" t="s">
        <v>74</v>
      </c>
      <c r="AF65" t="s">
        <v>74</v>
      </c>
      <c r="AG65" t="s">
        <v>74</v>
      </c>
      <c r="AH65" t="s">
        <v>74</v>
      </c>
      <c r="AI65" t="s">
        <v>74</v>
      </c>
      <c r="AJ65" t="s">
        <v>74</v>
      </c>
      <c r="AK65" t="s">
        <v>74</v>
      </c>
      <c r="AL65" t="s">
        <v>74</v>
      </c>
      <c r="AM65" t="s">
        <v>74</v>
      </c>
      <c r="AN65" t="s">
        <v>74</v>
      </c>
      <c r="AO65" t="s">
        <v>693</v>
      </c>
      <c r="AP65" t="s">
        <v>694</v>
      </c>
      <c r="AQ65" t="s">
        <v>74</v>
      </c>
      <c r="AR65" t="s">
        <v>74</v>
      </c>
      <c r="AS65" t="s">
        <v>74</v>
      </c>
      <c r="AT65" t="s">
        <v>695</v>
      </c>
      <c r="AU65">
        <v>2025</v>
      </c>
      <c r="AV65">
        <v>19</v>
      </c>
      <c r="AW65">
        <v>16</v>
      </c>
      <c r="AX65" t="s">
        <v>74</v>
      </c>
      <c r="AY65" t="s">
        <v>74</v>
      </c>
      <c r="AZ65" t="s">
        <v>74</v>
      </c>
      <c r="BA65" t="s">
        <v>74</v>
      </c>
      <c r="BB65">
        <v>15220</v>
      </c>
      <c r="BC65">
        <v>15255</v>
      </c>
      <c r="BD65" t="s">
        <v>74</v>
      </c>
      <c r="BE65" t="s">
        <v>696</v>
      </c>
      <c r="BF65" t="str">
        <f>HYPERLINK("http://dx.doi.org/10.1021/acsnano.5c01430","http://dx.doi.org/10.1021/acsnano.5c01430")</f>
        <v>http://dx.doi.org/10.1021/acsnano.5c01430</v>
      </c>
      <c r="BG65" t="s">
        <v>74</v>
      </c>
      <c r="BH65" t="s">
        <v>642</v>
      </c>
      <c r="BI65" t="s">
        <v>74</v>
      </c>
      <c r="BJ65" t="s">
        <v>74</v>
      </c>
      <c r="BK65" t="s">
        <v>74</v>
      </c>
      <c r="BL65" t="s">
        <v>74</v>
      </c>
      <c r="BM65" t="s">
        <v>74</v>
      </c>
      <c r="BN65">
        <v>40235272</v>
      </c>
      <c r="BO65" t="s">
        <v>74</v>
      </c>
      <c r="BP65" t="s">
        <v>74</v>
      </c>
      <c r="BQ65" t="s">
        <v>74</v>
      </c>
      <c r="BR65" t="s">
        <v>74</v>
      </c>
      <c r="BS65" t="s">
        <v>697</v>
      </c>
      <c r="BT65" t="str">
        <f>HYPERLINK("https%3A%2F%2Fwww.webofscience.com%2Fwos%2Fwoscc%2Ffull-record%2FWOS:001468568600001","View Full Record in Web of Science")</f>
        <v>View Full Record in Web of Science</v>
      </c>
    </row>
    <row r="66" spans="1:72" x14ac:dyDescent="0.2">
      <c r="A66" t="s">
        <v>72</v>
      </c>
      <c r="B66" t="s">
        <v>698</v>
      </c>
      <c r="C66" t="s">
        <v>74</v>
      </c>
      <c r="D66" t="s">
        <v>74</v>
      </c>
      <c r="E66" t="s">
        <v>74</v>
      </c>
      <c r="F66" t="s">
        <v>699</v>
      </c>
      <c r="G66" t="s">
        <v>74</v>
      </c>
      <c r="H66" t="s">
        <v>74</v>
      </c>
      <c r="I66" t="s">
        <v>700</v>
      </c>
      <c r="J66" t="s">
        <v>151</v>
      </c>
      <c r="K66" t="s">
        <v>74</v>
      </c>
      <c r="L66" t="s">
        <v>74</v>
      </c>
      <c r="M66" t="s">
        <v>74</v>
      </c>
      <c r="N66" t="s">
        <v>74</v>
      </c>
      <c r="O66" t="s">
        <v>74</v>
      </c>
      <c r="P66" t="s">
        <v>74</v>
      </c>
      <c r="Q66" t="s">
        <v>74</v>
      </c>
      <c r="R66" t="s">
        <v>74</v>
      </c>
      <c r="S66" t="s">
        <v>74</v>
      </c>
      <c r="T66" t="s">
        <v>74</v>
      </c>
      <c r="U66" t="s">
        <v>74</v>
      </c>
      <c r="V66" t="s">
        <v>701</v>
      </c>
      <c r="W66" t="s">
        <v>74</v>
      </c>
      <c r="X66" t="s">
        <v>74</v>
      </c>
      <c r="Y66" t="s">
        <v>74</v>
      </c>
      <c r="Z66" t="s">
        <v>74</v>
      </c>
      <c r="AA66" t="s">
        <v>702</v>
      </c>
      <c r="AB66" t="s">
        <v>74</v>
      </c>
      <c r="AC66" t="s">
        <v>74</v>
      </c>
      <c r="AD66" t="s">
        <v>74</v>
      </c>
      <c r="AE66" t="s">
        <v>74</v>
      </c>
      <c r="AF66" t="s">
        <v>74</v>
      </c>
      <c r="AG66" t="s">
        <v>74</v>
      </c>
      <c r="AH66" t="s">
        <v>74</v>
      </c>
      <c r="AI66" t="s">
        <v>74</v>
      </c>
      <c r="AJ66" t="s">
        <v>74</v>
      </c>
      <c r="AK66" t="s">
        <v>74</v>
      </c>
      <c r="AL66" t="s">
        <v>74</v>
      </c>
      <c r="AM66" t="s">
        <v>74</v>
      </c>
      <c r="AN66" t="s">
        <v>74</v>
      </c>
      <c r="AO66" t="s">
        <v>153</v>
      </c>
      <c r="AP66" t="s">
        <v>154</v>
      </c>
      <c r="AQ66" t="s">
        <v>74</v>
      </c>
      <c r="AR66" t="s">
        <v>74</v>
      </c>
      <c r="AS66" t="s">
        <v>74</v>
      </c>
      <c r="AT66" t="s">
        <v>545</v>
      </c>
      <c r="AU66">
        <v>2025</v>
      </c>
      <c r="AV66">
        <v>78</v>
      </c>
      <c r="AW66" t="s">
        <v>74</v>
      </c>
      <c r="AX66" t="s">
        <v>74</v>
      </c>
      <c r="AY66" t="s">
        <v>74</v>
      </c>
      <c r="AZ66" t="s">
        <v>74</v>
      </c>
      <c r="BA66" t="s">
        <v>74</v>
      </c>
      <c r="BB66" t="s">
        <v>74</v>
      </c>
      <c r="BC66" t="s">
        <v>74</v>
      </c>
      <c r="BD66">
        <v>104243</v>
      </c>
      <c r="BE66" t="s">
        <v>703</v>
      </c>
      <c r="BF66" t="str">
        <f>HYPERLINK("http://dx.doi.org/10.1016/j.ensm.2025.104243","http://dx.doi.org/10.1016/j.ensm.2025.104243")</f>
        <v>http://dx.doi.org/10.1016/j.ensm.2025.104243</v>
      </c>
      <c r="BG66" t="s">
        <v>74</v>
      </c>
      <c r="BH66" t="s">
        <v>642</v>
      </c>
      <c r="BI66" t="s">
        <v>74</v>
      </c>
      <c r="BJ66" t="s">
        <v>74</v>
      </c>
      <c r="BK66" t="s">
        <v>74</v>
      </c>
      <c r="BL66" t="s">
        <v>74</v>
      </c>
      <c r="BM66" t="s">
        <v>74</v>
      </c>
      <c r="BN66" t="s">
        <v>74</v>
      </c>
      <c r="BO66" t="s">
        <v>74</v>
      </c>
      <c r="BP66" t="s">
        <v>74</v>
      </c>
      <c r="BQ66" t="s">
        <v>74</v>
      </c>
      <c r="BR66" t="s">
        <v>74</v>
      </c>
      <c r="BS66" t="s">
        <v>704</v>
      </c>
      <c r="BT66" t="str">
        <f>HYPERLINK("https%3A%2F%2Fwww.webofscience.com%2Fwos%2Fwoscc%2Ffull-record%2FWOS:001471748600001","View Full Record in Web of Science")</f>
        <v>View Full Record in Web of Science</v>
      </c>
    </row>
    <row r="67" spans="1:72" x14ac:dyDescent="0.2">
      <c r="A67" t="s">
        <v>72</v>
      </c>
      <c r="B67" t="s">
        <v>705</v>
      </c>
      <c r="C67" t="s">
        <v>74</v>
      </c>
      <c r="D67" t="s">
        <v>74</v>
      </c>
      <c r="E67" t="s">
        <v>74</v>
      </c>
      <c r="F67" t="s">
        <v>706</v>
      </c>
      <c r="G67" t="s">
        <v>74</v>
      </c>
      <c r="H67" t="s">
        <v>74</v>
      </c>
      <c r="I67" t="s">
        <v>707</v>
      </c>
      <c r="J67" t="s">
        <v>151</v>
      </c>
      <c r="K67" t="s">
        <v>74</v>
      </c>
      <c r="L67" t="s">
        <v>74</v>
      </c>
      <c r="M67" t="s">
        <v>74</v>
      </c>
      <c r="N67" t="s">
        <v>74</v>
      </c>
      <c r="O67" t="s">
        <v>74</v>
      </c>
      <c r="P67" t="s">
        <v>74</v>
      </c>
      <c r="Q67" t="s">
        <v>74</v>
      </c>
      <c r="R67" t="s">
        <v>74</v>
      </c>
      <c r="S67" t="s">
        <v>74</v>
      </c>
      <c r="T67" t="s">
        <v>74</v>
      </c>
      <c r="U67" t="s">
        <v>74</v>
      </c>
      <c r="V67" t="s">
        <v>708</v>
      </c>
      <c r="W67" t="s">
        <v>74</v>
      </c>
      <c r="X67" t="s">
        <v>74</v>
      </c>
      <c r="Y67" t="s">
        <v>74</v>
      </c>
      <c r="Z67" t="s">
        <v>74</v>
      </c>
      <c r="AA67" t="s">
        <v>709</v>
      </c>
      <c r="AB67" t="s">
        <v>74</v>
      </c>
      <c r="AC67" t="s">
        <v>74</v>
      </c>
      <c r="AD67" t="s">
        <v>74</v>
      </c>
      <c r="AE67" t="s">
        <v>74</v>
      </c>
      <c r="AF67" t="s">
        <v>74</v>
      </c>
      <c r="AG67" t="s">
        <v>74</v>
      </c>
      <c r="AH67" t="s">
        <v>74</v>
      </c>
      <c r="AI67" t="s">
        <v>74</v>
      </c>
      <c r="AJ67" t="s">
        <v>74</v>
      </c>
      <c r="AK67" t="s">
        <v>74</v>
      </c>
      <c r="AL67" t="s">
        <v>74</v>
      </c>
      <c r="AM67" t="s">
        <v>74</v>
      </c>
      <c r="AN67" t="s">
        <v>74</v>
      </c>
      <c r="AO67" t="s">
        <v>153</v>
      </c>
      <c r="AP67" t="s">
        <v>154</v>
      </c>
      <c r="AQ67" t="s">
        <v>74</v>
      </c>
      <c r="AR67" t="s">
        <v>74</v>
      </c>
      <c r="AS67" t="s">
        <v>74</v>
      </c>
      <c r="AT67" t="s">
        <v>545</v>
      </c>
      <c r="AU67">
        <v>2025</v>
      </c>
      <c r="AV67">
        <v>78</v>
      </c>
      <c r="AW67" t="s">
        <v>74</v>
      </c>
      <c r="AX67" t="s">
        <v>74</v>
      </c>
      <c r="AY67" t="s">
        <v>74</v>
      </c>
      <c r="AZ67" t="s">
        <v>74</v>
      </c>
      <c r="BA67" t="s">
        <v>74</v>
      </c>
      <c r="BB67" t="s">
        <v>74</v>
      </c>
      <c r="BC67" t="s">
        <v>74</v>
      </c>
      <c r="BD67">
        <v>104239</v>
      </c>
      <c r="BE67" t="s">
        <v>710</v>
      </c>
      <c r="BF67" t="str">
        <f>HYPERLINK("http://dx.doi.org/10.1016/j.ensm.2025.104239","http://dx.doi.org/10.1016/j.ensm.2025.104239")</f>
        <v>http://dx.doi.org/10.1016/j.ensm.2025.104239</v>
      </c>
      <c r="BG67" t="s">
        <v>74</v>
      </c>
      <c r="BH67" t="s">
        <v>642</v>
      </c>
      <c r="BI67" t="s">
        <v>74</v>
      </c>
      <c r="BJ67" t="s">
        <v>74</v>
      </c>
      <c r="BK67" t="s">
        <v>74</v>
      </c>
      <c r="BL67" t="s">
        <v>74</v>
      </c>
      <c r="BM67" t="s">
        <v>74</v>
      </c>
      <c r="BN67" t="s">
        <v>74</v>
      </c>
      <c r="BO67" t="s">
        <v>74</v>
      </c>
      <c r="BP67" t="s">
        <v>74</v>
      </c>
      <c r="BQ67" t="s">
        <v>74</v>
      </c>
      <c r="BR67" t="s">
        <v>74</v>
      </c>
      <c r="BS67" t="s">
        <v>711</v>
      </c>
      <c r="BT67" t="str">
        <f>HYPERLINK("https%3A%2F%2Fwww.webofscience.com%2Fwos%2Fwoscc%2Ffull-record%2FWOS:001471167800001","View Full Record in Web of Science")</f>
        <v>View Full Record in Web of Science</v>
      </c>
    </row>
    <row r="68" spans="1:72" x14ac:dyDescent="0.2">
      <c r="A68" t="s">
        <v>72</v>
      </c>
      <c r="B68" t="s">
        <v>712</v>
      </c>
      <c r="C68" t="s">
        <v>74</v>
      </c>
      <c r="D68" t="s">
        <v>74</v>
      </c>
      <c r="E68" t="s">
        <v>74</v>
      </c>
      <c r="F68" t="s">
        <v>713</v>
      </c>
      <c r="G68" t="s">
        <v>74</v>
      </c>
      <c r="H68" t="s">
        <v>74</v>
      </c>
      <c r="I68" t="s">
        <v>714</v>
      </c>
      <c r="J68" t="s">
        <v>161</v>
      </c>
      <c r="K68" t="s">
        <v>74</v>
      </c>
      <c r="L68" t="s">
        <v>74</v>
      </c>
      <c r="M68" t="s">
        <v>74</v>
      </c>
      <c r="N68" t="s">
        <v>74</v>
      </c>
      <c r="O68" t="s">
        <v>74</v>
      </c>
      <c r="P68" t="s">
        <v>74</v>
      </c>
      <c r="Q68" t="s">
        <v>74</v>
      </c>
      <c r="R68" t="s">
        <v>74</v>
      </c>
      <c r="S68" t="s">
        <v>74</v>
      </c>
      <c r="T68" t="s">
        <v>74</v>
      </c>
      <c r="U68" t="s">
        <v>74</v>
      </c>
      <c r="V68" t="s">
        <v>715</v>
      </c>
      <c r="W68" t="s">
        <v>74</v>
      </c>
      <c r="X68" t="s">
        <v>74</v>
      </c>
      <c r="Y68" t="s">
        <v>74</v>
      </c>
      <c r="Z68" t="s">
        <v>74</v>
      </c>
      <c r="AA68" t="s">
        <v>716</v>
      </c>
      <c r="AB68" t="s">
        <v>74</v>
      </c>
      <c r="AC68" t="s">
        <v>74</v>
      </c>
      <c r="AD68" t="s">
        <v>74</v>
      </c>
      <c r="AE68" t="s">
        <v>74</v>
      </c>
      <c r="AF68" t="s">
        <v>74</v>
      </c>
      <c r="AG68" t="s">
        <v>74</v>
      </c>
      <c r="AH68" t="s">
        <v>74</v>
      </c>
      <c r="AI68" t="s">
        <v>74</v>
      </c>
      <c r="AJ68" t="s">
        <v>74</v>
      </c>
      <c r="AK68" t="s">
        <v>74</v>
      </c>
      <c r="AL68" t="s">
        <v>74</v>
      </c>
      <c r="AM68" t="s">
        <v>74</v>
      </c>
      <c r="AN68" t="s">
        <v>74</v>
      </c>
      <c r="AO68" t="s">
        <v>163</v>
      </c>
      <c r="AP68" t="s">
        <v>164</v>
      </c>
      <c r="AQ68" t="s">
        <v>74</v>
      </c>
      <c r="AR68" t="s">
        <v>74</v>
      </c>
      <c r="AS68" t="s">
        <v>74</v>
      </c>
      <c r="AT68" t="s">
        <v>717</v>
      </c>
      <c r="AU68">
        <v>2025</v>
      </c>
      <c r="AV68">
        <v>512</v>
      </c>
      <c r="AW68" t="s">
        <v>74</v>
      </c>
      <c r="AX68" t="s">
        <v>74</v>
      </c>
      <c r="AY68" t="s">
        <v>74</v>
      </c>
      <c r="AZ68" t="s">
        <v>74</v>
      </c>
      <c r="BA68" t="s">
        <v>74</v>
      </c>
      <c r="BB68" t="s">
        <v>74</v>
      </c>
      <c r="BC68" t="s">
        <v>74</v>
      </c>
      <c r="BD68">
        <v>162144</v>
      </c>
      <c r="BE68" t="s">
        <v>718</v>
      </c>
      <c r="BF68" t="str">
        <f>HYPERLINK("http://dx.doi.org/10.1016/j.cej.2025.162144","http://dx.doi.org/10.1016/j.cej.2025.162144")</f>
        <v>http://dx.doi.org/10.1016/j.cej.2025.162144</v>
      </c>
      <c r="BG68" t="s">
        <v>74</v>
      </c>
      <c r="BH68" t="s">
        <v>642</v>
      </c>
      <c r="BI68" t="s">
        <v>74</v>
      </c>
      <c r="BJ68" t="s">
        <v>74</v>
      </c>
      <c r="BK68" t="s">
        <v>74</v>
      </c>
      <c r="BL68" t="s">
        <v>74</v>
      </c>
      <c r="BM68" t="s">
        <v>74</v>
      </c>
      <c r="BN68" t="s">
        <v>74</v>
      </c>
      <c r="BO68" t="s">
        <v>74</v>
      </c>
      <c r="BP68" t="s">
        <v>74</v>
      </c>
      <c r="BQ68" t="s">
        <v>74</v>
      </c>
      <c r="BR68" t="s">
        <v>74</v>
      </c>
      <c r="BS68" t="s">
        <v>719</v>
      </c>
      <c r="BT68" t="str">
        <f>HYPERLINK("https%3A%2F%2Fwww.webofscience.com%2Fwos%2Fwoscc%2Ffull-record%2FWOS:001468712900001","View Full Record in Web of Science")</f>
        <v>View Full Record in Web of Science</v>
      </c>
    </row>
    <row r="69" spans="1:72" x14ac:dyDescent="0.2">
      <c r="A69" t="s">
        <v>72</v>
      </c>
      <c r="B69" t="s">
        <v>720</v>
      </c>
      <c r="C69" t="s">
        <v>74</v>
      </c>
      <c r="D69" t="s">
        <v>74</v>
      </c>
      <c r="E69" t="s">
        <v>74</v>
      </c>
      <c r="F69" t="s">
        <v>721</v>
      </c>
      <c r="G69" t="s">
        <v>74</v>
      </c>
      <c r="H69" t="s">
        <v>74</v>
      </c>
      <c r="I69" t="s">
        <v>722</v>
      </c>
      <c r="J69" t="s">
        <v>723</v>
      </c>
      <c r="K69" t="s">
        <v>74</v>
      </c>
      <c r="L69" t="s">
        <v>74</v>
      </c>
      <c r="M69" t="s">
        <v>74</v>
      </c>
      <c r="N69" t="s">
        <v>74</v>
      </c>
      <c r="O69" t="s">
        <v>74</v>
      </c>
      <c r="P69" t="s">
        <v>74</v>
      </c>
      <c r="Q69" t="s">
        <v>74</v>
      </c>
      <c r="R69" t="s">
        <v>74</v>
      </c>
      <c r="S69" t="s">
        <v>74</v>
      </c>
      <c r="T69" t="s">
        <v>74</v>
      </c>
      <c r="U69" t="s">
        <v>74</v>
      </c>
      <c r="V69" t="s">
        <v>724</v>
      </c>
      <c r="W69" t="s">
        <v>74</v>
      </c>
      <c r="X69" t="s">
        <v>74</v>
      </c>
      <c r="Y69" t="s">
        <v>74</v>
      </c>
      <c r="Z69" t="s">
        <v>74</v>
      </c>
      <c r="AA69" t="s">
        <v>725</v>
      </c>
      <c r="AB69" t="s">
        <v>726</v>
      </c>
      <c r="AC69" t="s">
        <v>74</v>
      </c>
      <c r="AD69" t="s">
        <v>74</v>
      </c>
      <c r="AE69" t="s">
        <v>74</v>
      </c>
      <c r="AF69" t="s">
        <v>74</v>
      </c>
      <c r="AG69" t="s">
        <v>74</v>
      </c>
      <c r="AH69" t="s">
        <v>74</v>
      </c>
      <c r="AI69" t="s">
        <v>74</v>
      </c>
      <c r="AJ69" t="s">
        <v>74</v>
      </c>
      <c r="AK69" t="s">
        <v>74</v>
      </c>
      <c r="AL69" t="s">
        <v>74</v>
      </c>
      <c r="AM69" t="s">
        <v>74</v>
      </c>
      <c r="AN69" t="s">
        <v>74</v>
      </c>
      <c r="AO69" t="s">
        <v>727</v>
      </c>
      <c r="AP69" t="s">
        <v>728</v>
      </c>
      <c r="AQ69" t="s">
        <v>74</v>
      </c>
      <c r="AR69" t="s">
        <v>74</v>
      </c>
      <c r="AS69" t="s">
        <v>74</v>
      </c>
      <c r="AT69" t="s">
        <v>729</v>
      </c>
      <c r="AU69">
        <v>2025</v>
      </c>
      <c r="AV69">
        <v>54</v>
      </c>
      <c r="AW69">
        <v>9</v>
      </c>
      <c r="AX69" t="s">
        <v>74</v>
      </c>
      <c r="AY69" t="s">
        <v>74</v>
      </c>
      <c r="AZ69" t="s">
        <v>74</v>
      </c>
      <c r="BA69" t="s">
        <v>74</v>
      </c>
      <c r="BB69">
        <v>4104</v>
      </c>
      <c r="BC69">
        <v>4134</v>
      </c>
      <c r="BD69" t="s">
        <v>74</v>
      </c>
      <c r="BE69" t="s">
        <v>730</v>
      </c>
      <c r="BF69" t="str">
        <f>HYPERLINK("http://dx.doi.org/10.1039/d4cs01288g","http://dx.doi.org/10.1039/d4cs01288g")</f>
        <v>http://dx.doi.org/10.1039/d4cs01288g</v>
      </c>
      <c r="BG69" t="s">
        <v>74</v>
      </c>
      <c r="BH69" t="s">
        <v>642</v>
      </c>
      <c r="BI69" t="s">
        <v>74</v>
      </c>
      <c r="BJ69" t="s">
        <v>74</v>
      </c>
      <c r="BK69" t="s">
        <v>74</v>
      </c>
      <c r="BL69" t="s">
        <v>74</v>
      </c>
      <c r="BM69" t="s">
        <v>74</v>
      </c>
      <c r="BN69">
        <v>40202815</v>
      </c>
      <c r="BO69" t="s">
        <v>74</v>
      </c>
      <c r="BP69" t="s">
        <v>74</v>
      </c>
      <c r="BQ69" t="s">
        <v>74</v>
      </c>
      <c r="BR69" t="s">
        <v>74</v>
      </c>
      <c r="BS69" t="s">
        <v>731</v>
      </c>
      <c r="BT69" t="str">
        <f>HYPERLINK("https%3A%2F%2Fwww.webofscience.com%2Fwos%2Fwoscc%2Ffull-record%2FWOS:001462163200001","View Full Record in Web of Science")</f>
        <v>View Full Record in Web of Science</v>
      </c>
    </row>
    <row r="70" spans="1:72" x14ac:dyDescent="0.2">
      <c r="A70" t="s">
        <v>72</v>
      </c>
      <c r="B70" t="s">
        <v>732</v>
      </c>
      <c r="C70" t="s">
        <v>74</v>
      </c>
      <c r="D70" t="s">
        <v>74</v>
      </c>
      <c r="E70" t="s">
        <v>74</v>
      </c>
      <c r="F70" t="s">
        <v>733</v>
      </c>
      <c r="G70" t="s">
        <v>74</v>
      </c>
      <c r="H70" t="s">
        <v>74</v>
      </c>
      <c r="I70" t="s">
        <v>734</v>
      </c>
      <c r="J70" t="s">
        <v>735</v>
      </c>
      <c r="K70" t="s">
        <v>74</v>
      </c>
      <c r="L70" t="s">
        <v>74</v>
      </c>
      <c r="M70" t="s">
        <v>74</v>
      </c>
      <c r="N70" t="s">
        <v>74</v>
      </c>
      <c r="O70" t="s">
        <v>74</v>
      </c>
      <c r="P70" t="s">
        <v>74</v>
      </c>
      <c r="Q70" t="s">
        <v>74</v>
      </c>
      <c r="R70" t="s">
        <v>74</v>
      </c>
      <c r="S70" t="s">
        <v>74</v>
      </c>
      <c r="T70" t="s">
        <v>74</v>
      </c>
      <c r="U70" t="s">
        <v>74</v>
      </c>
      <c r="V70" t="s">
        <v>736</v>
      </c>
      <c r="W70" t="s">
        <v>74</v>
      </c>
      <c r="X70" t="s">
        <v>74</v>
      </c>
      <c r="Y70" t="s">
        <v>74</v>
      </c>
      <c r="Z70" t="s">
        <v>74</v>
      </c>
      <c r="AA70" t="s">
        <v>74</v>
      </c>
      <c r="AB70" t="s">
        <v>74</v>
      </c>
      <c r="AC70" t="s">
        <v>74</v>
      </c>
      <c r="AD70" t="s">
        <v>74</v>
      </c>
      <c r="AE70" t="s">
        <v>74</v>
      </c>
      <c r="AF70" t="s">
        <v>74</v>
      </c>
      <c r="AG70" t="s">
        <v>74</v>
      </c>
      <c r="AH70" t="s">
        <v>74</v>
      </c>
      <c r="AI70" t="s">
        <v>74</v>
      </c>
      <c r="AJ70" t="s">
        <v>74</v>
      </c>
      <c r="AK70" t="s">
        <v>74</v>
      </c>
      <c r="AL70" t="s">
        <v>74</v>
      </c>
      <c r="AM70" t="s">
        <v>74</v>
      </c>
      <c r="AN70" t="s">
        <v>74</v>
      </c>
      <c r="AO70" t="s">
        <v>737</v>
      </c>
      <c r="AP70" t="s">
        <v>738</v>
      </c>
      <c r="AQ70" t="s">
        <v>74</v>
      </c>
      <c r="AR70" t="s">
        <v>74</v>
      </c>
      <c r="AS70" t="s">
        <v>74</v>
      </c>
      <c r="AT70" t="s">
        <v>739</v>
      </c>
      <c r="AU70">
        <v>2025</v>
      </c>
      <c r="AV70" t="s">
        <v>74</v>
      </c>
      <c r="AW70" t="s">
        <v>74</v>
      </c>
      <c r="AX70" t="s">
        <v>74</v>
      </c>
      <c r="AY70" t="s">
        <v>74</v>
      </c>
      <c r="AZ70" t="s">
        <v>74</v>
      </c>
      <c r="BA70" t="s">
        <v>74</v>
      </c>
      <c r="BB70" t="s">
        <v>74</v>
      </c>
      <c r="BC70" t="s">
        <v>74</v>
      </c>
      <c r="BD70" t="s">
        <v>74</v>
      </c>
      <c r="BE70" t="s">
        <v>740</v>
      </c>
      <c r="BF70" t="str">
        <f>HYPERLINK("http://dx.doi.org/10.1007/s11426-024-2597-0","http://dx.doi.org/10.1007/s11426-024-2597-0")</f>
        <v>http://dx.doi.org/10.1007/s11426-024-2597-0</v>
      </c>
      <c r="BG70" t="s">
        <v>74</v>
      </c>
      <c r="BH70" t="s">
        <v>642</v>
      </c>
      <c r="BI70" t="s">
        <v>74</v>
      </c>
      <c r="BJ70" t="s">
        <v>74</v>
      </c>
      <c r="BK70" t="s">
        <v>74</v>
      </c>
      <c r="BL70" t="s">
        <v>74</v>
      </c>
      <c r="BM70" t="s">
        <v>74</v>
      </c>
      <c r="BN70" t="s">
        <v>74</v>
      </c>
      <c r="BO70" t="s">
        <v>74</v>
      </c>
      <c r="BP70" t="s">
        <v>74</v>
      </c>
      <c r="BQ70" t="s">
        <v>74</v>
      </c>
      <c r="BR70" t="s">
        <v>74</v>
      </c>
      <c r="BS70" t="s">
        <v>741</v>
      </c>
      <c r="BT70" t="str">
        <f>HYPERLINK("https%3A%2F%2Fwww.webofscience.com%2Fwos%2Fwoscc%2Ffull-record%2FWOS:001463301600001","View Full Record in Web of Science")</f>
        <v>View Full Record in Web of Science</v>
      </c>
    </row>
    <row r="71" spans="1:72" x14ac:dyDescent="0.2">
      <c r="A71" t="s">
        <v>72</v>
      </c>
      <c r="B71" t="s">
        <v>742</v>
      </c>
      <c r="C71" t="s">
        <v>74</v>
      </c>
      <c r="D71" t="s">
        <v>74</v>
      </c>
      <c r="E71" t="s">
        <v>74</v>
      </c>
      <c r="F71" t="s">
        <v>743</v>
      </c>
      <c r="G71" t="s">
        <v>74</v>
      </c>
      <c r="H71" t="s">
        <v>74</v>
      </c>
      <c r="I71" t="s">
        <v>744</v>
      </c>
      <c r="J71" t="s">
        <v>654</v>
      </c>
      <c r="K71" t="s">
        <v>74</v>
      </c>
      <c r="L71" t="s">
        <v>74</v>
      </c>
      <c r="M71" t="s">
        <v>74</v>
      </c>
      <c r="N71" t="s">
        <v>74</v>
      </c>
      <c r="O71" t="s">
        <v>74</v>
      </c>
      <c r="P71" t="s">
        <v>74</v>
      </c>
      <c r="Q71" t="s">
        <v>74</v>
      </c>
      <c r="R71" t="s">
        <v>74</v>
      </c>
      <c r="S71" t="s">
        <v>74</v>
      </c>
      <c r="T71" t="s">
        <v>74</v>
      </c>
      <c r="U71" t="s">
        <v>74</v>
      </c>
      <c r="V71" t="s">
        <v>745</v>
      </c>
      <c r="W71" t="s">
        <v>74</v>
      </c>
      <c r="X71" t="s">
        <v>74</v>
      </c>
      <c r="Y71" t="s">
        <v>74</v>
      </c>
      <c r="Z71" t="s">
        <v>74</v>
      </c>
      <c r="AA71" t="s">
        <v>746</v>
      </c>
      <c r="AB71" t="s">
        <v>747</v>
      </c>
      <c r="AC71" t="s">
        <v>74</v>
      </c>
      <c r="AD71" t="s">
        <v>74</v>
      </c>
      <c r="AE71" t="s">
        <v>74</v>
      </c>
      <c r="AF71" t="s">
        <v>74</v>
      </c>
      <c r="AG71" t="s">
        <v>74</v>
      </c>
      <c r="AH71" t="s">
        <v>74</v>
      </c>
      <c r="AI71" t="s">
        <v>74</v>
      </c>
      <c r="AJ71" t="s">
        <v>74</v>
      </c>
      <c r="AK71" t="s">
        <v>74</v>
      </c>
      <c r="AL71" t="s">
        <v>74</v>
      </c>
      <c r="AM71" t="s">
        <v>74</v>
      </c>
      <c r="AN71" t="s">
        <v>74</v>
      </c>
      <c r="AO71" t="s">
        <v>657</v>
      </c>
      <c r="AP71" t="s">
        <v>658</v>
      </c>
      <c r="AQ71" t="s">
        <v>74</v>
      </c>
      <c r="AR71" t="s">
        <v>74</v>
      </c>
      <c r="AS71" t="s">
        <v>74</v>
      </c>
      <c r="AT71" t="s">
        <v>748</v>
      </c>
      <c r="AU71">
        <v>2025</v>
      </c>
      <c r="AV71">
        <v>25</v>
      </c>
      <c r="AW71">
        <v>15</v>
      </c>
      <c r="AX71" t="s">
        <v>74</v>
      </c>
      <c r="AY71" t="s">
        <v>74</v>
      </c>
      <c r="AZ71" t="s">
        <v>74</v>
      </c>
      <c r="BA71" t="s">
        <v>74</v>
      </c>
      <c r="BB71">
        <v>5997</v>
      </c>
      <c r="BC71">
        <v>6004</v>
      </c>
      <c r="BD71" t="s">
        <v>74</v>
      </c>
      <c r="BE71" t="s">
        <v>749</v>
      </c>
      <c r="BF71" t="str">
        <f>HYPERLINK("http://dx.doi.org/10.1021/acs.nanolett.4c03750","http://dx.doi.org/10.1021/acs.nanolett.4c03750")</f>
        <v>http://dx.doi.org/10.1021/acs.nanolett.4c03750</v>
      </c>
      <c r="BG71" t="s">
        <v>74</v>
      </c>
      <c r="BH71" t="s">
        <v>642</v>
      </c>
      <c r="BI71" t="s">
        <v>74</v>
      </c>
      <c r="BJ71" t="s">
        <v>74</v>
      </c>
      <c r="BK71" t="s">
        <v>74</v>
      </c>
      <c r="BL71" t="s">
        <v>74</v>
      </c>
      <c r="BM71" t="s">
        <v>74</v>
      </c>
      <c r="BN71">
        <v>40193133</v>
      </c>
      <c r="BO71" t="s">
        <v>74</v>
      </c>
      <c r="BP71" t="s">
        <v>74</v>
      </c>
      <c r="BQ71" t="s">
        <v>74</v>
      </c>
      <c r="BR71" t="s">
        <v>74</v>
      </c>
      <c r="BS71" t="s">
        <v>750</v>
      </c>
      <c r="BT71" t="str">
        <f>HYPERLINK("https%3A%2F%2Fwww.webofscience.com%2Fwos%2Fwoscc%2Ffull-record%2FWOS:001460991700001","View Full Record in Web of Science")</f>
        <v>View Full Record in Web of Science</v>
      </c>
    </row>
    <row r="72" spans="1:72" x14ac:dyDescent="0.2">
      <c r="A72" t="s">
        <v>72</v>
      </c>
      <c r="B72" t="s">
        <v>751</v>
      </c>
      <c r="C72" t="s">
        <v>74</v>
      </c>
      <c r="D72" t="s">
        <v>74</v>
      </c>
      <c r="E72" t="s">
        <v>74</v>
      </c>
      <c r="F72" t="s">
        <v>752</v>
      </c>
      <c r="G72" t="s">
        <v>74</v>
      </c>
      <c r="H72" t="s">
        <v>74</v>
      </c>
      <c r="I72" t="s">
        <v>753</v>
      </c>
      <c r="J72" t="s">
        <v>754</v>
      </c>
      <c r="K72" t="s">
        <v>74</v>
      </c>
      <c r="L72" t="s">
        <v>74</v>
      </c>
      <c r="M72" t="s">
        <v>74</v>
      </c>
      <c r="N72" t="s">
        <v>74</v>
      </c>
      <c r="O72" t="s">
        <v>74</v>
      </c>
      <c r="P72" t="s">
        <v>74</v>
      </c>
      <c r="Q72" t="s">
        <v>74</v>
      </c>
      <c r="R72" t="s">
        <v>74</v>
      </c>
      <c r="S72" t="s">
        <v>74</v>
      </c>
      <c r="T72" t="s">
        <v>74</v>
      </c>
      <c r="U72" t="s">
        <v>74</v>
      </c>
      <c r="V72" t="s">
        <v>755</v>
      </c>
      <c r="W72" t="s">
        <v>74</v>
      </c>
      <c r="X72" t="s">
        <v>74</v>
      </c>
      <c r="Y72" t="s">
        <v>74</v>
      </c>
      <c r="Z72" t="s">
        <v>74</v>
      </c>
      <c r="AA72" t="s">
        <v>756</v>
      </c>
      <c r="AB72" t="s">
        <v>74</v>
      </c>
      <c r="AC72" t="s">
        <v>74</v>
      </c>
      <c r="AD72" t="s">
        <v>74</v>
      </c>
      <c r="AE72" t="s">
        <v>74</v>
      </c>
      <c r="AF72" t="s">
        <v>74</v>
      </c>
      <c r="AG72" t="s">
        <v>74</v>
      </c>
      <c r="AH72" t="s">
        <v>74</v>
      </c>
      <c r="AI72" t="s">
        <v>74</v>
      </c>
      <c r="AJ72" t="s">
        <v>74</v>
      </c>
      <c r="AK72" t="s">
        <v>74</v>
      </c>
      <c r="AL72" t="s">
        <v>74</v>
      </c>
      <c r="AM72" t="s">
        <v>74</v>
      </c>
      <c r="AN72" t="s">
        <v>74</v>
      </c>
      <c r="AO72" t="s">
        <v>757</v>
      </c>
      <c r="AP72" t="s">
        <v>758</v>
      </c>
      <c r="AQ72" t="s">
        <v>74</v>
      </c>
      <c r="AR72" t="s">
        <v>74</v>
      </c>
      <c r="AS72" t="s">
        <v>74</v>
      </c>
      <c r="AT72" t="s">
        <v>759</v>
      </c>
      <c r="AU72">
        <v>2025</v>
      </c>
      <c r="AV72">
        <v>987</v>
      </c>
      <c r="AW72" t="s">
        <v>74</v>
      </c>
      <c r="AX72" t="s">
        <v>74</v>
      </c>
      <c r="AY72" t="s">
        <v>74</v>
      </c>
      <c r="AZ72" t="s">
        <v>74</v>
      </c>
      <c r="BA72" t="s">
        <v>74</v>
      </c>
      <c r="BB72" t="s">
        <v>74</v>
      </c>
      <c r="BC72" t="s">
        <v>74</v>
      </c>
      <c r="BD72">
        <v>119106</v>
      </c>
      <c r="BE72" t="s">
        <v>760</v>
      </c>
      <c r="BF72" t="str">
        <f>HYPERLINK("http://dx.doi.org/10.1016/j.jelechem.2025.119106","http://dx.doi.org/10.1016/j.jelechem.2025.119106")</f>
        <v>http://dx.doi.org/10.1016/j.jelechem.2025.119106</v>
      </c>
      <c r="BG72" t="s">
        <v>74</v>
      </c>
      <c r="BH72" t="s">
        <v>642</v>
      </c>
      <c r="BI72" t="s">
        <v>74</v>
      </c>
      <c r="BJ72" t="s">
        <v>74</v>
      </c>
      <c r="BK72" t="s">
        <v>74</v>
      </c>
      <c r="BL72" t="s">
        <v>74</v>
      </c>
      <c r="BM72" t="s">
        <v>74</v>
      </c>
      <c r="BN72" t="s">
        <v>74</v>
      </c>
      <c r="BO72" t="s">
        <v>74</v>
      </c>
      <c r="BP72" t="s">
        <v>74</v>
      </c>
      <c r="BQ72" t="s">
        <v>74</v>
      </c>
      <c r="BR72" t="s">
        <v>74</v>
      </c>
      <c r="BS72" t="s">
        <v>761</v>
      </c>
      <c r="BT72" t="str">
        <f>HYPERLINK("https%3A%2F%2Fwww.webofscience.com%2Fwos%2Fwoscc%2Ffull-record%2FWOS:001468889300001","View Full Record in Web of Science")</f>
        <v>View Full Record in Web of Science</v>
      </c>
    </row>
    <row r="73" spans="1:72" x14ac:dyDescent="0.2">
      <c r="A73" t="s">
        <v>72</v>
      </c>
      <c r="B73" t="s">
        <v>762</v>
      </c>
      <c r="C73" t="s">
        <v>74</v>
      </c>
      <c r="D73" t="s">
        <v>74</v>
      </c>
      <c r="E73" t="s">
        <v>74</v>
      </c>
      <c r="F73" t="s">
        <v>763</v>
      </c>
      <c r="G73" t="s">
        <v>74</v>
      </c>
      <c r="H73" t="s">
        <v>74</v>
      </c>
      <c r="I73" t="s">
        <v>764</v>
      </c>
      <c r="J73" t="s">
        <v>231</v>
      </c>
      <c r="K73" t="s">
        <v>74</v>
      </c>
      <c r="L73" t="s">
        <v>74</v>
      </c>
      <c r="M73" t="s">
        <v>74</v>
      </c>
      <c r="N73" t="s">
        <v>74</v>
      </c>
      <c r="O73" t="s">
        <v>74</v>
      </c>
      <c r="P73" t="s">
        <v>74</v>
      </c>
      <c r="Q73" t="s">
        <v>74</v>
      </c>
      <c r="R73" t="s">
        <v>74</v>
      </c>
      <c r="S73" t="s">
        <v>74</v>
      </c>
      <c r="T73" t="s">
        <v>74</v>
      </c>
      <c r="U73" t="s">
        <v>74</v>
      </c>
      <c r="V73" t="s">
        <v>765</v>
      </c>
      <c r="W73" t="s">
        <v>74</v>
      </c>
      <c r="X73" t="s">
        <v>74</v>
      </c>
      <c r="Y73" t="s">
        <v>74</v>
      </c>
      <c r="Z73" t="s">
        <v>74</v>
      </c>
      <c r="AA73" t="s">
        <v>766</v>
      </c>
      <c r="AB73" t="s">
        <v>74</v>
      </c>
      <c r="AC73" t="s">
        <v>74</v>
      </c>
      <c r="AD73" t="s">
        <v>74</v>
      </c>
      <c r="AE73" t="s">
        <v>74</v>
      </c>
      <c r="AF73" t="s">
        <v>74</v>
      </c>
      <c r="AG73" t="s">
        <v>74</v>
      </c>
      <c r="AH73" t="s">
        <v>74</v>
      </c>
      <c r="AI73" t="s">
        <v>74</v>
      </c>
      <c r="AJ73" t="s">
        <v>74</v>
      </c>
      <c r="AK73" t="s">
        <v>74</v>
      </c>
      <c r="AL73" t="s">
        <v>74</v>
      </c>
      <c r="AM73" t="s">
        <v>74</v>
      </c>
      <c r="AN73" t="s">
        <v>74</v>
      </c>
      <c r="AO73" t="s">
        <v>74</v>
      </c>
      <c r="AP73" t="s">
        <v>234</v>
      </c>
      <c r="AQ73" t="s">
        <v>74</v>
      </c>
      <c r="AR73" t="s">
        <v>74</v>
      </c>
      <c r="AS73" t="s">
        <v>74</v>
      </c>
      <c r="AT73" t="s">
        <v>767</v>
      </c>
      <c r="AU73">
        <v>2025</v>
      </c>
      <c r="AV73">
        <v>64</v>
      </c>
      <c r="AW73">
        <v>22</v>
      </c>
      <c r="AX73" t="s">
        <v>74</v>
      </c>
      <c r="AY73" t="s">
        <v>74</v>
      </c>
      <c r="AZ73" t="s">
        <v>74</v>
      </c>
      <c r="BA73" t="s">
        <v>74</v>
      </c>
      <c r="BB73" t="s">
        <v>74</v>
      </c>
      <c r="BC73" t="s">
        <v>74</v>
      </c>
      <c r="BD73" t="s">
        <v>74</v>
      </c>
      <c r="BE73" t="s">
        <v>768</v>
      </c>
      <c r="BF73" t="str">
        <f>HYPERLINK("http://dx.doi.org/10.1002/anie.202503376","http://dx.doi.org/10.1002/anie.202503376")</f>
        <v>http://dx.doi.org/10.1002/anie.202503376</v>
      </c>
      <c r="BG73" t="s">
        <v>74</v>
      </c>
      <c r="BH73" t="s">
        <v>642</v>
      </c>
      <c r="BI73" t="s">
        <v>74</v>
      </c>
      <c r="BJ73" t="s">
        <v>74</v>
      </c>
      <c r="BK73" t="s">
        <v>74</v>
      </c>
      <c r="BL73" t="s">
        <v>74</v>
      </c>
      <c r="BM73" t="s">
        <v>74</v>
      </c>
      <c r="BN73">
        <v>40119661</v>
      </c>
      <c r="BO73" t="s">
        <v>74</v>
      </c>
      <c r="BP73" t="s">
        <v>74</v>
      </c>
      <c r="BQ73" t="s">
        <v>74</v>
      </c>
      <c r="BR73" t="s">
        <v>74</v>
      </c>
      <c r="BS73" t="s">
        <v>769</v>
      </c>
      <c r="BT73" t="str">
        <f>HYPERLINK("https%3A%2F%2Fwww.webofscience.com%2Fwos%2Fwoscc%2Ffull-record%2FWOS:001457464500001","View Full Record in Web of Science")</f>
        <v>View Full Record in Web of Science</v>
      </c>
    </row>
    <row r="74" spans="1:72" x14ac:dyDescent="0.2">
      <c r="A74" t="s">
        <v>72</v>
      </c>
      <c r="B74" t="s">
        <v>770</v>
      </c>
      <c r="C74" t="s">
        <v>74</v>
      </c>
      <c r="D74" t="s">
        <v>74</v>
      </c>
      <c r="E74" t="s">
        <v>74</v>
      </c>
      <c r="F74" t="s">
        <v>771</v>
      </c>
      <c r="G74" t="s">
        <v>74</v>
      </c>
      <c r="H74" t="s">
        <v>74</v>
      </c>
      <c r="I74" t="s">
        <v>772</v>
      </c>
      <c r="J74" t="s">
        <v>422</v>
      </c>
      <c r="K74" t="s">
        <v>74</v>
      </c>
      <c r="L74" t="s">
        <v>74</v>
      </c>
      <c r="M74" t="s">
        <v>74</v>
      </c>
      <c r="N74" t="s">
        <v>74</v>
      </c>
      <c r="O74" t="s">
        <v>74</v>
      </c>
      <c r="P74" t="s">
        <v>74</v>
      </c>
      <c r="Q74" t="s">
        <v>74</v>
      </c>
      <c r="R74" t="s">
        <v>74</v>
      </c>
      <c r="S74" t="s">
        <v>74</v>
      </c>
      <c r="T74" t="s">
        <v>74</v>
      </c>
      <c r="U74" t="s">
        <v>74</v>
      </c>
      <c r="V74" t="s">
        <v>773</v>
      </c>
      <c r="W74" t="s">
        <v>74</v>
      </c>
      <c r="X74" t="s">
        <v>74</v>
      </c>
      <c r="Y74" t="s">
        <v>74</v>
      </c>
      <c r="Z74" t="s">
        <v>74</v>
      </c>
      <c r="AA74" t="s">
        <v>74</v>
      </c>
      <c r="AB74" t="s">
        <v>774</v>
      </c>
      <c r="AC74" t="s">
        <v>74</v>
      </c>
      <c r="AD74" t="s">
        <v>74</v>
      </c>
      <c r="AE74" t="s">
        <v>74</v>
      </c>
      <c r="AF74" t="s">
        <v>74</v>
      </c>
      <c r="AG74" t="s">
        <v>74</v>
      </c>
      <c r="AH74" t="s">
        <v>74</v>
      </c>
      <c r="AI74" t="s">
        <v>74</v>
      </c>
      <c r="AJ74" t="s">
        <v>74</v>
      </c>
      <c r="AK74" t="s">
        <v>74</v>
      </c>
      <c r="AL74" t="s">
        <v>74</v>
      </c>
      <c r="AM74" t="s">
        <v>74</v>
      </c>
      <c r="AN74" t="s">
        <v>74</v>
      </c>
      <c r="AO74" t="s">
        <v>426</v>
      </c>
      <c r="AP74" t="s">
        <v>74</v>
      </c>
      <c r="AQ74" t="s">
        <v>74</v>
      </c>
      <c r="AR74" t="s">
        <v>74</v>
      </c>
      <c r="AS74" t="s">
        <v>74</v>
      </c>
      <c r="AT74" t="s">
        <v>775</v>
      </c>
      <c r="AU74">
        <v>2025</v>
      </c>
      <c r="AV74">
        <v>8</v>
      </c>
      <c r="AW74">
        <v>7</v>
      </c>
      <c r="AX74" t="s">
        <v>74</v>
      </c>
      <c r="AY74" t="s">
        <v>74</v>
      </c>
      <c r="AZ74" t="s">
        <v>74</v>
      </c>
      <c r="BA74" t="s">
        <v>74</v>
      </c>
      <c r="BB74">
        <v>4299</v>
      </c>
      <c r="BC74">
        <v>4310</v>
      </c>
      <c r="BD74" t="s">
        <v>74</v>
      </c>
      <c r="BE74" t="s">
        <v>776</v>
      </c>
      <c r="BF74" t="str">
        <f>HYPERLINK("http://dx.doi.org/10.1021/acsaem.4c03245","http://dx.doi.org/10.1021/acsaem.4c03245")</f>
        <v>http://dx.doi.org/10.1021/acsaem.4c03245</v>
      </c>
      <c r="BG74" t="s">
        <v>74</v>
      </c>
      <c r="BH74" t="s">
        <v>777</v>
      </c>
      <c r="BI74" t="s">
        <v>74</v>
      </c>
      <c r="BJ74" t="s">
        <v>74</v>
      </c>
      <c r="BK74" t="s">
        <v>74</v>
      </c>
      <c r="BL74" t="s">
        <v>74</v>
      </c>
      <c r="BM74" t="s">
        <v>74</v>
      </c>
      <c r="BN74" t="s">
        <v>74</v>
      </c>
      <c r="BO74" t="s">
        <v>74</v>
      </c>
      <c r="BP74" t="s">
        <v>74</v>
      </c>
      <c r="BQ74" t="s">
        <v>74</v>
      </c>
      <c r="BR74" t="s">
        <v>74</v>
      </c>
      <c r="BS74" t="s">
        <v>778</v>
      </c>
      <c r="BT74" t="str">
        <f>HYPERLINK("https%3A%2F%2Fwww.webofscience.com%2Fwos%2Fwoscc%2Ffull-record%2FWOS:001455030700001","View Full Record in Web of Science")</f>
        <v>View Full Record in Web of Science</v>
      </c>
    </row>
    <row r="75" spans="1:72" x14ac:dyDescent="0.2">
      <c r="A75" t="s">
        <v>72</v>
      </c>
      <c r="B75" t="s">
        <v>779</v>
      </c>
      <c r="C75" t="s">
        <v>74</v>
      </c>
      <c r="D75" t="s">
        <v>74</v>
      </c>
      <c r="E75" t="s">
        <v>74</v>
      </c>
      <c r="F75" t="s">
        <v>780</v>
      </c>
      <c r="G75" t="s">
        <v>74</v>
      </c>
      <c r="H75" t="s">
        <v>74</v>
      </c>
      <c r="I75" t="s">
        <v>781</v>
      </c>
      <c r="J75" t="s">
        <v>140</v>
      </c>
      <c r="K75" t="s">
        <v>74</v>
      </c>
      <c r="L75" t="s">
        <v>74</v>
      </c>
      <c r="M75" t="s">
        <v>74</v>
      </c>
      <c r="N75" t="s">
        <v>74</v>
      </c>
      <c r="O75" t="s">
        <v>74</v>
      </c>
      <c r="P75" t="s">
        <v>74</v>
      </c>
      <c r="Q75" t="s">
        <v>74</v>
      </c>
      <c r="R75" t="s">
        <v>74</v>
      </c>
      <c r="S75" t="s">
        <v>74</v>
      </c>
      <c r="T75" t="s">
        <v>74</v>
      </c>
      <c r="U75" t="s">
        <v>74</v>
      </c>
      <c r="V75" t="s">
        <v>782</v>
      </c>
      <c r="W75" t="s">
        <v>74</v>
      </c>
      <c r="X75" t="s">
        <v>74</v>
      </c>
      <c r="Y75" t="s">
        <v>74</v>
      </c>
      <c r="Z75" t="s">
        <v>74</v>
      </c>
      <c r="AA75" t="s">
        <v>783</v>
      </c>
      <c r="AB75" t="s">
        <v>74</v>
      </c>
      <c r="AC75" t="s">
        <v>74</v>
      </c>
      <c r="AD75" t="s">
        <v>74</v>
      </c>
      <c r="AE75" t="s">
        <v>74</v>
      </c>
      <c r="AF75" t="s">
        <v>74</v>
      </c>
      <c r="AG75" t="s">
        <v>74</v>
      </c>
      <c r="AH75" t="s">
        <v>74</v>
      </c>
      <c r="AI75" t="s">
        <v>74</v>
      </c>
      <c r="AJ75" t="s">
        <v>74</v>
      </c>
      <c r="AK75" t="s">
        <v>74</v>
      </c>
      <c r="AL75" t="s">
        <v>74</v>
      </c>
      <c r="AM75" t="s">
        <v>74</v>
      </c>
      <c r="AN75" t="s">
        <v>74</v>
      </c>
      <c r="AO75" t="s">
        <v>142</v>
      </c>
      <c r="AP75" t="s">
        <v>143</v>
      </c>
      <c r="AQ75" t="s">
        <v>74</v>
      </c>
      <c r="AR75" t="s">
        <v>74</v>
      </c>
      <c r="AS75" t="s">
        <v>74</v>
      </c>
      <c r="AT75" t="s">
        <v>592</v>
      </c>
      <c r="AU75">
        <v>2025</v>
      </c>
      <c r="AV75">
        <v>119</v>
      </c>
      <c r="AW75" t="s">
        <v>74</v>
      </c>
      <c r="AX75" t="s">
        <v>74</v>
      </c>
      <c r="AY75" t="s">
        <v>74</v>
      </c>
      <c r="AZ75" t="s">
        <v>74</v>
      </c>
      <c r="BA75" t="s">
        <v>74</v>
      </c>
      <c r="BB75" t="s">
        <v>74</v>
      </c>
      <c r="BC75" t="s">
        <v>74</v>
      </c>
      <c r="BD75">
        <v>116418</v>
      </c>
      <c r="BE75" t="s">
        <v>784</v>
      </c>
      <c r="BF75" t="str">
        <f>HYPERLINK("http://dx.doi.org/10.1016/j.est.2025.116418","http://dx.doi.org/10.1016/j.est.2025.116418")</f>
        <v>http://dx.doi.org/10.1016/j.est.2025.116418</v>
      </c>
      <c r="BG75" t="s">
        <v>74</v>
      </c>
      <c r="BH75" t="s">
        <v>777</v>
      </c>
      <c r="BI75" t="s">
        <v>74</v>
      </c>
      <c r="BJ75" t="s">
        <v>74</v>
      </c>
      <c r="BK75" t="s">
        <v>74</v>
      </c>
      <c r="BL75" t="s">
        <v>74</v>
      </c>
      <c r="BM75" t="s">
        <v>74</v>
      </c>
      <c r="BN75" t="s">
        <v>74</v>
      </c>
      <c r="BO75" t="s">
        <v>74</v>
      </c>
      <c r="BP75" t="s">
        <v>74</v>
      </c>
      <c r="BQ75" t="s">
        <v>74</v>
      </c>
      <c r="BR75" t="s">
        <v>74</v>
      </c>
      <c r="BS75" t="s">
        <v>785</v>
      </c>
      <c r="BT75" t="str">
        <f>HYPERLINK("https%3A%2F%2Fwww.webofscience.com%2Fwos%2Fwoscc%2Ffull-record%2FWOS:001459177700001","View Full Record in Web of Science")</f>
        <v>View Full Record in Web of Science</v>
      </c>
    </row>
    <row r="76" spans="1:72" x14ac:dyDescent="0.2">
      <c r="A76" t="s">
        <v>72</v>
      </c>
      <c r="B76" t="s">
        <v>786</v>
      </c>
      <c r="C76" t="s">
        <v>74</v>
      </c>
      <c r="D76" t="s">
        <v>74</v>
      </c>
      <c r="E76" t="s">
        <v>74</v>
      </c>
      <c r="F76" t="s">
        <v>787</v>
      </c>
      <c r="G76" t="s">
        <v>74</v>
      </c>
      <c r="H76" t="s">
        <v>74</v>
      </c>
      <c r="I76" t="s">
        <v>788</v>
      </c>
      <c r="J76" t="s">
        <v>98</v>
      </c>
      <c r="K76" t="s">
        <v>74</v>
      </c>
      <c r="L76" t="s">
        <v>74</v>
      </c>
      <c r="M76" t="s">
        <v>74</v>
      </c>
      <c r="N76" t="s">
        <v>74</v>
      </c>
      <c r="O76" t="s">
        <v>74</v>
      </c>
      <c r="P76" t="s">
        <v>74</v>
      </c>
      <c r="Q76" t="s">
        <v>74</v>
      </c>
      <c r="R76" t="s">
        <v>74</v>
      </c>
      <c r="S76" t="s">
        <v>74</v>
      </c>
      <c r="T76" t="s">
        <v>74</v>
      </c>
      <c r="U76" t="s">
        <v>74</v>
      </c>
      <c r="V76" t="s">
        <v>789</v>
      </c>
      <c r="W76" t="s">
        <v>74</v>
      </c>
      <c r="X76" t="s">
        <v>74</v>
      </c>
      <c r="Y76" t="s">
        <v>74</v>
      </c>
      <c r="Z76" t="s">
        <v>74</v>
      </c>
      <c r="AA76" t="s">
        <v>790</v>
      </c>
      <c r="AB76" t="s">
        <v>791</v>
      </c>
      <c r="AC76" t="s">
        <v>74</v>
      </c>
      <c r="AD76" t="s">
        <v>74</v>
      </c>
      <c r="AE76" t="s">
        <v>74</v>
      </c>
      <c r="AF76" t="s">
        <v>74</v>
      </c>
      <c r="AG76" t="s">
        <v>74</v>
      </c>
      <c r="AH76" t="s">
        <v>74</v>
      </c>
      <c r="AI76" t="s">
        <v>74</v>
      </c>
      <c r="AJ76" t="s">
        <v>74</v>
      </c>
      <c r="AK76" t="s">
        <v>74</v>
      </c>
      <c r="AL76" t="s">
        <v>74</v>
      </c>
      <c r="AM76" t="s">
        <v>74</v>
      </c>
      <c r="AN76" t="s">
        <v>74</v>
      </c>
      <c r="AO76" t="s">
        <v>101</v>
      </c>
      <c r="AP76" t="s">
        <v>102</v>
      </c>
      <c r="AQ76" t="s">
        <v>74</v>
      </c>
      <c r="AR76" t="s">
        <v>74</v>
      </c>
      <c r="AS76" t="s">
        <v>74</v>
      </c>
      <c r="AT76" t="s">
        <v>759</v>
      </c>
      <c r="AU76">
        <v>2025</v>
      </c>
      <c r="AV76">
        <v>641</v>
      </c>
      <c r="AW76" t="s">
        <v>74</v>
      </c>
      <c r="AX76" t="s">
        <v>74</v>
      </c>
      <c r="AY76" t="s">
        <v>74</v>
      </c>
      <c r="AZ76" t="s">
        <v>74</v>
      </c>
      <c r="BA76" t="s">
        <v>74</v>
      </c>
      <c r="BB76" t="s">
        <v>74</v>
      </c>
      <c r="BC76" t="s">
        <v>74</v>
      </c>
      <c r="BD76">
        <v>236800</v>
      </c>
      <c r="BE76" t="s">
        <v>792</v>
      </c>
      <c r="BF76" t="str">
        <f>HYPERLINK("http://dx.doi.org/10.1016/j.jpowsour.2025.236800","http://dx.doi.org/10.1016/j.jpowsour.2025.236800")</f>
        <v>http://dx.doi.org/10.1016/j.jpowsour.2025.236800</v>
      </c>
      <c r="BG76" t="s">
        <v>74</v>
      </c>
      <c r="BH76" t="s">
        <v>777</v>
      </c>
      <c r="BI76" t="s">
        <v>74</v>
      </c>
      <c r="BJ76" t="s">
        <v>74</v>
      </c>
      <c r="BK76" t="s">
        <v>74</v>
      </c>
      <c r="BL76" t="s">
        <v>74</v>
      </c>
      <c r="BM76" t="s">
        <v>74</v>
      </c>
      <c r="BN76" t="s">
        <v>74</v>
      </c>
      <c r="BO76" t="s">
        <v>74</v>
      </c>
      <c r="BP76" t="s">
        <v>74</v>
      </c>
      <c r="BQ76" t="s">
        <v>74</v>
      </c>
      <c r="BR76" t="s">
        <v>74</v>
      </c>
      <c r="BS76" t="s">
        <v>793</v>
      </c>
      <c r="BT76" t="str">
        <f>HYPERLINK("https%3A%2F%2Fwww.webofscience.com%2Fwos%2Fwoscc%2Ffull-record%2FWOS:001457475400001","View Full Record in Web of Science")</f>
        <v>View Full Record in Web of Science</v>
      </c>
    </row>
    <row r="77" spans="1:72" x14ac:dyDescent="0.2">
      <c r="A77" t="s">
        <v>72</v>
      </c>
      <c r="B77" t="s">
        <v>794</v>
      </c>
      <c r="C77" t="s">
        <v>74</v>
      </c>
      <c r="D77" t="s">
        <v>74</v>
      </c>
      <c r="E77" t="s">
        <v>74</v>
      </c>
      <c r="F77" t="s">
        <v>795</v>
      </c>
      <c r="G77" t="s">
        <v>74</v>
      </c>
      <c r="H77" t="s">
        <v>74</v>
      </c>
      <c r="I77" t="s">
        <v>796</v>
      </c>
      <c r="J77" t="s">
        <v>161</v>
      </c>
      <c r="K77" t="s">
        <v>74</v>
      </c>
      <c r="L77" t="s">
        <v>74</v>
      </c>
      <c r="M77" t="s">
        <v>74</v>
      </c>
      <c r="N77" t="s">
        <v>74</v>
      </c>
      <c r="O77" t="s">
        <v>74</v>
      </c>
      <c r="P77" t="s">
        <v>74</v>
      </c>
      <c r="Q77" t="s">
        <v>74</v>
      </c>
      <c r="R77" t="s">
        <v>74</v>
      </c>
      <c r="S77" t="s">
        <v>74</v>
      </c>
      <c r="T77" t="s">
        <v>74</v>
      </c>
      <c r="U77" t="s">
        <v>74</v>
      </c>
      <c r="V77" t="s">
        <v>797</v>
      </c>
      <c r="W77" t="s">
        <v>74</v>
      </c>
      <c r="X77" t="s">
        <v>74</v>
      </c>
      <c r="Y77" t="s">
        <v>74</v>
      </c>
      <c r="Z77" t="s">
        <v>74</v>
      </c>
      <c r="AA77" t="s">
        <v>74</v>
      </c>
      <c r="AB77" t="s">
        <v>74</v>
      </c>
      <c r="AC77" t="s">
        <v>74</v>
      </c>
      <c r="AD77" t="s">
        <v>74</v>
      </c>
      <c r="AE77" t="s">
        <v>74</v>
      </c>
      <c r="AF77" t="s">
        <v>74</v>
      </c>
      <c r="AG77" t="s">
        <v>74</v>
      </c>
      <c r="AH77" t="s">
        <v>74</v>
      </c>
      <c r="AI77" t="s">
        <v>74</v>
      </c>
      <c r="AJ77" t="s">
        <v>74</v>
      </c>
      <c r="AK77" t="s">
        <v>74</v>
      </c>
      <c r="AL77" t="s">
        <v>74</v>
      </c>
      <c r="AM77" t="s">
        <v>74</v>
      </c>
      <c r="AN77" t="s">
        <v>74</v>
      </c>
      <c r="AO77" t="s">
        <v>163</v>
      </c>
      <c r="AP77" t="s">
        <v>164</v>
      </c>
      <c r="AQ77" t="s">
        <v>74</v>
      </c>
      <c r="AR77" t="s">
        <v>74</v>
      </c>
      <c r="AS77" t="s">
        <v>74</v>
      </c>
      <c r="AT77" t="s">
        <v>798</v>
      </c>
      <c r="AU77">
        <v>2025</v>
      </c>
      <c r="AV77">
        <v>510</v>
      </c>
      <c r="AW77" t="s">
        <v>74</v>
      </c>
      <c r="AX77" t="s">
        <v>74</v>
      </c>
      <c r="AY77" t="s">
        <v>74</v>
      </c>
      <c r="AZ77" t="s">
        <v>74</v>
      </c>
      <c r="BA77" t="s">
        <v>74</v>
      </c>
      <c r="BB77" t="s">
        <v>74</v>
      </c>
      <c r="BC77" t="s">
        <v>74</v>
      </c>
      <c r="BD77">
        <v>161776</v>
      </c>
      <c r="BE77" t="s">
        <v>799</v>
      </c>
      <c r="BF77" t="str">
        <f>HYPERLINK("http://dx.doi.org/10.1016/j.cej.2025.161776","http://dx.doi.org/10.1016/j.cej.2025.161776")</f>
        <v>http://dx.doi.org/10.1016/j.cej.2025.161776</v>
      </c>
      <c r="BG77" t="s">
        <v>74</v>
      </c>
      <c r="BH77" t="s">
        <v>777</v>
      </c>
      <c r="BI77" t="s">
        <v>74</v>
      </c>
      <c r="BJ77" t="s">
        <v>74</v>
      </c>
      <c r="BK77" t="s">
        <v>74</v>
      </c>
      <c r="BL77" t="s">
        <v>74</v>
      </c>
      <c r="BM77" t="s">
        <v>74</v>
      </c>
      <c r="BN77" t="s">
        <v>74</v>
      </c>
      <c r="BO77" t="s">
        <v>74</v>
      </c>
      <c r="BP77" t="s">
        <v>74</v>
      </c>
      <c r="BQ77" t="s">
        <v>74</v>
      </c>
      <c r="BR77" t="s">
        <v>74</v>
      </c>
      <c r="BS77" t="s">
        <v>800</v>
      </c>
      <c r="BT77" t="str">
        <f>HYPERLINK("https%3A%2F%2Fwww.webofscience.com%2Fwos%2Fwoscc%2Ffull-record%2FWOS:001455549000001","View Full Record in Web of Science")</f>
        <v>View Full Record in Web of Science</v>
      </c>
    </row>
    <row r="78" spans="1:72" x14ac:dyDescent="0.2">
      <c r="A78" t="s">
        <v>72</v>
      </c>
      <c r="B78" t="s">
        <v>801</v>
      </c>
      <c r="C78" t="s">
        <v>74</v>
      </c>
      <c r="D78" t="s">
        <v>74</v>
      </c>
      <c r="E78" t="s">
        <v>74</v>
      </c>
      <c r="F78" t="s">
        <v>802</v>
      </c>
      <c r="G78" t="s">
        <v>74</v>
      </c>
      <c r="H78" t="s">
        <v>74</v>
      </c>
      <c r="I78" t="s">
        <v>803</v>
      </c>
      <c r="J78" t="s">
        <v>804</v>
      </c>
      <c r="K78" t="s">
        <v>74</v>
      </c>
      <c r="L78" t="s">
        <v>74</v>
      </c>
      <c r="M78" t="s">
        <v>74</v>
      </c>
      <c r="N78" t="s">
        <v>74</v>
      </c>
      <c r="O78" t="s">
        <v>74</v>
      </c>
      <c r="P78" t="s">
        <v>74</v>
      </c>
      <c r="Q78" t="s">
        <v>74</v>
      </c>
      <c r="R78" t="s">
        <v>74</v>
      </c>
      <c r="S78" t="s">
        <v>74</v>
      </c>
      <c r="T78" t="s">
        <v>74</v>
      </c>
      <c r="U78" t="s">
        <v>74</v>
      </c>
      <c r="V78" t="s">
        <v>805</v>
      </c>
      <c r="W78" t="s">
        <v>74</v>
      </c>
      <c r="X78" t="s">
        <v>74</v>
      </c>
      <c r="Y78" t="s">
        <v>74</v>
      </c>
      <c r="Z78" t="s">
        <v>74</v>
      </c>
      <c r="AA78" t="s">
        <v>74</v>
      </c>
      <c r="AB78" t="s">
        <v>74</v>
      </c>
      <c r="AC78" t="s">
        <v>74</v>
      </c>
      <c r="AD78" t="s">
        <v>74</v>
      </c>
      <c r="AE78" t="s">
        <v>74</v>
      </c>
      <c r="AF78" t="s">
        <v>74</v>
      </c>
      <c r="AG78" t="s">
        <v>74</v>
      </c>
      <c r="AH78" t="s">
        <v>74</v>
      </c>
      <c r="AI78" t="s">
        <v>74</v>
      </c>
      <c r="AJ78" t="s">
        <v>74</v>
      </c>
      <c r="AK78" t="s">
        <v>74</v>
      </c>
      <c r="AL78" t="s">
        <v>74</v>
      </c>
      <c r="AM78" t="s">
        <v>74</v>
      </c>
      <c r="AN78" t="s">
        <v>74</v>
      </c>
      <c r="AO78" t="s">
        <v>74</v>
      </c>
      <c r="AP78" t="s">
        <v>806</v>
      </c>
      <c r="AQ78" t="s">
        <v>74</v>
      </c>
      <c r="AR78" t="s">
        <v>74</v>
      </c>
      <c r="AS78" t="s">
        <v>74</v>
      </c>
      <c r="AT78" t="s">
        <v>807</v>
      </c>
      <c r="AU78">
        <v>2025</v>
      </c>
      <c r="AV78">
        <v>15</v>
      </c>
      <c r="AW78">
        <v>7</v>
      </c>
      <c r="AX78" t="s">
        <v>74</v>
      </c>
      <c r="AY78" t="s">
        <v>74</v>
      </c>
      <c r="AZ78" t="s">
        <v>74</v>
      </c>
      <c r="BA78" t="s">
        <v>74</v>
      </c>
      <c r="BB78" t="s">
        <v>74</v>
      </c>
      <c r="BC78" t="s">
        <v>74</v>
      </c>
      <c r="BD78">
        <v>481</v>
      </c>
      <c r="BE78" t="s">
        <v>808</v>
      </c>
      <c r="BF78" t="str">
        <f>HYPERLINK("http://dx.doi.org/10.3390/nano15070481","http://dx.doi.org/10.3390/nano15070481")</f>
        <v>http://dx.doi.org/10.3390/nano15070481</v>
      </c>
      <c r="BG78" t="s">
        <v>74</v>
      </c>
      <c r="BH78" t="s">
        <v>74</v>
      </c>
      <c r="BI78" t="s">
        <v>74</v>
      </c>
      <c r="BJ78" t="s">
        <v>74</v>
      </c>
      <c r="BK78" t="s">
        <v>74</v>
      </c>
      <c r="BL78" t="s">
        <v>74</v>
      </c>
      <c r="BM78" t="s">
        <v>74</v>
      </c>
      <c r="BN78">
        <v>40214527</v>
      </c>
      <c r="BO78" t="s">
        <v>74</v>
      </c>
      <c r="BP78" t="s">
        <v>74</v>
      </c>
      <c r="BQ78" t="s">
        <v>74</v>
      </c>
      <c r="BR78" t="s">
        <v>74</v>
      </c>
      <c r="BS78" t="s">
        <v>809</v>
      </c>
      <c r="BT78" t="str">
        <f>HYPERLINK("https%3A%2F%2Fwww.webofscience.com%2Fwos%2Fwoscc%2Ffull-record%2FWOS:001463737500001","View Full Record in Web of Science")</f>
        <v>View Full Record in Web of Science</v>
      </c>
    </row>
    <row r="79" spans="1:72" x14ac:dyDescent="0.2">
      <c r="A79" t="s">
        <v>72</v>
      </c>
      <c r="B79" t="s">
        <v>810</v>
      </c>
      <c r="C79" t="s">
        <v>74</v>
      </c>
      <c r="D79" t="s">
        <v>74</v>
      </c>
      <c r="E79" t="s">
        <v>74</v>
      </c>
      <c r="F79" t="s">
        <v>811</v>
      </c>
      <c r="G79" t="s">
        <v>74</v>
      </c>
      <c r="H79" t="s">
        <v>74</v>
      </c>
      <c r="I79" t="s">
        <v>812</v>
      </c>
      <c r="J79" t="s">
        <v>433</v>
      </c>
      <c r="K79" t="s">
        <v>74</v>
      </c>
      <c r="L79" t="s">
        <v>74</v>
      </c>
      <c r="M79" t="s">
        <v>74</v>
      </c>
      <c r="N79" t="s">
        <v>74</v>
      </c>
      <c r="O79" t="s">
        <v>74</v>
      </c>
      <c r="P79" t="s">
        <v>74</v>
      </c>
      <c r="Q79" t="s">
        <v>74</v>
      </c>
      <c r="R79" t="s">
        <v>74</v>
      </c>
      <c r="S79" t="s">
        <v>74</v>
      </c>
      <c r="T79" t="s">
        <v>74</v>
      </c>
      <c r="U79" t="s">
        <v>74</v>
      </c>
      <c r="V79" t="s">
        <v>813</v>
      </c>
      <c r="W79" t="s">
        <v>74</v>
      </c>
      <c r="X79" t="s">
        <v>74</v>
      </c>
      <c r="Y79" t="s">
        <v>74</v>
      </c>
      <c r="Z79" t="s">
        <v>74</v>
      </c>
      <c r="AA79" t="s">
        <v>74</v>
      </c>
      <c r="AB79" t="s">
        <v>814</v>
      </c>
      <c r="AC79" t="s">
        <v>74</v>
      </c>
      <c r="AD79" t="s">
        <v>74</v>
      </c>
      <c r="AE79" t="s">
        <v>74</v>
      </c>
      <c r="AF79" t="s">
        <v>74</v>
      </c>
      <c r="AG79" t="s">
        <v>74</v>
      </c>
      <c r="AH79" t="s">
        <v>74</v>
      </c>
      <c r="AI79" t="s">
        <v>74</v>
      </c>
      <c r="AJ79" t="s">
        <v>74</v>
      </c>
      <c r="AK79" t="s">
        <v>74</v>
      </c>
      <c r="AL79" t="s">
        <v>74</v>
      </c>
      <c r="AM79" t="s">
        <v>74</v>
      </c>
      <c r="AN79" t="s">
        <v>74</v>
      </c>
      <c r="AO79" t="s">
        <v>435</v>
      </c>
      <c r="AP79" t="s">
        <v>436</v>
      </c>
      <c r="AQ79" t="s">
        <v>74</v>
      </c>
      <c r="AR79" t="s">
        <v>74</v>
      </c>
      <c r="AS79" t="s">
        <v>74</v>
      </c>
      <c r="AT79" t="s">
        <v>815</v>
      </c>
      <c r="AU79">
        <v>2025</v>
      </c>
      <c r="AV79">
        <v>1022</v>
      </c>
      <c r="AW79" t="s">
        <v>74</v>
      </c>
      <c r="AX79" t="s">
        <v>74</v>
      </c>
      <c r="AY79" t="s">
        <v>74</v>
      </c>
      <c r="AZ79" t="s">
        <v>74</v>
      </c>
      <c r="BA79" t="s">
        <v>74</v>
      </c>
      <c r="BB79" t="s">
        <v>74</v>
      </c>
      <c r="BC79" t="s">
        <v>74</v>
      </c>
      <c r="BD79">
        <v>179844</v>
      </c>
      <c r="BE79" t="s">
        <v>816</v>
      </c>
      <c r="BF79" t="str">
        <f>HYPERLINK("http://dx.doi.org/10.1016/j.jallcom.2025.179844","http://dx.doi.org/10.1016/j.jallcom.2025.179844")</f>
        <v>http://dx.doi.org/10.1016/j.jallcom.2025.179844</v>
      </c>
      <c r="BG79" t="s">
        <v>74</v>
      </c>
      <c r="BH79" t="s">
        <v>777</v>
      </c>
      <c r="BI79" t="s">
        <v>74</v>
      </c>
      <c r="BJ79" t="s">
        <v>74</v>
      </c>
      <c r="BK79" t="s">
        <v>74</v>
      </c>
      <c r="BL79" t="s">
        <v>74</v>
      </c>
      <c r="BM79" t="s">
        <v>74</v>
      </c>
      <c r="BN79" t="s">
        <v>74</v>
      </c>
      <c r="BO79" t="s">
        <v>74</v>
      </c>
      <c r="BP79" t="s">
        <v>74</v>
      </c>
      <c r="BQ79" t="s">
        <v>74</v>
      </c>
      <c r="BR79" t="s">
        <v>74</v>
      </c>
      <c r="BS79" t="s">
        <v>817</v>
      </c>
      <c r="BT79" t="str">
        <f>HYPERLINK("https%3A%2F%2Fwww.webofscience.com%2Fwos%2Fwoscc%2Ffull-record%2FWOS:001455289900001","View Full Record in Web of Science")</f>
        <v>View Full Record in Web of Science</v>
      </c>
    </row>
    <row r="80" spans="1:72" x14ac:dyDescent="0.2">
      <c r="A80" t="s">
        <v>72</v>
      </c>
      <c r="B80" t="s">
        <v>818</v>
      </c>
      <c r="C80" t="s">
        <v>74</v>
      </c>
      <c r="D80" t="s">
        <v>74</v>
      </c>
      <c r="E80" t="s">
        <v>74</v>
      </c>
      <c r="F80" t="s">
        <v>819</v>
      </c>
      <c r="G80" t="s">
        <v>74</v>
      </c>
      <c r="H80" t="s">
        <v>74</v>
      </c>
      <c r="I80" t="s">
        <v>820</v>
      </c>
      <c r="J80" t="s">
        <v>267</v>
      </c>
      <c r="K80" t="s">
        <v>74</v>
      </c>
      <c r="L80" t="s">
        <v>74</v>
      </c>
      <c r="M80" t="s">
        <v>74</v>
      </c>
      <c r="N80" t="s">
        <v>74</v>
      </c>
      <c r="O80" t="s">
        <v>74</v>
      </c>
      <c r="P80" t="s">
        <v>74</v>
      </c>
      <c r="Q80" t="s">
        <v>74</v>
      </c>
      <c r="R80" t="s">
        <v>74</v>
      </c>
      <c r="S80" t="s">
        <v>74</v>
      </c>
      <c r="T80" t="s">
        <v>74</v>
      </c>
      <c r="U80" t="s">
        <v>74</v>
      </c>
      <c r="V80" t="s">
        <v>821</v>
      </c>
      <c r="W80" t="s">
        <v>74</v>
      </c>
      <c r="X80" t="s">
        <v>74</v>
      </c>
      <c r="Y80" t="s">
        <v>74</v>
      </c>
      <c r="Z80" t="s">
        <v>74</v>
      </c>
      <c r="AA80" t="s">
        <v>822</v>
      </c>
      <c r="AB80" t="s">
        <v>74</v>
      </c>
      <c r="AC80" t="s">
        <v>74</v>
      </c>
      <c r="AD80" t="s">
        <v>74</v>
      </c>
      <c r="AE80" t="s">
        <v>74</v>
      </c>
      <c r="AF80" t="s">
        <v>74</v>
      </c>
      <c r="AG80" t="s">
        <v>74</v>
      </c>
      <c r="AH80" t="s">
        <v>74</v>
      </c>
      <c r="AI80" t="s">
        <v>74</v>
      </c>
      <c r="AJ80" t="s">
        <v>74</v>
      </c>
      <c r="AK80" t="s">
        <v>74</v>
      </c>
      <c r="AL80" t="s">
        <v>74</v>
      </c>
      <c r="AM80" t="s">
        <v>74</v>
      </c>
      <c r="AN80" t="s">
        <v>74</v>
      </c>
      <c r="AO80" t="s">
        <v>270</v>
      </c>
      <c r="AP80" t="s">
        <v>271</v>
      </c>
      <c r="AQ80" t="s">
        <v>74</v>
      </c>
      <c r="AR80" t="s">
        <v>74</v>
      </c>
      <c r="AS80" t="s">
        <v>74</v>
      </c>
      <c r="AT80" t="s">
        <v>823</v>
      </c>
      <c r="AU80">
        <v>2025</v>
      </c>
      <c r="AV80" t="s">
        <v>74</v>
      </c>
      <c r="AW80" t="s">
        <v>74</v>
      </c>
      <c r="AX80" t="s">
        <v>74</v>
      </c>
      <c r="AY80" t="s">
        <v>74</v>
      </c>
      <c r="AZ80" t="s">
        <v>74</v>
      </c>
      <c r="BA80" t="s">
        <v>74</v>
      </c>
      <c r="BB80" t="s">
        <v>74</v>
      </c>
      <c r="BC80" t="s">
        <v>74</v>
      </c>
      <c r="BD80">
        <v>2504228</v>
      </c>
      <c r="BE80" t="s">
        <v>824</v>
      </c>
      <c r="BF80" t="str">
        <f>HYPERLINK("http://dx.doi.org/10.1002/adfm.202504228","http://dx.doi.org/10.1002/adfm.202504228")</f>
        <v>http://dx.doi.org/10.1002/adfm.202504228</v>
      </c>
      <c r="BG80" t="s">
        <v>74</v>
      </c>
      <c r="BH80" t="s">
        <v>777</v>
      </c>
      <c r="BI80" t="s">
        <v>74</v>
      </c>
      <c r="BJ80" t="s">
        <v>74</v>
      </c>
      <c r="BK80" t="s">
        <v>74</v>
      </c>
      <c r="BL80" t="s">
        <v>74</v>
      </c>
      <c r="BM80" t="s">
        <v>74</v>
      </c>
      <c r="BN80" t="s">
        <v>74</v>
      </c>
      <c r="BO80" t="s">
        <v>74</v>
      </c>
      <c r="BP80" t="s">
        <v>74</v>
      </c>
      <c r="BQ80" t="s">
        <v>74</v>
      </c>
      <c r="BR80" t="s">
        <v>74</v>
      </c>
      <c r="BS80" t="s">
        <v>825</v>
      </c>
      <c r="BT80" t="str">
        <f>HYPERLINK("https%3A%2F%2Fwww.webofscience.com%2Fwos%2Fwoscc%2Ffull-record%2FWOS:001449570500001","View Full Record in Web of Science")</f>
        <v>View Full Record in Web of Science</v>
      </c>
    </row>
    <row r="81" spans="1:72" x14ac:dyDescent="0.2">
      <c r="A81" t="s">
        <v>72</v>
      </c>
      <c r="B81" t="s">
        <v>826</v>
      </c>
      <c r="C81" t="s">
        <v>74</v>
      </c>
      <c r="D81" t="s">
        <v>74</v>
      </c>
      <c r="E81" t="s">
        <v>74</v>
      </c>
      <c r="F81" t="s">
        <v>827</v>
      </c>
      <c r="G81" t="s">
        <v>74</v>
      </c>
      <c r="H81" t="s">
        <v>74</v>
      </c>
      <c r="I81" t="s">
        <v>828</v>
      </c>
      <c r="J81" t="s">
        <v>411</v>
      </c>
      <c r="K81" t="s">
        <v>74</v>
      </c>
      <c r="L81" t="s">
        <v>74</v>
      </c>
      <c r="M81" t="s">
        <v>74</v>
      </c>
      <c r="N81" t="s">
        <v>74</v>
      </c>
      <c r="O81" t="s">
        <v>74</v>
      </c>
      <c r="P81" t="s">
        <v>74</v>
      </c>
      <c r="Q81" t="s">
        <v>74</v>
      </c>
      <c r="R81" t="s">
        <v>74</v>
      </c>
      <c r="S81" t="s">
        <v>74</v>
      </c>
      <c r="T81" t="s">
        <v>74</v>
      </c>
      <c r="U81" t="s">
        <v>74</v>
      </c>
      <c r="V81" t="s">
        <v>829</v>
      </c>
      <c r="W81" t="s">
        <v>74</v>
      </c>
      <c r="X81" t="s">
        <v>74</v>
      </c>
      <c r="Y81" t="s">
        <v>74</v>
      </c>
      <c r="Z81" t="s">
        <v>74</v>
      </c>
      <c r="AA81" t="s">
        <v>830</v>
      </c>
      <c r="AB81" t="s">
        <v>831</v>
      </c>
      <c r="AC81" t="s">
        <v>74</v>
      </c>
      <c r="AD81" t="s">
        <v>74</v>
      </c>
      <c r="AE81" t="s">
        <v>74</v>
      </c>
      <c r="AF81" t="s">
        <v>74</v>
      </c>
      <c r="AG81" t="s">
        <v>74</v>
      </c>
      <c r="AH81" t="s">
        <v>74</v>
      </c>
      <c r="AI81" t="s">
        <v>74</v>
      </c>
      <c r="AJ81" t="s">
        <v>74</v>
      </c>
      <c r="AK81" t="s">
        <v>74</v>
      </c>
      <c r="AL81" t="s">
        <v>74</v>
      </c>
      <c r="AM81" t="s">
        <v>74</v>
      </c>
      <c r="AN81" t="s">
        <v>74</v>
      </c>
      <c r="AO81" t="s">
        <v>414</v>
      </c>
      <c r="AP81" t="s">
        <v>415</v>
      </c>
      <c r="AQ81" t="s">
        <v>74</v>
      </c>
      <c r="AR81" t="s">
        <v>74</v>
      </c>
      <c r="AS81" t="s">
        <v>74</v>
      </c>
      <c r="AT81" t="s">
        <v>670</v>
      </c>
      <c r="AU81">
        <v>2025</v>
      </c>
      <c r="AV81">
        <v>21</v>
      </c>
      <c r="AW81">
        <v>17</v>
      </c>
      <c r="AX81" t="s">
        <v>74</v>
      </c>
      <c r="AY81" t="s">
        <v>74</v>
      </c>
      <c r="AZ81" t="s">
        <v>74</v>
      </c>
      <c r="BA81" t="s">
        <v>74</v>
      </c>
      <c r="BB81" t="s">
        <v>74</v>
      </c>
      <c r="BC81" t="s">
        <v>74</v>
      </c>
      <c r="BD81">
        <v>2502776</v>
      </c>
      <c r="BE81" t="s">
        <v>832</v>
      </c>
      <c r="BF81" t="str">
        <f>HYPERLINK("http://dx.doi.org/10.1002/smll.202502776","http://dx.doi.org/10.1002/smll.202502776")</f>
        <v>http://dx.doi.org/10.1002/smll.202502776</v>
      </c>
      <c r="BG81" t="s">
        <v>74</v>
      </c>
      <c r="BH81" t="s">
        <v>777</v>
      </c>
      <c r="BI81" t="s">
        <v>74</v>
      </c>
      <c r="BJ81" t="s">
        <v>74</v>
      </c>
      <c r="BK81" t="s">
        <v>74</v>
      </c>
      <c r="BL81" t="s">
        <v>74</v>
      </c>
      <c r="BM81" t="s">
        <v>74</v>
      </c>
      <c r="BN81">
        <v>40116566</v>
      </c>
      <c r="BO81" t="s">
        <v>74</v>
      </c>
      <c r="BP81" t="s">
        <v>74</v>
      </c>
      <c r="BQ81" t="s">
        <v>74</v>
      </c>
      <c r="BR81" t="s">
        <v>74</v>
      </c>
      <c r="BS81" t="s">
        <v>833</v>
      </c>
      <c r="BT81" t="str">
        <f>HYPERLINK("https%3A%2F%2Fwww.webofscience.com%2Fwos%2Fwoscc%2Ffull-record%2FWOS:001449597200001","View Full Record in Web of Science")</f>
        <v>View Full Record in Web of Science</v>
      </c>
    </row>
    <row r="82" spans="1:72" x14ac:dyDescent="0.2">
      <c r="A82" t="s">
        <v>72</v>
      </c>
      <c r="B82" t="s">
        <v>834</v>
      </c>
      <c r="C82" t="s">
        <v>74</v>
      </c>
      <c r="D82" t="s">
        <v>74</v>
      </c>
      <c r="E82" t="s">
        <v>74</v>
      </c>
      <c r="F82" t="s">
        <v>835</v>
      </c>
      <c r="G82" t="s">
        <v>74</v>
      </c>
      <c r="H82" t="s">
        <v>74</v>
      </c>
      <c r="I82" t="s">
        <v>836</v>
      </c>
      <c r="J82" t="s">
        <v>528</v>
      </c>
      <c r="K82" t="s">
        <v>74</v>
      </c>
      <c r="L82" t="s">
        <v>74</v>
      </c>
      <c r="M82" t="s">
        <v>74</v>
      </c>
      <c r="N82" t="s">
        <v>74</v>
      </c>
      <c r="O82" t="s">
        <v>74</v>
      </c>
      <c r="P82" t="s">
        <v>74</v>
      </c>
      <c r="Q82" t="s">
        <v>74</v>
      </c>
      <c r="R82" t="s">
        <v>74</v>
      </c>
      <c r="S82" t="s">
        <v>74</v>
      </c>
      <c r="T82" t="s">
        <v>74</v>
      </c>
      <c r="U82" t="s">
        <v>74</v>
      </c>
      <c r="V82" t="s">
        <v>837</v>
      </c>
      <c r="W82" t="s">
        <v>74</v>
      </c>
      <c r="X82" t="s">
        <v>74</v>
      </c>
      <c r="Y82" t="s">
        <v>74</v>
      </c>
      <c r="Z82" t="s">
        <v>74</v>
      </c>
      <c r="AA82" t="s">
        <v>838</v>
      </c>
      <c r="AB82" t="s">
        <v>74</v>
      </c>
      <c r="AC82" t="s">
        <v>74</v>
      </c>
      <c r="AD82" t="s">
        <v>74</v>
      </c>
      <c r="AE82" t="s">
        <v>74</v>
      </c>
      <c r="AF82" t="s">
        <v>74</v>
      </c>
      <c r="AG82" t="s">
        <v>74</v>
      </c>
      <c r="AH82" t="s">
        <v>74</v>
      </c>
      <c r="AI82" t="s">
        <v>74</v>
      </c>
      <c r="AJ82" t="s">
        <v>74</v>
      </c>
      <c r="AK82" t="s">
        <v>74</v>
      </c>
      <c r="AL82" t="s">
        <v>74</v>
      </c>
      <c r="AM82" t="s">
        <v>74</v>
      </c>
      <c r="AN82" t="s">
        <v>74</v>
      </c>
      <c r="AO82" t="s">
        <v>532</v>
      </c>
      <c r="AP82" t="s">
        <v>533</v>
      </c>
      <c r="AQ82" t="s">
        <v>74</v>
      </c>
      <c r="AR82" t="s">
        <v>74</v>
      </c>
      <c r="AS82" t="s">
        <v>74</v>
      </c>
      <c r="AT82" t="s">
        <v>839</v>
      </c>
      <c r="AU82">
        <v>2025</v>
      </c>
      <c r="AV82">
        <v>17</v>
      </c>
      <c r="AW82">
        <v>13</v>
      </c>
      <c r="AX82" t="s">
        <v>74</v>
      </c>
      <c r="AY82" t="s">
        <v>74</v>
      </c>
      <c r="AZ82" t="s">
        <v>74</v>
      </c>
      <c r="BA82" t="s">
        <v>74</v>
      </c>
      <c r="BB82">
        <v>19629</v>
      </c>
      <c r="BC82">
        <v>19637</v>
      </c>
      <c r="BD82" t="s">
        <v>74</v>
      </c>
      <c r="BE82" t="s">
        <v>840</v>
      </c>
      <c r="BF82" t="str">
        <f>HYPERLINK("http://dx.doi.org/10.1021/acsami.4c21918","http://dx.doi.org/10.1021/acsami.4c21918")</f>
        <v>http://dx.doi.org/10.1021/acsami.4c21918</v>
      </c>
      <c r="BG82" t="s">
        <v>74</v>
      </c>
      <c r="BH82" t="s">
        <v>777</v>
      </c>
      <c r="BI82" t="s">
        <v>74</v>
      </c>
      <c r="BJ82" t="s">
        <v>74</v>
      </c>
      <c r="BK82" t="s">
        <v>74</v>
      </c>
      <c r="BL82" t="s">
        <v>74</v>
      </c>
      <c r="BM82" t="s">
        <v>74</v>
      </c>
      <c r="BN82">
        <v>40109197</v>
      </c>
      <c r="BO82" t="s">
        <v>74</v>
      </c>
      <c r="BP82" t="s">
        <v>74</v>
      </c>
      <c r="BQ82" t="s">
        <v>74</v>
      </c>
      <c r="BR82" t="s">
        <v>74</v>
      </c>
      <c r="BS82" t="s">
        <v>841</v>
      </c>
      <c r="BT82" t="str">
        <f>HYPERLINK("https%3A%2F%2Fwww.webofscience.com%2Fwos%2Fwoscc%2Ffull-record%2FWOS:001448911300001","View Full Record in Web of Science")</f>
        <v>View Full Record in Web of Science</v>
      </c>
    </row>
    <row r="83" spans="1:72" x14ac:dyDescent="0.2">
      <c r="A83" t="s">
        <v>72</v>
      </c>
      <c r="B83" t="s">
        <v>842</v>
      </c>
      <c r="C83" t="s">
        <v>74</v>
      </c>
      <c r="D83" t="s">
        <v>74</v>
      </c>
      <c r="E83" t="s">
        <v>74</v>
      </c>
      <c r="F83" t="s">
        <v>843</v>
      </c>
      <c r="G83" t="s">
        <v>74</v>
      </c>
      <c r="H83" t="s">
        <v>74</v>
      </c>
      <c r="I83" t="s">
        <v>844</v>
      </c>
      <c r="J83" t="s">
        <v>845</v>
      </c>
      <c r="K83" t="s">
        <v>74</v>
      </c>
      <c r="L83" t="s">
        <v>74</v>
      </c>
      <c r="M83" t="s">
        <v>74</v>
      </c>
      <c r="N83" t="s">
        <v>74</v>
      </c>
      <c r="O83" t="s">
        <v>74</v>
      </c>
      <c r="P83" t="s">
        <v>74</v>
      </c>
      <c r="Q83" t="s">
        <v>74</v>
      </c>
      <c r="R83" t="s">
        <v>74</v>
      </c>
      <c r="S83" t="s">
        <v>74</v>
      </c>
      <c r="T83" t="s">
        <v>74</v>
      </c>
      <c r="U83" t="s">
        <v>74</v>
      </c>
      <c r="V83" t="s">
        <v>846</v>
      </c>
      <c r="W83" t="s">
        <v>74</v>
      </c>
      <c r="X83" t="s">
        <v>74</v>
      </c>
      <c r="Y83" t="s">
        <v>74</v>
      </c>
      <c r="Z83" t="s">
        <v>74</v>
      </c>
      <c r="AA83" t="s">
        <v>74</v>
      </c>
      <c r="AB83" t="s">
        <v>74</v>
      </c>
      <c r="AC83" t="s">
        <v>74</v>
      </c>
      <c r="AD83" t="s">
        <v>74</v>
      </c>
      <c r="AE83" t="s">
        <v>74</v>
      </c>
      <c r="AF83" t="s">
        <v>74</v>
      </c>
      <c r="AG83" t="s">
        <v>74</v>
      </c>
      <c r="AH83" t="s">
        <v>74</v>
      </c>
      <c r="AI83" t="s">
        <v>74</v>
      </c>
      <c r="AJ83" t="s">
        <v>74</v>
      </c>
      <c r="AK83" t="s">
        <v>74</v>
      </c>
      <c r="AL83" t="s">
        <v>74</v>
      </c>
      <c r="AM83" t="s">
        <v>74</v>
      </c>
      <c r="AN83" t="s">
        <v>74</v>
      </c>
      <c r="AO83" t="s">
        <v>847</v>
      </c>
      <c r="AP83" t="s">
        <v>848</v>
      </c>
      <c r="AQ83" t="s">
        <v>74</v>
      </c>
      <c r="AR83" t="s">
        <v>74</v>
      </c>
      <c r="AS83" t="s">
        <v>74</v>
      </c>
      <c r="AT83" t="s">
        <v>759</v>
      </c>
      <c r="AU83">
        <v>2025</v>
      </c>
      <c r="AV83">
        <v>142</v>
      </c>
      <c r="AW83">
        <v>23</v>
      </c>
      <c r="AX83" t="s">
        <v>74</v>
      </c>
      <c r="AY83" t="s">
        <v>74</v>
      </c>
      <c r="AZ83" t="s">
        <v>74</v>
      </c>
      <c r="BA83" t="s">
        <v>74</v>
      </c>
      <c r="BB83" t="s">
        <v>74</v>
      </c>
      <c r="BC83" t="s">
        <v>74</v>
      </c>
      <c r="BD83" t="s">
        <v>74</v>
      </c>
      <c r="BE83" t="s">
        <v>849</v>
      </c>
      <c r="BF83" t="str">
        <f>HYPERLINK("http://dx.doi.org/10.1002/app.56996","http://dx.doi.org/10.1002/app.56996")</f>
        <v>http://dx.doi.org/10.1002/app.56996</v>
      </c>
      <c r="BG83" t="s">
        <v>74</v>
      </c>
      <c r="BH83" t="s">
        <v>777</v>
      </c>
      <c r="BI83" t="s">
        <v>74</v>
      </c>
      <c r="BJ83" t="s">
        <v>74</v>
      </c>
      <c r="BK83" t="s">
        <v>74</v>
      </c>
      <c r="BL83" t="s">
        <v>74</v>
      </c>
      <c r="BM83" t="s">
        <v>74</v>
      </c>
      <c r="BN83" t="s">
        <v>74</v>
      </c>
      <c r="BO83" t="s">
        <v>74</v>
      </c>
      <c r="BP83" t="s">
        <v>74</v>
      </c>
      <c r="BQ83" t="s">
        <v>74</v>
      </c>
      <c r="BR83" t="s">
        <v>74</v>
      </c>
      <c r="BS83" t="s">
        <v>850</v>
      </c>
      <c r="BT83" t="str">
        <f>HYPERLINK("https%3A%2F%2Fwww.webofscience.com%2Fwos%2Fwoscc%2Ffull-record%2FWOS:001448642100001","View Full Record in Web of Science")</f>
        <v>View Full Record in Web of Science</v>
      </c>
    </row>
    <row r="84" spans="1:72" x14ac:dyDescent="0.2">
      <c r="A84" t="s">
        <v>72</v>
      </c>
      <c r="B84" t="s">
        <v>851</v>
      </c>
      <c r="C84" t="s">
        <v>74</v>
      </c>
      <c r="D84" t="s">
        <v>74</v>
      </c>
      <c r="E84" t="s">
        <v>74</v>
      </c>
      <c r="F84" t="s">
        <v>852</v>
      </c>
      <c r="G84" t="s">
        <v>74</v>
      </c>
      <c r="H84" t="s">
        <v>74</v>
      </c>
      <c r="I84" t="s">
        <v>853</v>
      </c>
      <c r="J84" t="s">
        <v>161</v>
      </c>
      <c r="K84" t="s">
        <v>74</v>
      </c>
      <c r="L84" t="s">
        <v>74</v>
      </c>
      <c r="M84" t="s">
        <v>74</v>
      </c>
      <c r="N84" t="s">
        <v>74</v>
      </c>
      <c r="O84" t="s">
        <v>74</v>
      </c>
      <c r="P84" t="s">
        <v>74</v>
      </c>
      <c r="Q84" t="s">
        <v>74</v>
      </c>
      <c r="R84" t="s">
        <v>74</v>
      </c>
      <c r="S84" t="s">
        <v>74</v>
      </c>
      <c r="T84" t="s">
        <v>74</v>
      </c>
      <c r="U84" t="s">
        <v>74</v>
      </c>
      <c r="V84" t="s">
        <v>854</v>
      </c>
      <c r="W84" t="s">
        <v>74</v>
      </c>
      <c r="X84" t="s">
        <v>74</v>
      </c>
      <c r="Y84" t="s">
        <v>74</v>
      </c>
      <c r="Z84" t="s">
        <v>74</v>
      </c>
      <c r="AA84" t="s">
        <v>74</v>
      </c>
      <c r="AB84" t="s">
        <v>74</v>
      </c>
      <c r="AC84" t="s">
        <v>74</v>
      </c>
      <c r="AD84" t="s">
        <v>74</v>
      </c>
      <c r="AE84" t="s">
        <v>74</v>
      </c>
      <c r="AF84" t="s">
        <v>74</v>
      </c>
      <c r="AG84" t="s">
        <v>74</v>
      </c>
      <c r="AH84" t="s">
        <v>74</v>
      </c>
      <c r="AI84" t="s">
        <v>74</v>
      </c>
      <c r="AJ84" t="s">
        <v>74</v>
      </c>
      <c r="AK84" t="s">
        <v>74</v>
      </c>
      <c r="AL84" t="s">
        <v>74</v>
      </c>
      <c r="AM84" t="s">
        <v>74</v>
      </c>
      <c r="AN84" t="s">
        <v>74</v>
      </c>
      <c r="AO84" t="s">
        <v>163</v>
      </c>
      <c r="AP84" t="s">
        <v>164</v>
      </c>
      <c r="AQ84" t="s">
        <v>74</v>
      </c>
      <c r="AR84" t="s">
        <v>74</v>
      </c>
      <c r="AS84" t="s">
        <v>74</v>
      </c>
      <c r="AT84" t="s">
        <v>798</v>
      </c>
      <c r="AU84">
        <v>2025</v>
      </c>
      <c r="AV84">
        <v>510</v>
      </c>
      <c r="AW84" t="s">
        <v>74</v>
      </c>
      <c r="AX84" t="s">
        <v>74</v>
      </c>
      <c r="AY84" t="s">
        <v>74</v>
      </c>
      <c r="AZ84" t="s">
        <v>74</v>
      </c>
      <c r="BA84" t="s">
        <v>74</v>
      </c>
      <c r="BB84" t="s">
        <v>74</v>
      </c>
      <c r="BC84" t="s">
        <v>74</v>
      </c>
      <c r="BD84">
        <v>161692</v>
      </c>
      <c r="BE84" t="s">
        <v>855</v>
      </c>
      <c r="BF84" t="str">
        <f>HYPERLINK("http://dx.doi.org/10.1016/j.cej.2025.161692","http://dx.doi.org/10.1016/j.cej.2025.161692")</f>
        <v>http://dx.doi.org/10.1016/j.cej.2025.161692</v>
      </c>
      <c r="BG84" t="s">
        <v>74</v>
      </c>
      <c r="BH84" t="s">
        <v>777</v>
      </c>
      <c r="BI84" t="s">
        <v>74</v>
      </c>
      <c r="BJ84" t="s">
        <v>74</v>
      </c>
      <c r="BK84" t="s">
        <v>74</v>
      </c>
      <c r="BL84" t="s">
        <v>74</v>
      </c>
      <c r="BM84" t="s">
        <v>74</v>
      </c>
      <c r="BN84" t="s">
        <v>74</v>
      </c>
      <c r="BO84" t="s">
        <v>74</v>
      </c>
      <c r="BP84" t="s">
        <v>74</v>
      </c>
      <c r="BQ84" t="s">
        <v>74</v>
      </c>
      <c r="BR84" t="s">
        <v>74</v>
      </c>
      <c r="BS84" t="s">
        <v>856</v>
      </c>
      <c r="BT84" t="str">
        <f>HYPERLINK("https%3A%2F%2Fwww.webofscience.com%2Fwos%2Fwoscc%2Ffull-record%2FWOS:001451633300001","View Full Record in Web of Science")</f>
        <v>View Full Record in Web of Science</v>
      </c>
    </row>
    <row r="85" spans="1:72" x14ac:dyDescent="0.2">
      <c r="A85" t="s">
        <v>72</v>
      </c>
      <c r="B85" t="s">
        <v>857</v>
      </c>
      <c r="C85" t="s">
        <v>74</v>
      </c>
      <c r="D85" t="s">
        <v>74</v>
      </c>
      <c r="E85" t="s">
        <v>74</v>
      </c>
      <c r="F85" t="s">
        <v>858</v>
      </c>
      <c r="G85" t="s">
        <v>74</v>
      </c>
      <c r="H85" t="s">
        <v>74</v>
      </c>
      <c r="I85" t="s">
        <v>859</v>
      </c>
      <c r="J85" t="s">
        <v>860</v>
      </c>
      <c r="K85" t="s">
        <v>74</v>
      </c>
      <c r="L85" t="s">
        <v>74</v>
      </c>
      <c r="M85" t="s">
        <v>74</v>
      </c>
      <c r="N85" t="s">
        <v>74</v>
      </c>
      <c r="O85" t="s">
        <v>74</v>
      </c>
      <c r="P85" t="s">
        <v>74</v>
      </c>
      <c r="Q85" t="s">
        <v>74</v>
      </c>
      <c r="R85" t="s">
        <v>74</v>
      </c>
      <c r="S85" t="s">
        <v>74</v>
      </c>
      <c r="T85" t="s">
        <v>74</v>
      </c>
      <c r="U85" t="s">
        <v>74</v>
      </c>
      <c r="V85" t="s">
        <v>861</v>
      </c>
      <c r="W85" t="s">
        <v>74</v>
      </c>
      <c r="X85" t="s">
        <v>74</v>
      </c>
      <c r="Y85" t="s">
        <v>74</v>
      </c>
      <c r="Z85" t="s">
        <v>74</v>
      </c>
      <c r="AA85" t="s">
        <v>862</v>
      </c>
      <c r="AB85" t="s">
        <v>74</v>
      </c>
      <c r="AC85" t="s">
        <v>74</v>
      </c>
      <c r="AD85" t="s">
        <v>74</v>
      </c>
      <c r="AE85" t="s">
        <v>74</v>
      </c>
      <c r="AF85" t="s">
        <v>74</v>
      </c>
      <c r="AG85" t="s">
        <v>74</v>
      </c>
      <c r="AH85" t="s">
        <v>74</v>
      </c>
      <c r="AI85" t="s">
        <v>74</v>
      </c>
      <c r="AJ85" t="s">
        <v>74</v>
      </c>
      <c r="AK85" t="s">
        <v>74</v>
      </c>
      <c r="AL85" t="s">
        <v>74</v>
      </c>
      <c r="AM85" t="s">
        <v>74</v>
      </c>
      <c r="AN85" t="s">
        <v>74</v>
      </c>
      <c r="AO85" t="s">
        <v>863</v>
      </c>
      <c r="AP85" t="s">
        <v>864</v>
      </c>
      <c r="AQ85" t="s">
        <v>74</v>
      </c>
      <c r="AR85" t="s">
        <v>74</v>
      </c>
      <c r="AS85" t="s">
        <v>74</v>
      </c>
      <c r="AT85" t="s">
        <v>865</v>
      </c>
      <c r="AU85">
        <v>2025</v>
      </c>
      <c r="AV85">
        <v>364</v>
      </c>
      <c r="AW85" t="s">
        <v>74</v>
      </c>
      <c r="AX85">
        <v>3</v>
      </c>
      <c r="AY85" t="s">
        <v>74</v>
      </c>
      <c r="AZ85" t="s">
        <v>74</v>
      </c>
      <c r="BA85" t="s">
        <v>74</v>
      </c>
      <c r="BB85" t="s">
        <v>74</v>
      </c>
      <c r="BC85" t="s">
        <v>74</v>
      </c>
      <c r="BD85">
        <v>132439</v>
      </c>
      <c r="BE85" t="s">
        <v>866</v>
      </c>
      <c r="BF85" t="str">
        <f>HYPERLINK("http://dx.doi.org/10.1016/j.seppur.2025.132439","http://dx.doi.org/10.1016/j.seppur.2025.132439")</f>
        <v>http://dx.doi.org/10.1016/j.seppur.2025.132439</v>
      </c>
      <c r="BG85" t="s">
        <v>74</v>
      </c>
      <c r="BH85" t="s">
        <v>777</v>
      </c>
      <c r="BI85" t="s">
        <v>74</v>
      </c>
      <c r="BJ85" t="s">
        <v>74</v>
      </c>
      <c r="BK85" t="s">
        <v>74</v>
      </c>
      <c r="BL85" t="s">
        <v>74</v>
      </c>
      <c r="BM85" t="s">
        <v>74</v>
      </c>
      <c r="BN85" t="s">
        <v>74</v>
      </c>
      <c r="BO85" t="s">
        <v>74</v>
      </c>
      <c r="BP85" t="s">
        <v>74</v>
      </c>
      <c r="BQ85" t="s">
        <v>74</v>
      </c>
      <c r="BR85" t="s">
        <v>74</v>
      </c>
      <c r="BS85" t="s">
        <v>867</v>
      </c>
      <c r="BT85" t="str">
        <f>HYPERLINK("https%3A%2F%2Fwww.webofscience.com%2Fwos%2Fwoscc%2Ffull-record%2FWOS:001453126500001","View Full Record in Web of Science")</f>
        <v>View Full Record in Web of Science</v>
      </c>
    </row>
    <row r="86" spans="1:72" x14ac:dyDescent="0.2">
      <c r="A86" t="s">
        <v>72</v>
      </c>
      <c r="B86" t="s">
        <v>868</v>
      </c>
      <c r="C86" t="s">
        <v>74</v>
      </c>
      <c r="D86" t="s">
        <v>74</v>
      </c>
      <c r="E86" t="s">
        <v>74</v>
      </c>
      <c r="F86" t="s">
        <v>869</v>
      </c>
      <c r="G86" t="s">
        <v>74</v>
      </c>
      <c r="H86" t="s">
        <v>74</v>
      </c>
      <c r="I86" t="s">
        <v>870</v>
      </c>
      <c r="J86" t="s">
        <v>488</v>
      </c>
      <c r="K86" t="s">
        <v>74</v>
      </c>
      <c r="L86" t="s">
        <v>74</v>
      </c>
      <c r="M86" t="s">
        <v>74</v>
      </c>
      <c r="N86" t="s">
        <v>74</v>
      </c>
      <c r="O86" t="s">
        <v>74</v>
      </c>
      <c r="P86" t="s">
        <v>74</v>
      </c>
      <c r="Q86" t="s">
        <v>74</v>
      </c>
      <c r="R86" t="s">
        <v>74</v>
      </c>
      <c r="S86" t="s">
        <v>74</v>
      </c>
      <c r="T86" t="s">
        <v>74</v>
      </c>
      <c r="U86" t="s">
        <v>74</v>
      </c>
      <c r="V86" t="s">
        <v>871</v>
      </c>
      <c r="W86" t="s">
        <v>74</v>
      </c>
      <c r="X86" t="s">
        <v>74</v>
      </c>
      <c r="Y86" t="s">
        <v>74</v>
      </c>
      <c r="Z86" t="s">
        <v>74</v>
      </c>
      <c r="AA86" t="s">
        <v>872</v>
      </c>
      <c r="AB86" t="s">
        <v>873</v>
      </c>
      <c r="AC86" t="s">
        <v>74</v>
      </c>
      <c r="AD86" t="s">
        <v>74</v>
      </c>
      <c r="AE86" t="s">
        <v>74</v>
      </c>
      <c r="AF86" t="s">
        <v>74</v>
      </c>
      <c r="AG86" t="s">
        <v>74</v>
      </c>
      <c r="AH86" t="s">
        <v>74</v>
      </c>
      <c r="AI86" t="s">
        <v>74</v>
      </c>
      <c r="AJ86" t="s">
        <v>74</v>
      </c>
      <c r="AK86" t="s">
        <v>74</v>
      </c>
      <c r="AL86" t="s">
        <v>74</v>
      </c>
      <c r="AM86" t="s">
        <v>74</v>
      </c>
      <c r="AN86" t="s">
        <v>74</v>
      </c>
      <c r="AO86" t="s">
        <v>491</v>
      </c>
      <c r="AP86" t="s">
        <v>74</v>
      </c>
      <c r="AQ86" t="s">
        <v>74</v>
      </c>
      <c r="AR86" t="s">
        <v>74</v>
      </c>
      <c r="AS86" t="s">
        <v>74</v>
      </c>
      <c r="AT86" t="s">
        <v>874</v>
      </c>
      <c r="AU86">
        <v>2025</v>
      </c>
      <c r="AV86">
        <v>13</v>
      </c>
      <c r="AW86">
        <v>11</v>
      </c>
      <c r="AX86" t="s">
        <v>74</v>
      </c>
      <c r="AY86" t="s">
        <v>74</v>
      </c>
      <c r="AZ86" t="s">
        <v>74</v>
      </c>
      <c r="BA86" t="s">
        <v>74</v>
      </c>
      <c r="BB86">
        <v>4439</v>
      </c>
      <c r="BC86">
        <v>4448</v>
      </c>
      <c r="BD86" t="s">
        <v>74</v>
      </c>
      <c r="BE86" t="s">
        <v>875</v>
      </c>
      <c r="BF86" t="str">
        <f>HYPERLINK("http://dx.doi.org/10.1021/acssuschemeng.4c08671","http://dx.doi.org/10.1021/acssuschemeng.4c08671")</f>
        <v>http://dx.doi.org/10.1021/acssuschemeng.4c08671</v>
      </c>
      <c r="BG86" t="s">
        <v>74</v>
      </c>
      <c r="BH86" t="s">
        <v>777</v>
      </c>
      <c r="BI86" t="s">
        <v>74</v>
      </c>
      <c r="BJ86" t="s">
        <v>74</v>
      </c>
      <c r="BK86" t="s">
        <v>74</v>
      </c>
      <c r="BL86" t="s">
        <v>74</v>
      </c>
      <c r="BM86" t="s">
        <v>74</v>
      </c>
      <c r="BN86" t="s">
        <v>74</v>
      </c>
      <c r="BO86" t="s">
        <v>74</v>
      </c>
      <c r="BP86" t="s">
        <v>74</v>
      </c>
      <c r="BQ86" t="s">
        <v>74</v>
      </c>
      <c r="BR86" t="s">
        <v>74</v>
      </c>
      <c r="BS86" t="s">
        <v>876</v>
      </c>
      <c r="BT86" t="str">
        <f>HYPERLINK("https%3A%2F%2Fwww.webofscience.com%2Fwos%2Fwoscc%2Ffull-record%2FWOS:001445733400001","View Full Record in Web of Science")</f>
        <v>View Full Record in Web of Science</v>
      </c>
    </row>
    <row r="87" spans="1:72" x14ac:dyDescent="0.2">
      <c r="A87" t="s">
        <v>72</v>
      </c>
      <c r="B87" t="s">
        <v>877</v>
      </c>
      <c r="C87" t="s">
        <v>74</v>
      </c>
      <c r="D87" t="s">
        <v>74</v>
      </c>
      <c r="E87" t="s">
        <v>74</v>
      </c>
      <c r="F87" t="s">
        <v>878</v>
      </c>
      <c r="G87" t="s">
        <v>74</v>
      </c>
      <c r="H87" t="s">
        <v>74</v>
      </c>
      <c r="I87" t="s">
        <v>879</v>
      </c>
      <c r="J87" t="s">
        <v>231</v>
      </c>
      <c r="K87" t="s">
        <v>74</v>
      </c>
      <c r="L87" t="s">
        <v>74</v>
      </c>
      <c r="M87" t="s">
        <v>74</v>
      </c>
      <c r="N87" t="s">
        <v>74</v>
      </c>
      <c r="O87" t="s">
        <v>74</v>
      </c>
      <c r="P87" t="s">
        <v>74</v>
      </c>
      <c r="Q87" t="s">
        <v>74</v>
      </c>
      <c r="R87" t="s">
        <v>74</v>
      </c>
      <c r="S87" t="s">
        <v>74</v>
      </c>
      <c r="T87" t="s">
        <v>74</v>
      </c>
      <c r="U87" t="s">
        <v>74</v>
      </c>
      <c r="V87" t="s">
        <v>880</v>
      </c>
      <c r="W87" t="s">
        <v>74</v>
      </c>
      <c r="X87" t="s">
        <v>74</v>
      </c>
      <c r="Y87" t="s">
        <v>74</v>
      </c>
      <c r="Z87" t="s">
        <v>74</v>
      </c>
      <c r="AA87" t="s">
        <v>881</v>
      </c>
      <c r="AB87" t="s">
        <v>74</v>
      </c>
      <c r="AC87" t="s">
        <v>74</v>
      </c>
      <c r="AD87" t="s">
        <v>74</v>
      </c>
      <c r="AE87" t="s">
        <v>74</v>
      </c>
      <c r="AF87" t="s">
        <v>74</v>
      </c>
      <c r="AG87" t="s">
        <v>74</v>
      </c>
      <c r="AH87" t="s">
        <v>74</v>
      </c>
      <c r="AI87" t="s">
        <v>74</v>
      </c>
      <c r="AJ87" t="s">
        <v>74</v>
      </c>
      <c r="AK87" t="s">
        <v>74</v>
      </c>
      <c r="AL87" t="s">
        <v>74</v>
      </c>
      <c r="AM87" t="s">
        <v>74</v>
      </c>
      <c r="AN87" t="s">
        <v>74</v>
      </c>
      <c r="AO87" t="s">
        <v>74</v>
      </c>
      <c r="AP87" t="s">
        <v>234</v>
      </c>
      <c r="AQ87" t="s">
        <v>74</v>
      </c>
      <c r="AR87" t="s">
        <v>74</v>
      </c>
      <c r="AS87" t="s">
        <v>74</v>
      </c>
      <c r="AT87" t="s">
        <v>545</v>
      </c>
      <c r="AU87">
        <v>2025</v>
      </c>
      <c r="AV87">
        <v>64</v>
      </c>
      <c r="AW87">
        <v>19</v>
      </c>
      <c r="AX87" t="s">
        <v>74</v>
      </c>
      <c r="AY87" t="s">
        <v>74</v>
      </c>
      <c r="AZ87" t="s">
        <v>74</v>
      </c>
      <c r="BA87" t="s">
        <v>74</v>
      </c>
      <c r="BB87" t="s">
        <v>74</v>
      </c>
      <c r="BC87" t="s">
        <v>74</v>
      </c>
      <c r="BD87" t="s">
        <v>74</v>
      </c>
      <c r="BE87" t="s">
        <v>882</v>
      </c>
      <c r="BF87" t="str">
        <f>HYPERLINK("http://dx.doi.org/10.1002/anie.202500425","http://dx.doi.org/10.1002/anie.202500425")</f>
        <v>http://dx.doi.org/10.1002/anie.202500425</v>
      </c>
      <c r="BG87" t="s">
        <v>74</v>
      </c>
      <c r="BH87" t="s">
        <v>777</v>
      </c>
      <c r="BI87" t="s">
        <v>74</v>
      </c>
      <c r="BJ87" t="s">
        <v>74</v>
      </c>
      <c r="BK87" t="s">
        <v>74</v>
      </c>
      <c r="BL87" t="s">
        <v>74</v>
      </c>
      <c r="BM87" t="s">
        <v>74</v>
      </c>
      <c r="BN87">
        <v>40026209</v>
      </c>
      <c r="BO87" t="s">
        <v>74</v>
      </c>
      <c r="BP87" t="s">
        <v>74</v>
      </c>
      <c r="BQ87" t="s">
        <v>74</v>
      </c>
      <c r="BR87" t="s">
        <v>74</v>
      </c>
      <c r="BS87" t="s">
        <v>883</v>
      </c>
      <c r="BT87" t="str">
        <f>HYPERLINK("https%3A%2F%2Fwww.webofscience.com%2Fwos%2Fwoscc%2Ffull-record%2FWOS:001441192300001","View Full Record in Web of Science")</f>
        <v>View Full Record in Web of Science</v>
      </c>
    </row>
    <row r="88" spans="1:72" x14ac:dyDescent="0.2">
      <c r="A88" t="s">
        <v>72</v>
      </c>
      <c r="B88" t="s">
        <v>884</v>
      </c>
      <c r="C88" t="s">
        <v>74</v>
      </c>
      <c r="D88" t="s">
        <v>74</v>
      </c>
      <c r="E88" t="s">
        <v>74</v>
      </c>
      <c r="F88" t="s">
        <v>885</v>
      </c>
      <c r="G88" t="s">
        <v>74</v>
      </c>
      <c r="H88" t="s">
        <v>74</v>
      </c>
      <c r="I88" t="s">
        <v>886</v>
      </c>
      <c r="J88" t="s">
        <v>528</v>
      </c>
      <c r="K88" t="s">
        <v>74</v>
      </c>
      <c r="L88" t="s">
        <v>74</v>
      </c>
      <c r="M88" t="s">
        <v>74</v>
      </c>
      <c r="N88" t="s">
        <v>74</v>
      </c>
      <c r="O88" t="s">
        <v>74</v>
      </c>
      <c r="P88" t="s">
        <v>74</v>
      </c>
      <c r="Q88" t="s">
        <v>74</v>
      </c>
      <c r="R88" t="s">
        <v>74</v>
      </c>
      <c r="S88" t="s">
        <v>74</v>
      </c>
      <c r="T88" t="s">
        <v>74</v>
      </c>
      <c r="U88" t="s">
        <v>74</v>
      </c>
      <c r="V88" t="s">
        <v>887</v>
      </c>
      <c r="W88" t="s">
        <v>74</v>
      </c>
      <c r="X88" t="s">
        <v>74</v>
      </c>
      <c r="Y88" t="s">
        <v>74</v>
      </c>
      <c r="Z88" t="s">
        <v>74</v>
      </c>
      <c r="AA88" t="s">
        <v>888</v>
      </c>
      <c r="AB88" t="s">
        <v>74</v>
      </c>
      <c r="AC88" t="s">
        <v>74</v>
      </c>
      <c r="AD88" t="s">
        <v>74</v>
      </c>
      <c r="AE88" t="s">
        <v>74</v>
      </c>
      <c r="AF88" t="s">
        <v>74</v>
      </c>
      <c r="AG88" t="s">
        <v>74</v>
      </c>
      <c r="AH88" t="s">
        <v>74</v>
      </c>
      <c r="AI88" t="s">
        <v>74</v>
      </c>
      <c r="AJ88" t="s">
        <v>74</v>
      </c>
      <c r="AK88" t="s">
        <v>74</v>
      </c>
      <c r="AL88" t="s">
        <v>74</v>
      </c>
      <c r="AM88" t="s">
        <v>74</v>
      </c>
      <c r="AN88" t="s">
        <v>74</v>
      </c>
      <c r="AO88" t="s">
        <v>532</v>
      </c>
      <c r="AP88" t="s">
        <v>533</v>
      </c>
      <c r="AQ88" t="s">
        <v>74</v>
      </c>
      <c r="AR88" t="s">
        <v>74</v>
      </c>
      <c r="AS88" t="s">
        <v>74</v>
      </c>
      <c r="AT88" t="s">
        <v>889</v>
      </c>
      <c r="AU88">
        <v>2025</v>
      </c>
      <c r="AV88">
        <v>17</v>
      </c>
      <c r="AW88">
        <v>11</v>
      </c>
      <c r="AX88" t="s">
        <v>74</v>
      </c>
      <c r="AY88" t="s">
        <v>74</v>
      </c>
      <c r="AZ88" t="s">
        <v>74</v>
      </c>
      <c r="BA88" t="s">
        <v>74</v>
      </c>
      <c r="BB88">
        <v>16747</v>
      </c>
      <c r="BC88">
        <v>16757</v>
      </c>
      <c r="BD88" t="s">
        <v>74</v>
      </c>
      <c r="BE88" t="s">
        <v>890</v>
      </c>
      <c r="BF88" t="str">
        <f>HYPERLINK("http://dx.doi.org/10.1021/acsami.4c18304","http://dx.doi.org/10.1021/acsami.4c18304")</f>
        <v>http://dx.doi.org/10.1021/acsami.4c18304</v>
      </c>
      <c r="BG88" t="s">
        <v>74</v>
      </c>
      <c r="BH88" t="s">
        <v>777</v>
      </c>
      <c r="BI88" t="s">
        <v>74</v>
      </c>
      <c r="BJ88" t="s">
        <v>74</v>
      </c>
      <c r="BK88" t="s">
        <v>74</v>
      </c>
      <c r="BL88" t="s">
        <v>74</v>
      </c>
      <c r="BM88" t="s">
        <v>74</v>
      </c>
      <c r="BN88">
        <v>40059477</v>
      </c>
      <c r="BO88" t="s">
        <v>74</v>
      </c>
      <c r="BP88" t="s">
        <v>74</v>
      </c>
      <c r="BQ88" t="s">
        <v>74</v>
      </c>
      <c r="BR88" t="s">
        <v>74</v>
      </c>
      <c r="BS88" t="s">
        <v>891</v>
      </c>
      <c r="BT88" t="str">
        <f>HYPERLINK("https%3A%2F%2Fwww.webofscience.com%2Fwos%2Fwoscc%2Ffull-record%2FWOS:001441172500001","View Full Record in Web of Science")</f>
        <v>View Full Record in Web of Science</v>
      </c>
    </row>
    <row r="89" spans="1:72" x14ac:dyDescent="0.2">
      <c r="A89" t="s">
        <v>72</v>
      </c>
      <c r="B89" t="s">
        <v>892</v>
      </c>
      <c r="C89" t="s">
        <v>74</v>
      </c>
      <c r="D89" t="s">
        <v>74</v>
      </c>
      <c r="E89" t="s">
        <v>74</v>
      </c>
      <c r="F89" t="s">
        <v>893</v>
      </c>
      <c r="G89" t="s">
        <v>74</v>
      </c>
      <c r="H89" t="s">
        <v>74</v>
      </c>
      <c r="I89" t="s">
        <v>894</v>
      </c>
      <c r="J89" t="s">
        <v>895</v>
      </c>
      <c r="K89" t="s">
        <v>74</v>
      </c>
      <c r="L89" t="s">
        <v>74</v>
      </c>
      <c r="M89" t="s">
        <v>74</v>
      </c>
      <c r="N89" t="s">
        <v>74</v>
      </c>
      <c r="O89" t="s">
        <v>74</v>
      </c>
      <c r="P89" t="s">
        <v>74</v>
      </c>
      <c r="Q89" t="s">
        <v>74</v>
      </c>
      <c r="R89" t="s">
        <v>74</v>
      </c>
      <c r="S89" t="s">
        <v>74</v>
      </c>
      <c r="T89" t="s">
        <v>74</v>
      </c>
      <c r="U89" t="s">
        <v>74</v>
      </c>
      <c r="V89" t="s">
        <v>896</v>
      </c>
      <c r="W89" t="s">
        <v>74</v>
      </c>
      <c r="X89" t="s">
        <v>74</v>
      </c>
      <c r="Y89" t="s">
        <v>74</v>
      </c>
      <c r="Z89" t="s">
        <v>74</v>
      </c>
      <c r="AA89" t="s">
        <v>897</v>
      </c>
      <c r="AB89" t="s">
        <v>898</v>
      </c>
      <c r="AC89" t="s">
        <v>74</v>
      </c>
      <c r="AD89" t="s">
        <v>74</v>
      </c>
      <c r="AE89" t="s">
        <v>74</v>
      </c>
      <c r="AF89" t="s">
        <v>74</v>
      </c>
      <c r="AG89" t="s">
        <v>74</v>
      </c>
      <c r="AH89" t="s">
        <v>74</v>
      </c>
      <c r="AI89" t="s">
        <v>74</v>
      </c>
      <c r="AJ89" t="s">
        <v>74</v>
      </c>
      <c r="AK89" t="s">
        <v>74</v>
      </c>
      <c r="AL89" t="s">
        <v>74</v>
      </c>
      <c r="AM89" t="s">
        <v>74</v>
      </c>
      <c r="AN89" t="s">
        <v>74</v>
      </c>
      <c r="AO89" t="s">
        <v>899</v>
      </c>
      <c r="AP89" t="s">
        <v>900</v>
      </c>
      <c r="AQ89" t="s">
        <v>74</v>
      </c>
      <c r="AR89" t="s">
        <v>74</v>
      </c>
      <c r="AS89" t="s">
        <v>74</v>
      </c>
      <c r="AT89" t="s">
        <v>901</v>
      </c>
      <c r="AU89">
        <v>2025</v>
      </c>
      <c r="AV89">
        <v>18</v>
      </c>
      <c r="AW89">
        <v>10</v>
      </c>
      <c r="AX89" t="s">
        <v>74</v>
      </c>
      <c r="AY89" t="s">
        <v>74</v>
      </c>
      <c r="AZ89" t="s">
        <v>74</v>
      </c>
      <c r="BA89" t="s">
        <v>74</v>
      </c>
      <c r="BB89" t="s">
        <v>74</v>
      </c>
      <c r="BC89" t="s">
        <v>74</v>
      </c>
      <c r="BD89" t="s">
        <v>74</v>
      </c>
      <c r="BE89" t="s">
        <v>902</v>
      </c>
      <c r="BF89" t="str">
        <f>HYPERLINK("http://dx.doi.org/10.1039/d4ee04927f","http://dx.doi.org/10.1039/d4ee04927f")</f>
        <v>http://dx.doi.org/10.1039/d4ee04927f</v>
      </c>
      <c r="BG89" t="s">
        <v>74</v>
      </c>
      <c r="BH89" t="s">
        <v>777</v>
      </c>
      <c r="BI89" t="s">
        <v>74</v>
      </c>
      <c r="BJ89" t="s">
        <v>74</v>
      </c>
      <c r="BK89" t="s">
        <v>74</v>
      </c>
      <c r="BL89" t="s">
        <v>74</v>
      </c>
      <c r="BM89" t="s">
        <v>74</v>
      </c>
      <c r="BN89" t="s">
        <v>74</v>
      </c>
      <c r="BO89" t="s">
        <v>74</v>
      </c>
      <c r="BP89" t="s">
        <v>74</v>
      </c>
      <c r="BQ89" t="s">
        <v>74</v>
      </c>
      <c r="BR89" t="s">
        <v>74</v>
      </c>
      <c r="BS89" t="s">
        <v>903</v>
      </c>
      <c r="BT89" t="str">
        <f>HYPERLINK("https%3A%2F%2Fwww.webofscience.com%2Fwos%2Fwoscc%2Ffull-record%2FWOS:001442214300001","View Full Record in Web of Science")</f>
        <v>View Full Record in Web of Science</v>
      </c>
    </row>
    <row r="90" spans="1:72" x14ac:dyDescent="0.2">
      <c r="A90" t="s">
        <v>72</v>
      </c>
      <c r="B90" t="s">
        <v>904</v>
      </c>
      <c r="C90" t="s">
        <v>74</v>
      </c>
      <c r="D90" t="s">
        <v>74</v>
      </c>
      <c r="E90" t="s">
        <v>74</v>
      </c>
      <c r="F90" t="s">
        <v>905</v>
      </c>
      <c r="G90" t="s">
        <v>74</v>
      </c>
      <c r="H90" t="s">
        <v>74</v>
      </c>
      <c r="I90" t="s">
        <v>906</v>
      </c>
      <c r="J90" t="s">
        <v>161</v>
      </c>
      <c r="K90" t="s">
        <v>74</v>
      </c>
      <c r="L90" t="s">
        <v>74</v>
      </c>
      <c r="M90" t="s">
        <v>74</v>
      </c>
      <c r="N90" t="s">
        <v>74</v>
      </c>
      <c r="O90" t="s">
        <v>74</v>
      </c>
      <c r="P90" t="s">
        <v>74</v>
      </c>
      <c r="Q90" t="s">
        <v>74</v>
      </c>
      <c r="R90" t="s">
        <v>74</v>
      </c>
      <c r="S90" t="s">
        <v>74</v>
      </c>
      <c r="T90" t="s">
        <v>74</v>
      </c>
      <c r="U90" t="s">
        <v>74</v>
      </c>
      <c r="V90" t="s">
        <v>907</v>
      </c>
      <c r="W90" t="s">
        <v>74</v>
      </c>
      <c r="X90" t="s">
        <v>74</v>
      </c>
      <c r="Y90" t="s">
        <v>74</v>
      </c>
      <c r="Z90" t="s">
        <v>74</v>
      </c>
      <c r="AA90" t="s">
        <v>908</v>
      </c>
      <c r="AB90" t="s">
        <v>909</v>
      </c>
      <c r="AC90" t="s">
        <v>74</v>
      </c>
      <c r="AD90" t="s">
        <v>74</v>
      </c>
      <c r="AE90" t="s">
        <v>74</v>
      </c>
      <c r="AF90" t="s">
        <v>74</v>
      </c>
      <c r="AG90" t="s">
        <v>74</v>
      </c>
      <c r="AH90" t="s">
        <v>74</v>
      </c>
      <c r="AI90" t="s">
        <v>74</v>
      </c>
      <c r="AJ90" t="s">
        <v>74</v>
      </c>
      <c r="AK90" t="s">
        <v>74</v>
      </c>
      <c r="AL90" t="s">
        <v>74</v>
      </c>
      <c r="AM90" t="s">
        <v>74</v>
      </c>
      <c r="AN90" t="s">
        <v>74</v>
      </c>
      <c r="AO90" t="s">
        <v>163</v>
      </c>
      <c r="AP90" t="s">
        <v>164</v>
      </c>
      <c r="AQ90" t="s">
        <v>74</v>
      </c>
      <c r="AR90" t="s">
        <v>74</v>
      </c>
      <c r="AS90" t="s">
        <v>74</v>
      </c>
      <c r="AT90" t="s">
        <v>910</v>
      </c>
      <c r="AU90">
        <v>2025</v>
      </c>
      <c r="AV90">
        <v>509</v>
      </c>
      <c r="AW90" t="s">
        <v>74</v>
      </c>
      <c r="AX90" t="s">
        <v>74</v>
      </c>
      <c r="AY90" t="s">
        <v>74</v>
      </c>
      <c r="AZ90" t="s">
        <v>74</v>
      </c>
      <c r="BA90" t="s">
        <v>74</v>
      </c>
      <c r="BB90" t="s">
        <v>74</v>
      </c>
      <c r="BC90" t="s">
        <v>74</v>
      </c>
      <c r="BD90">
        <v>160818</v>
      </c>
      <c r="BE90" t="s">
        <v>911</v>
      </c>
      <c r="BF90" t="str">
        <f>HYPERLINK("http://dx.doi.org/10.1016/j.cej.2025.160818","http://dx.doi.org/10.1016/j.cej.2025.160818")</f>
        <v>http://dx.doi.org/10.1016/j.cej.2025.160818</v>
      </c>
      <c r="BG90" t="s">
        <v>74</v>
      </c>
      <c r="BH90" t="s">
        <v>777</v>
      </c>
      <c r="BI90" t="s">
        <v>74</v>
      </c>
      <c r="BJ90" t="s">
        <v>74</v>
      </c>
      <c r="BK90" t="s">
        <v>74</v>
      </c>
      <c r="BL90" t="s">
        <v>74</v>
      </c>
      <c r="BM90" t="s">
        <v>74</v>
      </c>
      <c r="BN90" t="s">
        <v>74</v>
      </c>
      <c r="BO90" t="s">
        <v>74</v>
      </c>
      <c r="BP90" t="s">
        <v>74</v>
      </c>
      <c r="BQ90" t="s">
        <v>74</v>
      </c>
      <c r="BR90" t="s">
        <v>74</v>
      </c>
      <c r="BS90" t="s">
        <v>912</v>
      </c>
      <c r="BT90" t="str">
        <f>HYPERLINK("https%3A%2F%2Fwww.webofscience.com%2Fwos%2Fwoscc%2Ffull-record%2FWOS:001442873400001","View Full Record in Web of Science")</f>
        <v>View Full Record in Web of Science</v>
      </c>
    </row>
    <row r="91" spans="1:72" x14ac:dyDescent="0.2">
      <c r="A91" t="s">
        <v>72</v>
      </c>
      <c r="B91" t="s">
        <v>913</v>
      </c>
      <c r="C91" t="s">
        <v>74</v>
      </c>
      <c r="D91" t="s">
        <v>74</v>
      </c>
      <c r="E91" t="s">
        <v>74</v>
      </c>
      <c r="F91" t="s">
        <v>914</v>
      </c>
      <c r="G91" t="s">
        <v>74</v>
      </c>
      <c r="H91" t="s">
        <v>74</v>
      </c>
      <c r="I91" t="s">
        <v>915</v>
      </c>
      <c r="J91" t="s">
        <v>488</v>
      </c>
      <c r="K91" t="s">
        <v>74</v>
      </c>
      <c r="L91" t="s">
        <v>74</v>
      </c>
      <c r="M91" t="s">
        <v>74</v>
      </c>
      <c r="N91" t="s">
        <v>74</v>
      </c>
      <c r="O91" t="s">
        <v>74</v>
      </c>
      <c r="P91" t="s">
        <v>74</v>
      </c>
      <c r="Q91" t="s">
        <v>74</v>
      </c>
      <c r="R91" t="s">
        <v>74</v>
      </c>
      <c r="S91" t="s">
        <v>74</v>
      </c>
      <c r="T91" t="s">
        <v>74</v>
      </c>
      <c r="U91" t="s">
        <v>74</v>
      </c>
      <c r="V91" t="s">
        <v>916</v>
      </c>
      <c r="W91" t="s">
        <v>74</v>
      </c>
      <c r="X91" t="s">
        <v>74</v>
      </c>
      <c r="Y91" t="s">
        <v>74</v>
      </c>
      <c r="Z91" t="s">
        <v>74</v>
      </c>
      <c r="AA91" t="s">
        <v>74</v>
      </c>
      <c r="AB91" t="s">
        <v>74</v>
      </c>
      <c r="AC91" t="s">
        <v>74</v>
      </c>
      <c r="AD91" t="s">
        <v>74</v>
      </c>
      <c r="AE91" t="s">
        <v>74</v>
      </c>
      <c r="AF91" t="s">
        <v>74</v>
      </c>
      <c r="AG91" t="s">
        <v>74</v>
      </c>
      <c r="AH91" t="s">
        <v>74</v>
      </c>
      <c r="AI91" t="s">
        <v>74</v>
      </c>
      <c r="AJ91" t="s">
        <v>74</v>
      </c>
      <c r="AK91" t="s">
        <v>74</v>
      </c>
      <c r="AL91" t="s">
        <v>74</v>
      </c>
      <c r="AM91" t="s">
        <v>74</v>
      </c>
      <c r="AN91" t="s">
        <v>74</v>
      </c>
      <c r="AO91" t="s">
        <v>491</v>
      </c>
      <c r="AP91" t="s">
        <v>74</v>
      </c>
      <c r="AQ91" t="s">
        <v>74</v>
      </c>
      <c r="AR91" t="s">
        <v>74</v>
      </c>
      <c r="AS91" t="s">
        <v>74</v>
      </c>
      <c r="AT91" t="s">
        <v>917</v>
      </c>
      <c r="AU91">
        <v>2025</v>
      </c>
      <c r="AV91">
        <v>13</v>
      </c>
      <c r="AW91">
        <v>10</v>
      </c>
      <c r="AX91" t="s">
        <v>74</v>
      </c>
      <c r="AY91" t="s">
        <v>74</v>
      </c>
      <c r="AZ91" t="s">
        <v>74</v>
      </c>
      <c r="BA91" t="s">
        <v>74</v>
      </c>
      <c r="BB91">
        <v>4093</v>
      </c>
      <c r="BC91">
        <v>4107</v>
      </c>
      <c r="BD91" t="s">
        <v>74</v>
      </c>
      <c r="BE91" t="s">
        <v>918</v>
      </c>
      <c r="BF91" t="str">
        <f>HYPERLINK("http://dx.doi.org/10.1021/acssuschemeng.4c10154","http://dx.doi.org/10.1021/acssuschemeng.4c10154")</f>
        <v>http://dx.doi.org/10.1021/acssuschemeng.4c10154</v>
      </c>
      <c r="BG91" t="s">
        <v>74</v>
      </c>
      <c r="BH91" t="s">
        <v>777</v>
      </c>
      <c r="BI91" t="s">
        <v>74</v>
      </c>
      <c r="BJ91" t="s">
        <v>74</v>
      </c>
      <c r="BK91" t="s">
        <v>74</v>
      </c>
      <c r="BL91" t="s">
        <v>74</v>
      </c>
      <c r="BM91" t="s">
        <v>74</v>
      </c>
      <c r="BN91" t="s">
        <v>74</v>
      </c>
      <c r="BO91" t="s">
        <v>74</v>
      </c>
      <c r="BP91" t="s">
        <v>74</v>
      </c>
      <c r="BQ91" t="s">
        <v>74</v>
      </c>
      <c r="BR91" t="s">
        <v>74</v>
      </c>
      <c r="BS91" t="s">
        <v>919</v>
      </c>
      <c r="BT91" t="str">
        <f>HYPERLINK("https%3A%2F%2Fwww.webofscience.com%2Fwos%2Fwoscc%2Ffull-record%2FWOS:001436069800001","View Full Record in Web of Science")</f>
        <v>View Full Record in Web of Science</v>
      </c>
    </row>
    <row r="92" spans="1:72" x14ac:dyDescent="0.2">
      <c r="A92" t="s">
        <v>72</v>
      </c>
      <c r="B92" t="s">
        <v>920</v>
      </c>
      <c r="C92" t="s">
        <v>74</v>
      </c>
      <c r="D92" t="s">
        <v>74</v>
      </c>
      <c r="E92" t="s">
        <v>74</v>
      </c>
      <c r="F92" t="s">
        <v>921</v>
      </c>
      <c r="G92" t="s">
        <v>74</v>
      </c>
      <c r="H92" t="s">
        <v>74</v>
      </c>
      <c r="I92" t="s">
        <v>922</v>
      </c>
      <c r="J92" t="s">
        <v>422</v>
      </c>
      <c r="K92" t="s">
        <v>74</v>
      </c>
      <c r="L92" t="s">
        <v>74</v>
      </c>
      <c r="M92" t="s">
        <v>74</v>
      </c>
      <c r="N92" t="s">
        <v>74</v>
      </c>
      <c r="O92" t="s">
        <v>74</v>
      </c>
      <c r="P92" t="s">
        <v>74</v>
      </c>
      <c r="Q92" t="s">
        <v>74</v>
      </c>
      <c r="R92" t="s">
        <v>74</v>
      </c>
      <c r="S92" t="s">
        <v>74</v>
      </c>
      <c r="T92" t="s">
        <v>74</v>
      </c>
      <c r="U92" t="s">
        <v>74</v>
      </c>
      <c r="V92" t="s">
        <v>923</v>
      </c>
      <c r="W92" t="s">
        <v>74</v>
      </c>
      <c r="X92" t="s">
        <v>74</v>
      </c>
      <c r="Y92" t="s">
        <v>74</v>
      </c>
      <c r="Z92" t="s">
        <v>74</v>
      </c>
      <c r="AA92" t="s">
        <v>924</v>
      </c>
      <c r="AB92" t="s">
        <v>925</v>
      </c>
      <c r="AC92" t="s">
        <v>74</v>
      </c>
      <c r="AD92" t="s">
        <v>74</v>
      </c>
      <c r="AE92" t="s">
        <v>74</v>
      </c>
      <c r="AF92" t="s">
        <v>74</v>
      </c>
      <c r="AG92" t="s">
        <v>74</v>
      </c>
      <c r="AH92" t="s">
        <v>74</v>
      </c>
      <c r="AI92" t="s">
        <v>74</v>
      </c>
      <c r="AJ92" t="s">
        <v>74</v>
      </c>
      <c r="AK92" t="s">
        <v>74</v>
      </c>
      <c r="AL92" t="s">
        <v>74</v>
      </c>
      <c r="AM92" t="s">
        <v>74</v>
      </c>
      <c r="AN92" t="s">
        <v>74</v>
      </c>
      <c r="AO92" t="s">
        <v>426</v>
      </c>
      <c r="AP92" t="s">
        <v>74</v>
      </c>
      <c r="AQ92" t="s">
        <v>74</v>
      </c>
      <c r="AR92" t="s">
        <v>74</v>
      </c>
      <c r="AS92" t="s">
        <v>74</v>
      </c>
      <c r="AT92" t="s">
        <v>917</v>
      </c>
      <c r="AU92">
        <v>2025</v>
      </c>
      <c r="AV92">
        <v>8</v>
      </c>
      <c r="AW92">
        <v>6</v>
      </c>
      <c r="AX92" t="s">
        <v>74</v>
      </c>
      <c r="AY92" t="s">
        <v>74</v>
      </c>
      <c r="AZ92" t="s">
        <v>74</v>
      </c>
      <c r="BA92" t="s">
        <v>74</v>
      </c>
      <c r="BB92">
        <v>3360</v>
      </c>
      <c r="BC92">
        <v>3368</v>
      </c>
      <c r="BD92" t="s">
        <v>74</v>
      </c>
      <c r="BE92" t="s">
        <v>926</v>
      </c>
      <c r="BF92" t="str">
        <f>HYPERLINK("http://dx.doi.org/10.1021/acsaem.4c02806","http://dx.doi.org/10.1021/acsaem.4c02806")</f>
        <v>http://dx.doi.org/10.1021/acsaem.4c02806</v>
      </c>
      <c r="BG92" t="s">
        <v>74</v>
      </c>
      <c r="BH92" t="s">
        <v>777</v>
      </c>
      <c r="BI92" t="s">
        <v>74</v>
      </c>
      <c r="BJ92" t="s">
        <v>74</v>
      </c>
      <c r="BK92" t="s">
        <v>74</v>
      </c>
      <c r="BL92" t="s">
        <v>74</v>
      </c>
      <c r="BM92" t="s">
        <v>74</v>
      </c>
      <c r="BN92" t="s">
        <v>74</v>
      </c>
      <c r="BO92" t="s">
        <v>74</v>
      </c>
      <c r="BP92" t="s">
        <v>74</v>
      </c>
      <c r="BQ92" t="s">
        <v>74</v>
      </c>
      <c r="BR92" t="s">
        <v>74</v>
      </c>
      <c r="BS92" t="s">
        <v>927</v>
      </c>
      <c r="BT92" t="str">
        <f>HYPERLINK("https%3A%2F%2Fwww.webofscience.com%2Fwos%2Fwoscc%2Ffull-record%2FWOS:001436082400001","View Full Record in Web of Science")</f>
        <v>View Full Record in Web of Science</v>
      </c>
    </row>
    <row r="93" spans="1:72" x14ac:dyDescent="0.2">
      <c r="A93" t="s">
        <v>72</v>
      </c>
      <c r="B93" t="s">
        <v>928</v>
      </c>
      <c r="C93" t="s">
        <v>74</v>
      </c>
      <c r="D93" t="s">
        <v>74</v>
      </c>
      <c r="E93" t="s">
        <v>74</v>
      </c>
      <c r="F93" t="s">
        <v>929</v>
      </c>
      <c r="G93" t="s">
        <v>74</v>
      </c>
      <c r="H93" t="s">
        <v>74</v>
      </c>
      <c r="I93" t="s">
        <v>930</v>
      </c>
      <c r="J93" t="s">
        <v>931</v>
      </c>
      <c r="K93" t="s">
        <v>74</v>
      </c>
      <c r="L93" t="s">
        <v>74</v>
      </c>
      <c r="M93" t="s">
        <v>74</v>
      </c>
      <c r="N93" t="s">
        <v>74</v>
      </c>
      <c r="O93" t="s">
        <v>74</v>
      </c>
      <c r="P93" t="s">
        <v>74</v>
      </c>
      <c r="Q93" t="s">
        <v>74</v>
      </c>
      <c r="R93" t="s">
        <v>74</v>
      </c>
      <c r="S93" t="s">
        <v>74</v>
      </c>
      <c r="T93" t="s">
        <v>74</v>
      </c>
      <c r="U93" t="s">
        <v>74</v>
      </c>
      <c r="V93" t="s">
        <v>932</v>
      </c>
      <c r="W93" t="s">
        <v>74</v>
      </c>
      <c r="X93" t="s">
        <v>74</v>
      </c>
      <c r="Y93" t="s">
        <v>74</v>
      </c>
      <c r="Z93" t="s">
        <v>74</v>
      </c>
      <c r="AA93" t="s">
        <v>933</v>
      </c>
      <c r="AB93" t="s">
        <v>74</v>
      </c>
      <c r="AC93" t="s">
        <v>74</v>
      </c>
      <c r="AD93" t="s">
        <v>74</v>
      </c>
      <c r="AE93" t="s">
        <v>74</v>
      </c>
      <c r="AF93" t="s">
        <v>74</v>
      </c>
      <c r="AG93" t="s">
        <v>74</v>
      </c>
      <c r="AH93" t="s">
        <v>74</v>
      </c>
      <c r="AI93" t="s">
        <v>74</v>
      </c>
      <c r="AJ93" t="s">
        <v>74</v>
      </c>
      <c r="AK93" t="s">
        <v>74</v>
      </c>
      <c r="AL93" t="s">
        <v>74</v>
      </c>
      <c r="AM93" t="s">
        <v>74</v>
      </c>
      <c r="AN93" t="s">
        <v>74</v>
      </c>
      <c r="AO93" t="s">
        <v>934</v>
      </c>
      <c r="AP93" t="s">
        <v>935</v>
      </c>
      <c r="AQ93" t="s">
        <v>74</v>
      </c>
      <c r="AR93" t="s">
        <v>74</v>
      </c>
      <c r="AS93" t="s">
        <v>74</v>
      </c>
      <c r="AT93" t="s">
        <v>936</v>
      </c>
      <c r="AU93">
        <v>2025</v>
      </c>
      <c r="AV93">
        <v>16</v>
      </c>
      <c r="AW93">
        <v>14</v>
      </c>
      <c r="AX93" t="s">
        <v>74</v>
      </c>
      <c r="AY93" t="s">
        <v>74</v>
      </c>
      <c r="AZ93" t="s">
        <v>74</v>
      </c>
      <c r="BA93" t="s">
        <v>74</v>
      </c>
      <c r="BB93">
        <v>6050</v>
      </c>
      <c r="BC93">
        <v>6059</v>
      </c>
      <c r="BD93" t="s">
        <v>74</v>
      </c>
      <c r="BE93" t="s">
        <v>937</v>
      </c>
      <c r="BF93" t="str">
        <f>HYPERLINK("http://dx.doi.org/10.1039/d4sc08624d","http://dx.doi.org/10.1039/d4sc08624d")</f>
        <v>http://dx.doi.org/10.1039/d4sc08624d</v>
      </c>
      <c r="BG93" t="s">
        <v>74</v>
      </c>
      <c r="BH93" t="s">
        <v>777</v>
      </c>
      <c r="BI93" t="s">
        <v>74</v>
      </c>
      <c r="BJ93" t="s">
        <v>74</v>
      </c>
      <c r="BK93" t="s">
        <v>74</v>
      </c>
      <c r="BL93" t="s">
        <v>74</v>
      </c>
      <c r="BM93" t="s">
        <v>74</v>
      </c>
      <c r="BN93">
        <v>40070465</v>
      </c>
      <c r="BO93" t="s">
        <v>74</v>
      </c>
      <c r="BP93" t="s">
        <v>74</v>
      </c>
      <c r="BQ93" t="s">
        <v>74</v>
      </c>
      <c r="BR93" t="s">
        <v>74</v>
      </c>
      <c r="BS93" t="s">
        <v>938</v>
      </c>
      <c r="BT93" t="str">
        <f>HYPERLINK("https%3A%2F%2Fwww.webofscience.com%2Fwos%2Fwoscc%2Ffull-record%2FWOS:001440434900001","View Full Record in Web of Science")</f>
        <v>View Full Record in Web of Science</v>
      </c>
    </row>
    <row r="94" spans="1:72" x14ac:dyDescent="0.2">
      <c r="A94" t="s">
        <v>72</v>
      </c>
      <c r="B94" t="s">
        <v>939</v>
      </c>
      <c r="C94" t="s">
        <v>74</v>
      </c>
      <c r="D94" t="s">
        <v>74</v>
      </c>
      <c r="E94" t="s">
        <v>74</v>
      </c>
      <c r="F94" t="s">
        <v>940</v>
      </c>
      <c r="G94" t="s">
        <v>74</v>
      </c>
      <c r="H94" t="s">
        <v>74</v>
      </c>
      <c r="I94" t="s">
        <v>941</v>
      </c>
      <c r="J94" t="s">
        <v>231</v>
      </c>
      <c r="K94" t="s">
        <v>74</v>
      </c>
      <c r="L94" t="s">
        <v>74</v>
      </c>
      <c r="M94" t="s">
        <v>74</v>
      </c>
      <c r="N94" t="s">
        <v>74</v>
      </c>
      <c r="O94" t="s">
        <v>74</v>
      </c>
      <c r="P94" t="s">
        <v>74</v>
      </c>
      <c r="Q94" t="s">
        <v>74</v>
      </c>
      <c r="R94" t="s">
        <v>74</v>
      </c>
      <c r="S94" t="s">
        <v>74</v>
      </c>
      <c r="T94" t="s">
        <v>74</v>
      </c>
      <c r="U94" t="s">
        <v>74</v>
      </c>
      <c r="V94" t="s">
        <v>942</v>
      </c>
      <c r="W94" t="s">
        <v>74</v>
      </c>
      <c r="X94" t="s">
        <v>74</v>
      </c>
      <c r="Y94" t="s">
        <v>74</v>
      </c>
      <c r="Z94" t="s">
        <v>74</v>
      </c>
      <c r="AA94" t="s">
        <v>943</v>
      </c>
      <c r="AB94" t="s">
        <v>944</v>
      </c>
      <c r="AC94" t="s">
        <v>74</v>
      </c>
      <c r="AD94" t="s">
        <v>74</v>
      </c>
      <c r="AE94" t="s">
        <v>74</v>
      </c>
      <c r="AF94" t="s">
        <v>74</v>
      </c>
      <c r="AG94" t="s">
        <v>74</v>
      </c>
      <c r="AH94" t="s">
        <v>74</v>
      </c>
      <c r="AI94" t="s">
        <v>74</v>
      </c>
      <c r="AJ94" t="s">
        <v>74</v>
      </c>
      <c r="AK94" t="s">
        <v>74</v>
      </c>
      <c r="AL94" t="s">
        <v>74</v>
      </c>
      <c r="AM94" t="s">
        <v>74</v>
      </c>
      <c r="AN94" t="s">
        <v>74</v>
      </c>
      <c r="AO94" t="s">
        <v>74</v>
      </c>
      <c r="AP94" t="s">
        <v>234</v>
      </c>
      <c r="AQ94" t="s">
        <v>74</v>
      </c>
      <c r="AR94" t="s">
        <v>74</v>
      </c>
      <c r="AS94" t="s">
        <v>74</v>
      </c>
      <c r="AT94" t="s">
        <v>945</v>
      </c>
      <c r="AU94">
        <v>2025</v>
      </c>
      <c r="AV94">
        <v>64</v>
      </c>
      <c r="AW94">
        <v>18</v>
      </c>
      <c r="AX94" t="s">
        <v>74</v>
      </c>
      <c r="AY94" t="s">
        <v>74</v>
      </c>
      <c r="AZ94" t="s">
        <v>74</v>
      </c>
      <c r="BA94" t="s">
        <v>74</v>
      </c>
      <c r="BB94" t="s">
        <v>74</v>
      </c>
      <c r="BC94" t="s">
        <v>74</v>
      </c>
      <c r="BD94" t="s">
        <v>74</v>
      </c>
      <c r="BE94" t="s">
        <v>946</v>
      </c>
      <c r="BF94" t="str">
        <f>HYPERLINK("http://dx.doi.org/10.1002/anie.202422169","http://dx.doi.org/10.1002/anie.202422169")</f>
        <v>http://dx.doi.org/10.1002/anie.202422169</v>
      </c>
      <c r="BG94" t="s">
        <v>74</v>
      </c>
      <c r="BH94" t="s">
        <v>947</v>
      </c>
      <c r="BI94" t="s">
        <v>74</v>
      </c>
      <c r="BJ94" t="s">
        <v>74</v>
      </c>
      <c r="BK94" t="s">
        <v>74</v>
      </c>
      <c r="BL94" t="s">
        <v>74</v>
      </c>
      <c r="BM94" t="s">
        <v>74</v>
      </c>
      <c r="BN94">
        <v>39976281</v>
      </c>
      <c r="BO94" t="s">
        <v>74</v>
      </c>
      <c r="BP94" t="s">
        <v>74</v>
      </c>
      <c r="BQ94" t="s">
        <v>74</v>
      </c>
      <c r="BR94" t="s">
        <v>74</v>
      </c>
      <c r="BS94" t="s">
        <v>948</v>
      </c>
      <c r="BT94" t="str">
        <f>HYPERLINK("https%3A%2F%2Fwww.webofscience.com%2Fwos%2Fwoscc%2Ffull-record%2FWOS:001433805600001","View Full Record in Web of Science")</f>
        <v>View Full Record in Web of Science</v>
      </c>
    </row>
    <row r="95" spans="1:72" x14ac:dyDescent="0.2">
      <c r="A95" t="s">
        <v>72</v>
      </c>
      <c r="B95" t="s">
        <v>949</v>
      </c>
      <c r="C95" t="s">
        <v>74</v>
      </c>
      <c r="D95" t="s">
        <v>74</v>
      </c>
      <c r="E95" t="s">
        <v>74</v>
      </c>
      <c r="F95" t="s">
        <v>950</v>
      </c>
      <c r="G95" t="s">
        <v>74</v>
      </c>
      <c r="H95" t="s">
        <v>74</v>
      </c>
      <c r="I95" t="s">
        <v>951</v>
      </c>
      <c r="J95" t="s">
        <v>384</v>
      </c>
      <c r="K95" t="s">
        <v>74</v>
      </c>
      <c r="L95" t="s">
        <v>74</v>
      </c>
      <c r="M95" t="s">
        <v>74</v>
      </c>
      <c r="N95" t="s">
        <v>74</v>
      </c>
      <c r="O95" t="s">
        <v>74</v>
      </c>
      <c r="P95" t="s">
        <v>74</v>
      </c>
      <c r="Q95" t="s">
        <v>74</v>
      </c>
      <c r="R95" t="s">
        <v>74</v>
      </c>
      <c r="S95" t="s">
        <v>74</v>
      </c>
      <c r="T95" t="s">
        <v>74</v>
      </c>
      <c r="U95" t="s">
        <v>74</v>
      </c>
      <c r="V95" t="s">
        <v>952</v>
      </c>
      <c r="W95" t="s">
        <v>74</v>
      </c>
      <c r="X95" t="s">
        <v>74</v>
      </c>
      <c r="Y95" t="s">
        <v>74</v>
      </c>
      <c r="Z95" t="s">
        <v>74</v>
      </c>
      <c r="AA95" t="s">
        <v>953</v>
      </c>
      <c r="AB95" t="s">
        <v>74</v>
      </c>
      <c r="AC95" t="s">
        <v>74</v>
      </c>
      <c r="AD95" t="s">
        <v>74</v>
      </c>
      <c r="AE95" t="s">
        <v>74</v>
      </c>
      <c r="AF95" t="s">
        <v>74</v>
      </c>
      <c r="AG95" t="s">
        <v>74</v>
      </c>
      <c r="AH95" t="s">
        <v>74</v>
      </c>
      <c r="AI95" t="s">
        <v>74</v>
      </c>
      <c r="AJ95" t="s">
        <v>74</v>
      </c>
      <c r="AK95" t="s">
        <v>74</v>
      </c>
      <c r="AL95" t="s">
        <v>74</v>
      </c>
      <c r="AM95" t="s">
        <v>74</v>
      </c>
      <c r="AN95" t="s">
        <v>74</v>
      </c>
      <c r="AO95" t="s">
        <v>386</v>
      </c>
      <c r="AP95" t="s">
        <v>387</v>
      </c>
      <c r="AQ95" t="s">
        <v>74</v>
      </c>
      <c r="AR95" t="s">
        <v>74</v>
      </c>
      <c r="AS95" t="s">
        <v>74</v>
      </c>
      <c r="AT95" t="s">
        <v>954</v>
      </c>
      <c r="AU95">
        <v>2025</v>
      </c>
      <c r="AV95">
        <v>51</v>
      </c>
      <c r="AW95">
        <v>7</v>
      </c>
      <c r="AX95" t="s">
        <v>74</v>
      </c>
      <c r="AY95" t="s">
        <v>74</v>
      </c>
      <c r="AZ95" t="s">
        <v>74</v>
      </c>
      <c r="BA95" t="s">
        <v>74</v>
      </c>
      <c r="BB95">
        <v>8615</v>
      </c>
      <c r="BC95">
        <v>8626</v>
      </c>
      <c r="BD95" t="s">
        <v>74</v>
      </c>
      <c r="BE95" t="s">
        <v>955</v>
      </c>
      <c r="BF95" t="str">
        <f>HYPERLINK("http://dx.doi.org/10.1016/j.ceramint.2024.12.292","http://dx.doi.org/10.1016/j.ceramint.2024.12.292")</f>
        <v>http://dx.doi.org/10.1016/j.ceramint.2024.12.292</v>
      </c>
      <c r="BG95" t="s">
        <v>74</v>
      </c>
      <c r="BH95" t="s">
        <v>947</v>
      </c>
      <c r="BI95" t="s">
        <v>74</v>
      </c>
      <c r="BJ95" t="s">
        <v>74</v>
      </c>
      <c r="BK95" t="s">
        <v>74</v>
      </c>
      <c r="BL95" t="s">
        <v>74</v>
      </c>
      <c r="BM95" t="s">
        <v>74</v>
      </c>
      <c r="BN95" t="s">
        <v>74</v>
      </c>
      <c r="BO95" t="s">
        <v>74</v>
      </c>
      <c r="BP95" t="s">
        <v>74</v>
      </c>
      <c r="BQ95" t="s">
        <v>74</v>
      </c>
      <c r="BR95" t="s">
        <v>74</v>
      </c>
      <c r="BS95" t="s">
        <v>956</v>
      </c>
      <c r="BT95" t="str">
        <f>HYPERLINK("https%3A%2F%2Fwww.webofscience.com%2Fwos%2Fwoscc%2Ffull-record%2FWOS:001436940200001","View Full Record in Web of Science")</f>
        <v>View Full Record in Web of Science</v>
      </c>
    </row>
    <row r="96" spans="1:72" x14ac:dyDescent="0.2">
      <c r="A96" t="s">
        <v>72</v>
      </c>
      <c r="B96" t="s">
        <v>957</v>
      </c>
      <c r="C96" t="s">
        <v>74</v>
      </c>
      <c r="D96" t="s">
        <v>74</v>
      </c>
      <c r="E96" t="s">
        <v>74</v>
      </c>
      <c r="F96" t="s">
        <v>958</v>
      </c>
      <c r="G96" t="s">
        <v>74</v>
      </c>
      <c r="H96" t="s">
        <v>74</v>
      </c>
      <c r="I96" t="s">
        <v>959</v>
      </c>
      <c r="J96" t="s">
        <v>960</v>
      </c>
      <c r="K96" t="s">
        <v>74</v>
      </c>
      <c r="L96" t="s">
        <v>74</v>
      </c>
      <c r="M96" t="s">
        <v>74</v>
      </c>
      <c r="N96" t="s">
        <v>74</v>
      </c>
      <c r="O96" t="s">
        <v>74</v>
      </c>
      <c r="P96" t="s">
        <v>74</v>
      </c>
      <c r="Q96" t="s">
        <v>74</v>
      </c>
      <c r="R96" t="s">
        <v>74</v>
      </c>
      <c r="S96" t="s">
        <v>74</v>
      </c>
      <c r="T96" t="s">
        <v>74</v>
      </c>
      <c r="U96" t="s">
        <v>74</v>
      </c>
      <c r="V96" t="s">
        <v>961</v>
      </c>
      <c r="W96" t="s">
        <v>74</v>
      </c>
      <c r="X96" t="s">
        <v>74</v>
      </c>
      <c r="Y96" t="s">
        <v>74</v>
      </c>
      <c r="Z96" t="s">
        <v>74</v>
      </c>
      <c r="AA96" t="s">
        <v>962</v>
      </c>
      <c r="AB96" t="s">
        <v>963</v>
      </c>
      <c r="AC96" t="s">
        <v>74</v>
      </c>
      <c r="AD96" t="s">
        <v>74</v>
      </c>
      <c r="AE96" t="s">
        <v>74</v>
      </c>
      <c r="AF96" t="s">
        <v>74</v>
      </c>
      <c r="AG96" t="s">
        <v>74</v>
      </c>
      <c r="AH96" t="s">
        <v>74</v>
      </c>
      <c r="AI96" t="s">
        <v>74</v>
      </c>
      <c r="AJ96" t="s">
        <v>74</v>
      </c>
      <c r="AK96" t="s">
        <v>74</v>
      </c>
      <c r="AL96" t="s">
        <v>74</v>
      </c>
      <c r="AM96" t="s">
        <v>74</v>
      </c>
      <c r="AN96" t="s">
        <v>74</v>
      </c>
      <c r="AO96" t="s">
        <v>964</v>
      </c>
      <c r="AP96" t="s">
        <v>74</v>
      </c>
      <c r="AQ96" t="s">
        <v>74</v>
      </c>
      <c r="AR96" t="s">
        <v>74</v>
      </c>
      <c r="AS96" t="s">
        <v>74</v>
      </c>
      <c r="AT96" t="s">
        <v>965</v>
      </c>
      <c r="AU96">
        <v>2025</v>
      </c>
      <c r="AV96">
        <v>7</v>
      </c>
      <c r="AW96">
        <v>5</v>
      </c>
      <c r="AX96" t="s">
        <v>74</v>
      </c>
      <c r="AY96" t="s">
        <v>74</v>
      </c>
      <c r="AZ96" t="s">
        <v>74</v>
      </c>
      <c r="BA96" t="s">
        <v>74</v>
      </c>
      <c r="BB96">
        <v>3296</v>
      </c>
      <c r="BC96">
        <v>3308</v>
      </c>
      <c r="BD96" t="s">
        <v>74</v>
      </c>
      <c r="BE96" t="s">
        <v>966</v>
      </c>
      <c r="BF96" t="str">
        <f>HYPERLINK("http://dx.doi.org/10.1021/acsapm.4c04140","http://dx.doi.org/10.1021/acsapm.4c04140")</f>
        <v>http://dx.doi.org/10.1021/acsapm.4c04140</v>
      </c>
      <c r="BG96" t="s">
        <v>74</v>
      </c>
      <c r="BH96" t="s">
        <v>947</v>
      </c>
      <c r="BI96" t="s">
        <v>74</v>
      </c>
      <c r="BJ96" t="s">
        <v>74</v>
      </c>
      <c r="BK96" t="s">
        <v>74</v>
      </c>
      <c r="BL96" t="s">
        <v>74</v>
      </c>
      <c r="BM96" t="s">
        <v>74</v>
      </c>
      <c r="BN96" t="s">
        <v>74</v>
      </c>
      <c r="BO96" t="s">
        <v>74</v>
      </c>
      <c r="BP96" t="s">
        <v>74</v>
      </c>
      <c r="BQ96" t="s">
        <v>74</v>
      </c>
      <c r="BR96" t="s">
        <v>74</v>
      </c>
      <c r="BS96" t="s">
        <v>967</v>
      </c>
      <c r="BT96" t="str">
        <f>HYPERLINK("https%3A%2F%2Fwww.webofscience.com%2Fwos%2Fwoscc%2Ffull-record%2FWOS:001432755300001","View Full Record in Web of Science")</f>
        <v>View Full Record in Web of Science</v>
      </c>
    </row>
    <row r="97" spans="1:72" x14ac:dyDescent="0.2">
      <c r="A97" t="s">
        <v>72</v>
      </c>
      <c r="B97" t="s">
        <v>968</v>
      </c>
      <c r="C97" t="s">
        <v>74</v>
      </c>
      <c r="D97" t="s">
        <v>74</v>
      </c>
      <c r="E97" t="s">
        <v>74</v>
      </c>
      <c r="F97" t="s">
        <v>969</v>
      </c>
      <c r="G97" t="s">
        <v>74</v>
      </c>
      <c r="H97" t="s">
        <v>74</v>
      </c>
      <c r="I97" t="s">
        <v>970</v>
      </c>
      <c r="J97" t="s">
        <v>960</v>
      </c>
      <c r="K97" t="s">
        <v>74</v>
      </c>
      <c r="L97" t="s">
        <v>74</v>
      </c>
      <c r="M97" t="s">
        <v>74</v>
      </c>
      <c r="N97" t="s">
        <v>74</v>
      </c>
      <c r="O97" t="s">
        <v>74</v>
      </c>
      <c r="P97" t="s">
        <v>74</v>
      </c>
      <c r="Q97" t="s">
        <v>74</v>
      </c>
      <c r="R97" t="s">
        <v>74</v>
      </c>
      <c r="S97" t="s">
        <v>74</v>
      </c>
      <c r="T97" t="s">
        <v>74</v>
      </c>
      <c r="U97" t="s">
        <v>74</v>
      </c>
      <c r="V97" t="s">
        <v>971</v>
      </c>
      <c r="W97" t="s">
        <v>74</v>
      </c>
      <c r="X97" t="s">
        <v>74</v>
      </c>
      <c r="Y97" t="s">
        <v>74</v>
      </c>
      <c r="Z97" t="s">
        <v>74</v>
      </c>
      <c r="AA97" t="s">
        <v>972</v>
      </c>
      <c r="AB97" t="s">
        <v>973</v>
      </c>
      <c r="AC97" t="s">
        <v>74</v>
      </c>
      <c r="AD97" t="s">
        <v>74</v>
      </c>
      <c r="AE97" t="s">
        <v>74</v>
      </c>
      <c r="AF97" t="s">
        <v>74</v>
      </c>
      <c r="AG97" t="s">
        <v>74</v>
      </c>
      <c r="AH97" t="s">
        <v>74</v>
      </c>
      <c r="AI97" t="s">
        <v>74</v>
      </c>
      <c r="AJ97" t="s">
        <v>74</v>
      </c>
      <c r="AK97" t="s">
        <v>74</v>
      </c>
      <c r="AL97" t="s">
        <v>74</v>
      </c>
      <c r="AM97" t="s">
        <v>74</v>
      </c>
      <c r="AN97" t="s">
        <v>74</v>
      </c>
      <c r="AO97" t="s">
        <v>964</v>
      </c>
      <c r="AP97" t="s">
        <v>74</v>
      </c>
      <c r="AQ97" t="s">
        <v>74</v>
      </c>
      <c r="AR97" t="s">
        <v>74</v>
      </c>
      <c r="AS97" t="s">
        <v>74</v>
      </c>
      <c r="AT97" t="s">
        <v>965</v>
      </c>
      <c r="AU97">
        <v>2025</v>
      </c>
      <c r="AV97">
        <v>7</v>
      </c>
      <c r="AW97">
        <v>5</v>
      </c>
      <c r="AX97" t="s">
        <v>74</v>
      </c>
      <c r="AY97" t="s">
        <v>74</v>
      </c>
      <c r="AZ97" t="s">
        <v>74</v>
      </c>
      <c r="BA97" t="s">
        <v>74</v>
      </c>
      <c r="BB97">
        <v>2933</v>
      </c>
      <c r="BC97">
        <v>2944</v>
      </c>
      <c r="BD97" t="s">
        <v>74</v>
      </c>
      <c r="BE97" t="s">
        <v>974</v>
      </c>
      <c r="BF97" t="str">
        <f>HYPERLINK("http://dx.doi.org/10.1021/acsapm.4c03562","http://dx.doi.org/10.1021/acsapm.4c03562")</f>
        <v>http://dx.doi.org/10.1021/acsapm.4c03562</v>
      </c>
      <c r="BG97" t="s">
        <v>74</v>
      </c>
      <c r="BH97" t="s">
        <v>947</v>
      </c>
      <c r="BI97" t="s">
        <v>74</v>
      </c>
      <c r="BJ97" t="s">
        <v>74</v>
      </c>
      <c r="BK97" t="s">
        <v>74</v>
      </c>
      <c r="BL97" t="s">
        <v>74</v>
      </c>
      <c r="BM97" t="s">
        <v>74</v>
      </c>
      <c r="BN97" t="s">
        <v>74</v>
      </c>
      <c r="BO97" t="s">
        <v>74</v>
      </c>
      <c r="BP97" t="s">
        <v>74</v>
      </c>
      <c r="BQ97" t="s">
        <v>74</v>
      </c>
      <c r="BR97" t="s">
        <v>74</v>
      </c>
      <c r="BS97" t="s">
        <v>975</v>
      </c>
      <c r="BT97" t="str">
        <f>HYPERLINK("https%3A%2F%2Fwww.webofscience.com%2Fwos%2Fwoscc%2Ffull-record%2FWOS:001432756300001","View Full Record in Web of Science")</f>
        <v>View Full Record in Web of Science</v>
      </c>
    </row>
    <row r="98" spans="1:72" x14ac:dyDescent="0.2">
      <c r="A98" t="s">
        <v>72</v>
      </c>
      <c r="B98" t="s">
        <v>976</v>
      </c>
      <c r="C98" t="s">
        <v>74</v>
      </c>
      <c r="D98" t="s">
        <v>74</v>
      </c>
      <c r="E98" t="s">
        <v>74</v>
      </c>
      <c r="F98" t="s">
        <v>977</v>
      </c>
      <c r="G98" t="s">
        <v>74</v>
      </c>
      <c r="H98" t="s">
        <v>74</v>
      </c>
      <c r="I98" t="s">
        <v>978</v>
      </c>
      <c r="J98" t="s">
        <v>422</v>
      </c>
      <c r="K98" t="s">
        <v>74</v>
      </c>
      <c r="L98" t="s">
        <v>74</v>
      </c>
      <c r="M98" t="s">
        <v>74</v>
      </c>
      <c r="N98" t="s">
        <v>74</v>
      </c>
      <c r="O98" t="s">
        <v>74</v>
      </c>
      <c r="P98" t="s">
        <v>74</v>
      </c>
      <c r="Q98" t="s">
        <v>74</v>
      </c>
      <c r="R98" t="s">
        <v>74</v>
      </c>
      <c r="S98" t="s">
        <v>74</v>
      </c>
      <c r="T98" t="s">
        <v>74</v>
      </c>
      <c r="U98" t="s">
        <v>74</v>
      </c>
      <c r="V98" t="s">
        <v>979</v>
      </c>
      <c r="W98" t="s">
        <v>74</v>
      </c>
      <c r="X98" t="s">
        <v>74</v>
      </c>
      <c r="Y98" t="s">
        <v>74</v>
      </c>
      <c r="Z98" t="s">
        <v>74</v>
      </c>
      <c r="AA98" t="s">
        <v>980</v>
      </c>
      <c r="AB98" t="s">
        <v>74</v>
      </c>
      <c r="AC98" t="s">
        <v>74</v>
      </c>
      <c r="AD98" t="s">
        <v>74</v>
      </c>
      <c r="AE98" t="s">
        <v>74</v>
      </c>
      <c r="AF98" t="s">
        <v>74</v>
      </c>
      <c r="AG98" t="s">
        <v>74</v>
      </c>
      <c r="AH98" t="s">
        <v>74</v>
      </c>
      <c r="AI98" t="s">
        <v>74</v>
      </c>
      <c r="AJ98" t="s">
        <v>74</v>
      </c>
      <c r="AK98" t="s">
        <v>74</v>
      </c>
      <c r="AL98" t="s">
        <v>74</v>
      </c>
      <c r="AM98" t="s">
        <v>74</v>
      </c>
      <c r="AN98" t="s">
        <v>74</v>
      </c>
      <c r="AO98" t="s">
        <v>426</v>
      </c>
      <c r="AP98" t="s">
        <v>74</v>
      </c>
      <c r="AQ98" t="s">
        <v>74</v>
      </c>
      <c r="AR98" t="s">
        <v>74</v>
      </c>
      <c r="AS98" t="s">
        <v>74</v>
      </c>
      <c r="AT98" t="s">
        <v>981</v>
      </c>
      <c r="AU98">
        <v>2025</v>
      </c>
      <c r="AV98">
        <v>8</v>
      </c>
      <c r="AW98">
        <v>5</v>
      </c>
      <c r="AX98" t="s">
        <v>74</v>
      </c>
      <c r="AY98" t="s">
        <v>74</v>
      </c>
      <c r="AZ98" t="s">
        <v>74</v>
      </c>
      <c r="BA98" t="s">
        <v>74</v>
      </c>
      <c r="BB98">
        <v>2810</v>
      </c>
      <c r="BC98">
        <v>2818</v>
      </c>
      <c r="BD98" t="s">
        <v>74</v>
      </c>
      <c r="BE98" t="s">
        <v>982</v>
      </c>
      <c r="BF98" t="str">
        <f>HYPERLINK("http://dx.doi.org/10.1021/acsaem.4c02856","http://dx.doi.org/10.1021/acsaem.4c02856")</f>
        <v>http://dx.doi.org/10.1021/acsaem.4c02856</v>
      </c>
      <c r="BG98" t="s">
        <v>74</v>
      </c>
      <c r="BH98" t="s">
        <v>947</v>
      </c>
      <c r="BI98" t="s">
        <v>74</v>
      </c>
      <c r="BJ98" t="s">
        <v>74</v>
      </c>
      <c r="BK98" t="s">
        <v>74</v>
      </c>
      <c r="BL98" t="s">
        <v>74</v>
      </c>
      <c r="BM98" t="s">
        <v>74</v>
      </c>
      <c r="BN98" t="s">
        <v>74</v>
      </c>
      <c r="BO98" t="s">
        <v>74</v>
      </c>
      <c r="BP98" t="s">
        <v>74</v>
      </c>
      <c r="BQ98" t="s">
        <v>74</v>
      </c>
      <c r="BR98" t="s">
        <v>74</v>
      </c>
      <c r="BS98" t="s">
        <v>983</v>
      </c>
      <c r="BT98" t="str">
        <f>HYPERLINK("https%3A%2F%2Fwww.webofscience.com%2Fwos%2Fwoscc%2Ffull-record%2FWOS:001432720000001","View Full Record in Web of Science")</f>
        <v>View Full Record in Web of Science</v>
      </c>
    </row>
    <row r="99" spans="1:72" x14ac:dyDescent="0.2">
      <c r="A99" t="s">
        <v>72</v>
      </c>
      <c r="B99" t="s">
        <v>984</v>
      </c>
      <c r="C99" t="s">
        <v>74</v>
      </c>
      <c r="D99" t="s">
        <v>74</v>
      </c>
      <c r="E99" t="s">
        <v>74</v>
      </c>
      <c r="F99" t="s">
        <v>985</v>
      </c>
      <c r="G99" t="s">
        <v>74</v>
      </c>
      <c r="H99" t="s">
        <v>74</v>
      </c>
      <c r="I99" t="s">
        <v>986</v>
      </c>
      <c r="J99" t="s">
        <v>267</v>
      </c>
      <c r="K99" t="s">
        <v>74</v>
      </c>
      <c r="L99" t="s">
        <v>74</v>
      </c>
      <c r="M99" t="s">
        <v>74</v>
      </c>
      <c r="N99" t="s">
        <v>74</v>
      </c>
      <c r="O99" t="s">
        <v>74</v>
      </c>
      <c r="P99" t="s">
        <v>74</v>
      </c>
      <c r="Q99" t="s">
        <v>74</v>
      </c>
      <c r="R99" t="s">
        <v>74</v>
      </c>
      <c r="S99" t="s">
        <v>74</v>
      </c>
      <c r="T99" t="s">
        <v>74</v>
      </c>
      <c r="U99" t="s">
        <v>74</v>
      </c>
      <c r="V99" t="s">
        <v>987</v>
      </c>
      <c r="W99" t="s">
        <v>74</v>
      </c>
      <c r="X99" t="s">
        <v>74</v>
      </c>
      <c r="Y99" t="s">
        <v>74</v>
      </c>
      <c r="Z99" t="s">
        <v>74</v>
      </c>
      <c r="AA99" t="s">
        <v>988</v>
      </c>
      <c r="AB99" t="s">
        <v>989</v>
      </c>
      <c r="AC99" t="s">
        <v>74</v>
      </c>
      <c r="AD99" t="s">
        <v>74</v>
      </c>
      <c r="AE99" t="s">
        <v>74</v>
      </c>
      <c r="AF99" t="s">
        <v>74</v>
      </c>
      <c r="AG99" t="s">
        <v>74</v>
      </c>
      <c r="AH99" t="s">
        <v>74</v>
      </c>
      <c r="AI99" t="s">
        <v>74</v>
      </c>
      <c r="AJ99" t="s">
        <v>74</v>
      </c>
      <c r="AK99" t="s">
        <v>74</v>
      </c>
      <c r="AL99" t="s">
        <v>74</v>
      </c>
      <c r="AM99" t="s">
        <v>74</v>
      </c>
      <c r="AN99" t="s">
        <v>74</v>
      </c>
      <c r="AO99" t="s">
        <v>270</v>
      </c>
      <c r="AP99" t="s">
        <v>271</v>
      </c>
      <c r="AQ99" t="s">
        <v>74</v>
      </c>
      <c r="AR99" t="s">
        <v>74</v>
      </c>
      <c r="AS99" t="s">
        <v>74</v>
      </c>
      <c r="AT99" t="s">
        <v>368</v>
      </c>
      <c r="AU99">
        <v>2025</v>
      </c>
      <c r="AV99">
        <v>35</v>
      </c>
      <c r="AW99">
        <v>29</v>
      </c>
      <c r="AX99" t="s">
        <v>74</v>
      </c>
      <c r="AY99" t="s">
        <v>74</v>
      </c>
      <c r="AZ99" t="s">
        <v>74</v>
      </c>
      <c r="BA99" t="s">
        <v>74</v>
      </c>
      <c r="BB99" t="s">
        <v>74</v>
      </c>
      <c r="BC99" t="s">
        <v>74</v>
      </c>
      <c r="BD99" t="s">
        <v>74</v>
      </c>
      <c r="BE99" t="s">
        <v>990</v>
      </c>
      <c r="BF99" t="str">
        <f>HYPERLINK("http://dx.doi.org/10.1002/adfm.202501870","http://dx.doi.org/10.1002/adfm.202501870")</f>
        <v>http://dx.doi.org/10.1002/adfm.202501870</v>
      </c>
      <c r="BG99" t="s">
        <v>74</v>
      </c>
      <c r="BH99" t="s">
        <v>947</v>
      </c>
      <c r="BI99" t="s">
        <v>74</v>
      </c>
      <c r="BJ99" t="s">
        <v>74</v>
      </c>
      <c r="BK99" t="s">
        <v>74</v>
      </c>
      <c r="BL99" t="s">
        <v>74</v>
      </c>
      <c r="BM99" t="s">
        <v>74</v>
      </c>
      <c r="BN99" t="s">
        <v>74</v>
      </c>
      <c r="BO99" t="s">
        <v>74</v>
      </c>
      <c r="BP99" t="s">
        <v>74</v>
      </c>
      <c r="BQ99" t="s">
        <v>74</v>
      </c>
      <c r="BR99" t="s">
        <v>74</v>
      </c>
      <c r="BS99" t="s">
        <v>991</v>
      </c>
      <c r="BT99" t="str">
        <f>HYPERLINK("https%3A%2F%2Fwww.webofscience.com%2Fwos%2Fwoscc%2Ffull-record%2FWOS:001421827200001","View Full Record in Web of Science")</f>
        <v>View Full Record in Web of Science</v>
      </c>
    </row>
    <row r="100" spans="1:72" x14ac:dyDescent="0.2">
      <c r="A100" t="s">
        <v>72</v>
      </c>
      <c r="B100" t="s">
        <v>992</v>
      </c>
      <c r="C100" t="s">
        <v>74</v>
      </c>
      <c r="D100" t="s">
        <v>74</v>
      </c>
      <c r="E100" t="s">
        <v>74</v>
      </c>
      <c r="F100" t="s">
        <v>993</v>
      </c>
      <c r="G100" t="s">
        <v>74</v>
      </c>
      <c r="H100" t="s">
        <v>74</v>
      </c>
      <c r="I100" t="s">
        <v>994</v>
      </c>
      <c r="J100" t="s">
        <v>995</v>
      </c>
      <c r="K100" t="s">
        <v>74</v>
      </c>
      <c r="L100" t="s">
        <v>74</v>
      </c>
      <c r="M100" t="s">
        <v>74</v>
      </c>
      <c r="N100" t="s">
        <v>74</v>
      </c>
      <c r="O100" t="s">
        <v>74</v>
      </c>
      <c r="P100" t="s">
        <v>74</v>
      </c>
      <c r="Q100" t="s">
        <v>74</v>
      </c>
      <c r="R100" t="s">
        <v>74</v>
      </c>
      <c r="S100" t="s">
        <v>74</v>
      </c>
      <c r="T100" t="s">
        <v>74</v>
      </c>
      <c r="U100" t="s">
        <v>74</v>
      </c>
      <c r="V100" t="s">
        <v>996</v>
      </c>
      <c r="W100" t="s">
        <v>74</v>
      </c>
      <c r="X100" t="s">
        <v>74</v>
      </c>
      <c r="Y100" t="s">
        <v>74</v>
      </c>
      <c r="Z100" t="s">
        <v>74</v>
      </c>
      <c r="AA100" t="s">
        <v>74</v>
      </c>
      <c r="AB100" t="s">
        <v>997</v>
      </c>
      <c r="AC100" t="s">
        <v>74</v>
      </c>
      <c r="AD100" t="s">
        <v>74</v>
      </c>
      <c r="AE100" t="s">
        <v>74</v>
      </c>
      <c r="AF100" t="s">
        <v>74</v>
      </c>
      <c r="AG100" t="s">
        <v>74</v>
      </c>
      <c r="AH100" t="s">
        <v>74</v>
      </c>
      <c r="AI100" t="s">
        <v>74</v>
      </c>
      <c r="AJ100" t="s">
        <v>74</v>
      </c>
      <c r="AK100" t="s">
        <v>74</v>
      </c>
      <c r="AL100" t="s">
        <v>74</v>
      </c>
      <c r="AM100" t="s">
        <v>74</v>
      </c>
      <c r="AN100" t="s">
        <v>74</v>
      </c>
      <c r="AO100" t="s">
        <v>74</v>
      </c>
      <c r="AP100" t="s">
        <v>998</v>
      </c>
      <c r="AQ100" t="s">
        <v>74</v>
      </c>
      <c r="AR100" t="s">
        <v>74</v>
      </c>
      <c r="AS100" t="s">
        <v>74</v>
      </c>
      <c r="AT100" t="s">
        <v>999</v>
      </c>
      <c r="AU100">
        <v>2025</v>
      </c>
      <c r="AV100">
        <v>7</v>
      </c>
      <c r="AW100">
        <v>3</v>
      </c>
      <c r="AX100" t="s">
        <v>74</v>
      </c>
      <c r="AY100" t="s">
        <v>74</v>
      </c>
      <c r="AZ100" t="s">
        <v>74</v>
      </c>
      <c r="BA100" t="s">
        <v>74</v>
      </c>
      <c r="BB100">
        <v>990</v>
      </c>
      <c r="BC100">
        <v>995</v>
      </c>
      <c r="BD100" t="s">
        <v>74</v>
      </c>
      <c r="BE100" t="s">
        <v>1000</v>
      </c>
      <c r="BF100" t="str">
        <f>HYPERLINK("http://dx.doi.org/10.1021/acsmaterialslett.4c02153","http://dx.doi.org/10.1021/acsmaterialslett.4c02153")</f>
        <v>http://dx.doi.org/10.1021/acsmaterialslett.4c02153</v>
      </c>
      <c r="BG100" t="s">
        <v>74</v>
      </c>
      <c r="BH100" t="s">
        <v>947</v>
      </c>
      <c r="BI100" t="s">
        <v>74</v>
      </c>
      <c r="BJ100" t="s">
        <v>74</v>
      </c>
      <c r="BK100" t="s">
        <v>74</v>
      </c>
      <c r="BL100" t="s">
        <v>74</v>
      </c>
      <c r="BM100" t="s">
        <v>74</v>
      </c>
      <c r="BN100" t="s">
        <v>74</v>
      </c>
      <c r="BO100" t="s">
        <v>74</v>
      </c>
      <c r="BP100" t="s">
        <v>74</v>
      </c>
      <c r="BQ100" t="s">
        <v>74</v>
      </c>
      <c r="BR100" t="s">
        <v>74</v>
      </c>
      <c r="BS100" t="s">
        <v>1001</v>
      </c>
      <c r="BT100" t="str">
        <f>HYPERLINK("https%3A%2F%2Fwww.webofscience.com%2Fwos%2Fwoscc%2Ffull-record%2FWOS:001422584700001","View Full Record in Web of Science")</f>
        <v>View Full Record in Web of Science</v>
      </c>
    </row>
    <row r="101" spans="1:72" x14ac:dyDescent="0.2">
      <c r="A101" t="s">
        <v>72</v>
      </c>
      <c r="B101" t="s">
        <v>1002</v>
      </c>
      <c r="C101" t="s">
        <v>74</v>
      </c>
      <c r="D101" t="s">
        <v>74</v>
      </c>
      <c r="E101" t="s">
        <v>74</v>
      </c>
      <c r="F101" t="s">
        <v>1003</v>
      </c>
      <c r="G101" t="s">
        <v>74</v>
      </c>
      <c r="H101" t="s">
        <v>74</v>
      </c>
      <c r="I101" t="s">
        <v>1004</v>
      </c>
      <c r="J101" t="s">
        <v>1005</v>
      </c>
      <c r="K101" t="s">
        <v>74</v>
      </c>
      <c r="L101" t="s">
        <v>74</v>
      </c>
      <c r="M101" t="s">
        <v>74</v>
      </c>
      <c r="N101" t="s">
        <v>74</v>
      </c>
      <c r="O101" t="s">
        <v>74</v>
      </c>
      <c r="P101" t="s">
        <v>74</v>
      </c>
      <c r="Q101" t="s">
        <v>74</v>
      </c>
      <c r="R101" t="s">
        <v>74</v>
      </c>
      <c r="S101" t="s">
        <v>74</v>
      </c>
      <c r="T101" t="s">
        <v>74</v>
      </c>
      <c r="U101" t="s">
        <v>74</v>
      </c>
      <c r="V101" t="s">
        <v>1006</v>
      </c>
      <c r="W101" t="s">
        <v>74</v>
      </c>
      <c r="X101" t="s">
        <v>74</v>
      </c>
      <c r="Y101" t="s">
        <v>74</v>
      </c>
      <c r="Z101" t="s">
        <v>74</v>
      </c>
      <c r="AA101" t="s">
        <v>1007</v>
      </c>
      <c r="AB101" t="s">
        <v>74</v>
      </c>
      <c r="AC101" t="s">
        <v>74</v>
      </c>
      <c r="AD101" t="s">
        <v>74</v>
      </c>
      <c r="AE101" t="s">
        <v>74</v>
      </c>
      <c r="AF101" t="s">
        <v>74</v>
      </c>
      <c r="AG101" t="s">
        <v>74</v>
      </c>
      <c r="AH101" t="s">
        <v>74</v>
      </c>
      <c r="AI101" t="s">
        <v>74</v>
      </c>
      <c r="AJ101" t="s">
        <v>74</v>
      </c>
      <c r="AK101" t="s">
        <v>74</v>
      </c>
      <c r="AL101" t="s">
        <v>74</v>
      </c>
      <c r="AM101" t="s">
        <v>74</v>
      </c>
      <c r="AN101" t="s">
        <v>74</v>
      </c>
      <c r="AO101" t="s">
        <v>1008</v>
      </c>
      <c r="AP101" t="s">
        <v>1009</v>
      </c>
      <c r="AQ101" t="s">
        <v>74</v>
      </c>
      <c r="AR101" t="s">
        <v>74</v>
      </c>
      <c r="AS101" t="s">
        <v>74</v>
      </c>
      <c r="AT101" t="s">
        <v>954</v>
      </c>
      <c r="AU101">
        <v>2025</v>
      </c>
      <c r="AV101">
        <v>153</v>
      </c>
      <c r="AW101" t="s">
        <v>74</v>
      </c>
      <c r="AX101" t="s">
        <v>74</v>
      </c>
      <c r="AY101" t="s">
        <v>74</v>
      </c>
      <c r="AZ101" t="s">
        <v>74</v>
      </c>
      <c r="BA101" t="s">
        <v>74</v>
      </c>
      <c r="BB101" t="s">
        <v>74</v>
      </c>
      <c r="BC101" t="s">
        <v>74</v>
      </c>
      <c r="BD101">
        <v>112093</v>
      </c>
      <c r="BE101" t="s">
        <v>1010</v>
      </c>
      <c r="BF101" t="str">
        <f>HYPERLINK("http://dx.doi.org/10.1016/j.diamond.2025.112093","http://dx.doi.org/10.1016/j.diamond.2025.112093")</f>
        <v>http://dx.doi.org/10.1016/j.diamond.2025.112093</v>
      </c>
      <c r="BG101" t="s">
        <v>74</v>
      </c>
      <c r="BH101" t="s">
        <v>947</v>
      </c>
      <c r="BI101" t="s">
        <v>74</v>
      </c>
      <c r="BJ101" t="s">
        <v>74</v>
      </c>
      <c r="BK101" t="s">
        <v>74</v>
      </c>
      <c r="BL101" t="s">
        <v>74</v>
      </c>
      <c r="BM101" t="s">
        <v>74</v>
      </c>
      <c r="BN101" t="s">
        <v>74</v>
      </c>
      <c r="BO101" t="s">
        <v>74</v>
      </c>
      <c r="BP101" t="s">
        <v>74</v>
      </c>
      <c r="BQ101" t="s">
        <v>74</v>
      </c>
      <c r="BR101" t="s">
        <v>74</v>
      </c>
      <c r="BS101" t="s">
        <v>1011</v>
      </c>
      <c r="BT101" t="str">
        <f>HYPERLINK("https%3A%2F%2Fwww.webofscience.com%2Fwos%2Fwoscc%2Ffull-record%2FWOS:001427777200001","View Full Record in Web of Science")</f>
        <v>View Full Record in Web of Science</v>
      </c>
    </row>
    <row r="102" spans="1:72" x14ac:dyDescent="0.2">
      <c r="A102" t="s">
        <v>72</v>
      </c>
      <c r="B102" t="s">
        <v>1012</v>
      </c>
      <c r="C102" t="s">
        <v>74</v>
      </c>
      <c r="D102" t="s">
        <v>74</v>
      </c>
      <c r="E102" t="s">
        <v>74</v>
      </c>
      <c r="F102" t="s">
        <v>1013</v>
      </c>
      <c r="G102" t="s">
        <v>74</v>
      </c>
      <c r="H102" t="s">
        <v>74</v>
      </c>
      <c r="I102" t="s">
        <v>1014</v>
      </c>
      <c r="J102" t="s">
        <v>1015</v>
      </c>
      <c r="K102" t="s">
        <v>74</v>
      </c>
      <c r="L102" t="s">
        <v>74</v>
      </c>
      <c r="M102" t="s">
        <v>74</v>
      </c>
      <c r="N102" t="s">
        <v>74</v>
      </c>
      <c r="O102" t="s">
        <v>74</v>
      </c>
      <c r="P102" t="s">
        <v>74</v>
      </c>
      <c r="Q102" t="s">
        <v>74</v>
      </c>
      <c r="R102" t="s">
        <v>74</v>
      </c>
      <c r="S102" t="s">
        <v>74</v>
      </c>
      <c r="T102" t="s">
        <v>74</v>
      </c>
      <c r="U102" t="s">
        <v>74</v>
      </c>
      <c r="V102" t="s">
        <v>1016</v>
      </c>
      <c r="W102" t="s">
        <v>74</v>
      </c>
      <c r="X102" t="s">
        <v>74</v>
      </c>
      <c r="Y102" t="s">
        <v>74</v>
      </c>
      <c r="Z102" t="s">
        <v>74</v>
      </c>
      <c r="AA102" t="s">
        <v>74</v>
      </c>
      <c r="AB102" t="s">
        <v>74</v>
      </c>
      <c r="AC102" t="s">
        <v>74</v>
      </c>
      <c r="AD102" t="s">
        <v>74</v>
      </c>
      <c r="AE102" t="s">
        <v>74</v>
      </c>
      <c r="AF102" t="s">
        <v>74</v>
      </c>
      <c r="AG102" t="s">
        <v>74</v>
      </c>
      <c r="AH102" t="s">
        <v>74</v>
      </c>
      <c r="AI102" t="s">
        <v>74</v>
      </c>
      <c r="AJ102" t="s">
        <v>74</v>
      </c>
      <c r="AK102" t="s">
        <v>74</v>
      </c>
      <c r="AL102" t="s">
        <v>74</v>
      </c>
      <c r="AM102" t="s">
        <v>74</v>
      </c>
      <c r="AN102" t="s">
        <v>74</v>
      </c>
      <c r="AO102" t="s">
        <v>1017</v>
      </c>
      <c r="AP102" t="s">
        <v>74</v>
      </c>
      <c r="AQ102" t="s">
        <v>74</v>
      </c>
      <c r="AR102" t="s">
        <v>74</v>
      </c>
      <c r="AS102" t="s">
        <v>74</v>
      </c>
      <c r="AT102" t="s">
        <v>670</v>
      </c>
      <c r="AU102">
        <v>2025</v>
      </c>
      <c r="AV102">
        <v>49</v>
      </c>
      <c r="AW102" t="s">
        <v>74</v>
      </c>
      <c r="AX102" t="s">
        <v>74</v>
      </c>
      <c r="AY102" t="s">
        <v>74</v>
      </c>
      <c r="AZ102" t="s">
        <v>74</v>
      </c>
      <c r="BA102" t="s">
        <v>74</v>
      </c>
      <c r="BB102" t="s">
        <v>74</v>
      </c>
      <c r="BC102" t="s">
        <v>74</v>
      </c>
      <c r="BD102">
        <v>101830</v>
      </c>
      <c r="BE102" t="s">
        <v>1018</v>
      </c>
      <c r="BF102" t="str">
        <f>HYPERLINK("http://dx.doi.org/10.1016/j.mtener.2025.101830","http://dx.doi.org/10.1016/j.mtener.2025.101830")</f>
        <v>http://dx.doi.org/10.1016/j.mtener.2025.101830</v>
      </c>
      <c r="BG102" t="s">
        <v>74</v>
      </c>
      <c r="BH102" t="s">
        <v>947</v>
      </c>
      <c r="BI102" t="s">
        <v>74</v>
      </c>
      <c r="BJ102" t="s">
        <v>74</v>
      </c>
      <c r="BK102" t="s">
        <v>74</v>
      </c>
      <c r="BL102" t="s">
        <v>74</v>
      </c>
      <c r="BM102" t="s">
        <v>74</v>
      </c>
      <c r="BN102" t="s">
        <v>74</v>
      </c>
      <c r="BO102" t="s">
        <v>74</v>
      </c>
      <c r="BP102" t="s">
        <v>74</v>
      </c>
      <c r="BQ102" t="s">
        <v>74</v>
      </c>
      <c r="BR102" t="s">
        <v>74</v>
      </c>
      <c r="BS102" t="s">
        <v>1019</v>
      </c>
      <c r="BT102" t="str">
        <f>HYPERLINK("https%3A%2F%2Fwww.webofscience.com%2Fwos%2Fwoscc%2Ffull-record%2FWOS:001426608900001","View Full Record in Web of Science")</f>
        <v>View Full Record in Web of Science</v>
      </c>
    </row>
    <row r="103" spans="1:72" x14ac:dyDescent="0.2">
      <c r="A103" t="s">
        <v>72</v>
      </c>
      <c r="B103" t="s">
        <v>1020</v>
      </c>
      <c r="C103" t="s">
        <v>74</v>
      </c>
      <c r="D103" t="s">
        <v>74</v>
      </c>
      <c r="E103" t="s">
        <v>74</v>
      </c>
      <c r="F103" t="s">
        <v>1021</v>
      </c>
      <c r="G103" t="s">
        <v>74</v>
      </c>
      <c r="H103" t="s">
        <v>74</v>
      </c>
      <c r="I103" t="s">
        <v>1022</v>
      </c>
      <c r="J103" t="s">
        <v>151</v>
      </c>
      <c r="K103" t="s">
        <v>74</v>
      </c>
      <c r="L103" t="s">
        <v>74</v>
      </c>
      <c r="M103" t="s">
        <v>74</v>
      </c>
      <c r="N103" t="s">
        <v>74</v>
      </c>
      <c r="O103" t="s">
        <v>74</v>
      </c>
      <c r="P103" t="s">
        <v>74</v>
      </c>
      <c r="Q103" t="s">
        <v>74</v>
      </c>
      <c r="R103" t="s">
        <v>74</v>
      </c>
      <c r="S103" t="s">
        <v>74</v>
      </c>
      <c r="T103" t="s">
        <v>74</v>
      </c>
      <c r="U103" t="s">
        <v>74</v>
      </c>
      <c r="V103" t="s">
        <v>1023</v>
      </c>
      <c r="W103" t="s">
        <v>74</v>
      </c>
      <c r="X103" t="s">
        <v>74</v>
      </c>
      <c r="Y103" t="s">
        <v>74</v>
      </c>
      <c r="Z103" t="s">
        <v>74</v>
      </c>
      <c r="AA103" t="s">
        <v>1024</v>
      </c>
      <c r="AB103" t="s">
        <v>1025</v>
      </c>
      <c r="AC103" t="s">
        <v>74</v>
      </c>
      <c r="AD103" t="s">
        <v>74</v>
      </c>
      <c r="AE103" t="s">
        <v>74</v>
      </c>
      <c r="AF103" t="s">
        <v>74</v>
      </c>
      <c r="AG103" t="s">
        <v>74</v>
      </c>
      <c r="AH103" t="s">
        <v>74</v>
      </c>
      <c r="AI103" t="s">
        <v>74</v>
      </c>
      <c r="AJ103" t="s">
        <v>74</v>
      </c>
      <c r="AK103" t="s">
        <v>74</v>
      </c>
      <c r="AL103" t="s">
        <v>74</v>
      </c>
      <c r="AM103" t="s">
        <v>74</v>
      </c>
      <c r="AN103" t="s">
        <v>74</v>
      </c>
      <c r="AO103" t="s">
        <v>153</v>
      </c>
      <c r="AP103" t="s">
        <v>154</v>
      </c>
      <c r="AQ103" t="s">
        <v>74</v>
      </c>
      <c r="AR103" t="s">
        <v>74</v>
      </c>
      <c r="AS103" t="s">
        <v>74</v>
      </c>
      <c r="AT103" t="s">
        <v>1026</v>
      </c>
      <c r="AU103">
        <v>2025</v>
      </c>
      <c r="AV103">
        <v>75</v>
      </c>
      <c r="AW103" t="s">
        <v>74</v>
      </c>
      <c r="AX103" t="s">
        <v>74</v>
      </c>
      <c r="AY103" t="s">
        <v>74</v>
      </c>
      <c r="AZ103" t="s">
        <v>74</v>
      </c>
      <c r="BA103" t="s">
        <v>74</v>
      </c>
      <c r="BB103" t="s">
        <v>74</v>
      </c>
      <c r="BC103" t="s">
        <v>74</v>
      </c>
      <c r="BD103">
        <v>104069</v>
      </c>
      <c r="BE103" t="s">
        <v>1027</v>
      </c>
      <c r="BF103" t="str">
        <f>HYPERLINK("http://dx.doi.org/10.1016/j.ensm.2025.104069","http://dx.doi.org/10.1016/j.ensm.2025.104069")</f>
        <v>http://dx.doi.org/10.1016/j.ensm.2025.104069</v>
      </c>
      <c r="BG103" t="s">
        <v>74</v>
      </c>
      <c r="BH103" t="s">
        <v>947</v>
      </c>
      <c r="BI103" t="s">
        <v>74</v>
      </c>
      <c r="BJ103" t="s">
        <v>74</v>
      </c>
      <c r="BK103" t="s">
        <v>74</v>
      </c>
      <c r="BL103" t="s">
        <v>74</v>
      </c>
      <c r="BM103" t="s">
        <v>74</v>
      </c>
      <c r="BN103" t="s">
        <v>74</v>
      </c>
      <c r="BO103" t="s">
        <v>74</v>
      </c>
      <c r="BP103" t="s">
        <v>74</v>
      </c>
      <c r="BQ103" t="s">
        <v>74</v>
      </c>
      <c r="BR103" t="s">
        <v>74</v>
      </c>
      <c r="BS103" t="s">
        <v>1028</v>
      </c>
      <c r="BT103" t="str">
        <f>HYPERLINK("https%3A%2F%2Fwww.webofscience.com%2Fwos%2Fwoscc%2Ffull-record%2FWOS:001423812300001","View Full Record in Web of Science")</f>
        <v>View Full Record in Web of Science</v>
      </c>
    </row>
    <row r="104" spans="1:72" x14ac:dyDescent="0.2">
      <c r="A104" t="s">
        <v>72</v>
      </c>
      <c r="B104" t="s">
        <v>1029</v>
      </c>
      <c r="C104" t="s">
        <v>74</v>
      </c>
      <c r="D104" t="s">
        <v>74</v>
      </c>
      <c r="E104" t="s">
        <v>74</v>
      </c>
      <c r="F104" t="s">
        <v>1030</v>
      </c>
      <c r="G104" t="s">
        <v>74</v>
      </c>
      <c r="H104" t="s">
        <v>74</v>
      </c>
      <c r="I104" t="s">
        <v>1031</v>
      </c>
      <c r="J104" t="s">
        <v>411</v>
      </c>
      <c r="K104" t="s">
        <v>74</v>
      </c>
      <c r="L104" t="s">
        <v>74</v>
      </c>
      <c r="M104" t="s">
        <v>74</v>
      </c>
      <c r="N104" t="s">
        <v>74</v>
      </c>
      <c r="O104" t="s">
        <v>74</v>
      </c>
      <c r="P104" t="s">
        <v>74</v>
      </c>
      <c r="Q104" t="s">
        <v>74</v>
      </c>
      <c r="R104" t="s">
        <v>74</v>
      </c>
      <c r="S104" t="s">
        <v>74</v>
      </c>
      <c r="T104" t="s">
        <v>74</v>
      </c>
      <c r="U104" t="s">
        <v>74</v>
      </c>
      <c r="V104" t="s">
        <v>1032</v>
      </c>
      <c r="W104" t="s">
        <v>74</v>
      </c>
      <c r="X104" t="s">
        <v>74</v>
      </c>
      <c r="Y104" t="s">
        <v>74</v>
      </c>
      <c r="Z104" t="s">
        <v>74</v>
      </c>
      <c r="AA104" t="s">
        <v>1033</v>
      </c>
      <c r="AB104" t="s">
        <v>1034</v>
      </c>
      <c r="AC104" t="s">
        <v>74</v>
      </c>
      <c r="AD104" t="s">
        <v>74</v>
      </c>
      <c r="AE104" t="s">
        <v>74</v>
      </c>
      <c r="AF104" t="s">
        <v>74</v>
      </c>
      <c r="AG104" t="s">
        <v>74</v>
      </c>
      <c r="AH104" t="s">
        <v>74</v>
      </c>
      <c r="AI104" t="s">
        <v>74</v>
      </c>
      <c r="AJ104" t="s">
        <v>74</v>
      </c>
      <c r="AK104" t="s">
        <v>74</v>
      </c>
      <c r="AL104" t="s">
        <v>74</v>
      </c>
      <c r="AM104" t="s">
        <v>74</v>
      </c>
      <c r="AN104" t="s">
        <v>74</v>
      </c>
      <c r="AO104" t="s">
        <v>414</v>
      </c>
      <c r="AP104" t="s">
        <v>415</v>
      </c>
      <c r="AQ104" t="s">
        <v>74</v>
      </c>
      <c r="AR104" t="s">
        <v>74</v>
      </c>
      <c r="AS104" t="s">
        <v>74</v>
      </c>
      <c r="AT104" t="s">
        <v>954</v>
      </c>
      <c r="AU104">
        <v>2025</v>
      </c>
      <c r="AV104">
        <v>21</v>
      </c>
      <c r="AW104">
        <v>10</v>
      </c>
      <c r="AX104" t="s">
        <v>74</v>
      </c>
      <c r="AY104" t="s">
        <v>74</v>
      </c>
      <c r="AZ104" t="s">
        <v>74</v>
      </c>
      <c r="BA104" t="s">
        <v>74</v>
      </c>
      <c r="BB104" t="s">
        <v>74</v>
      </c>
      <c r="BC104" t="s">
        <v>74</v>
      </c>
      <c r="BD104">
        <v>2412202</v>
      </c>
      <c r="BE104" t="s">
        <v>1035</v>
      </c>
      <c r="BF104" t="str">
        <f>HYPERLINK("http://dx.doi.org/10.1002/smll.202412202","http://dx.doi.org/10.1002/smll.202412202")</f>
        <v>http://dx.doi.org/10.1002/smll.202412202</v>
      </c>
      <c r="BG104" t="s">
        <v>74</v>
      </c>
      <c r="BH104" t="s">
        <v>947</v>
      </c>
      <c r="BI104" t="s">
        <v>74</v>
      </c>
      <c r="BJ104" t="s">
        <v>74</v>
      </c>
      <c r="BK104" t="s">
        <v>74</v>
      </c>
      <c r="BL104" t="s">
        <v>74</v>
      </c>
      <c r="BM104" t="s">
        <v>74</v>
      </c>
      <c r="BN104">
        <v>39906021</v>
      </c>
      <c r="BO104" t="s">
        <v>74</v>
      </c>
      <c r="BP104" t="s">
        <v>74</v>
      </c>
      <c r="BQ104" t="s">
        <v>74</v>
      </c>
      <c r="BR104" t="s">
        <v>74</v>
      </c>
      <c r="BS104" t="s">
        <v>1036</v>
      </c>
      <c r="BT104" t="str">
        <f>HYPERLINK("https%3A%2F%2Fwww.webofscience.com%2Fwos%2Fwoscc%2Ffull-record%2FWOS:001413393100001","View Full Record in Web of Science")</f>
        <v>View Full Record in Web of Science</v>
      </c>
    </row>
    <row r="105" spans="1:72" x14ac:dyDescent="0.2">
      <c r="A105" t="s">
        <v>72</v>
      </c>
      <c r="B105" t="s">
        <v>1037</v>
      </c>
      <c r="C105" t="s">
        <v>74</v>
      </c>
      <c r="D105" t="s">
        <v>74</v>
      </c>
      <c r="E105" t="s">
        <v>74</v>
      </c>
      <c r="F105" t="s">
        <v>1038</v>
      </c>
      <c r="G105" t="s">
        <v>74</v>
      </c>
      <c r="H105" t="s">
        <v>74</v>
      </c>
      <c r="I105" t="s">
        <v>1039</v>
      </c>
      <c r="J105" t="s">
        <v>1040</v>
      </c>
      <c r="K105" t="s">
        <v>74</v>
      </c>
      <c r="L105" t="s">
        <v>74</v>
      </c>
      <c r="M105" t="s">
        <v>74</v>
      </c>
      <c r="N105" t="s">
        <v>74</v>
      </c>
      <c r="O105" t="s">
        <v>74</v>
      </c>
      <c r="P105" t="s">
        <v>74</v>
      </c>
      <c r="Q105" t="s">
        <v>74</v>
      </c>
      <c r="R105" t="s">
        <v>74</v>
      </c>
      <c r="S105" t="s">
        <v>74</v>
      </c>
      <c r="T105" t="s">
        <v>74</v>
      </c>
      <c r="U105" t="s">
        <v>74</v>
      </c>
      <c r="V105" t="s">
        <v>1041</v>
      </c>
      <c r="W105" t="s">
        <v>74</v>
      </c>
      <c r="X105" t="s">
        <v>74</v>
      </c>
      <c r="Y105" t="s">
        <v>74</v>
      </c>
      <c r="Z105" t="s">
        <v>74</v>
      </c>
      <c r="AA105" t="s">
        <v>1042</v>
      </c>
      <c r="AB105" t="s">
        <v>74</v>
      </c>
      <c r="AC105" t="s">
        <v>74</v>
      </c>
      <c r="AD105" t="s">
        <v>74</v>
      </c>
      <c r="AE105" t="s">
        <v>74</v>
      </c>
      <c r="AF105" t="s">
        <v>74</v>
      </c>
      <c r="AG105" t="s">
        <v>74</v>
      </c>
      <c r="AH105" t="s">
        <v>74</v>
      </c>
      <c r="AI105" t="s">
        <v>74</v>
      </c>
      <c r="AJ105" t="s">
        <v>74</v>
      </c>
      <c r="AK105" t="s">
        <v>74</v>
      </c>
      <c r="AL105" t="s">
        <v>74</v>
      </c>
      <c r="AM105" t="s">
        <v>74</v>
      </c>
      <c r="AN105" t="s">
        <v>74</v>
      </c>
      <c r="AO105" t="s">
        <v>1043</v>
      </c>
      <c r="AP105" t="s">
        <v>1044</v>
      </c>
      <c r="AQ105" t="s">
        <v>74</v>
      </c>
      <c r="AR105" t="s">
        <v>74</v>
      </c>
      <c r="AS105" t="s">
        <v>74</v>
      </c>
      <c r="AT105" t="s">
        <v>1045</v>
      </c>
      <c r="AU105">
        <v>2025</v>
      </c>
      <c r="AV105">
        <v>27</v>
      </c>
      <c r="AW105">
        <v>7</v>
      </c>
      <c r="AX105" t="s">
        <v>74</v>
      </c>
      <c r="AY105" t="s">
        <v>74</v>
      </c>
      <c r="AZ105" t="s">
        <v>74</v>
      </c>
      <c r="BA105" t="s">
        <v>74</v>
      </c>
      <c r="BB105">
        <v>3997</v>
      </c>
      <c r="BC105">
        <v>4003</v>
      </c>
      <c r="BD105" t="s">
        <v>74</v>
      </c>
      <c r="BE105" t="s">
        <v>1046</v>
      </c>
      <c r="BF105" t="str">
        <f>HYPERLINK("http://dx.doi.org/10.1039/d4cp03655g","http://dx.doi.org/10.1039/d4cp03655g")</f>
        <v>http://dx.doi.org/10.1039/d4cp03655g</v>
      </c>
      <c r="BG105" t="s">
        <v>74</v>
      </c>
      <c r="BH105" t="s">
        <v>947</v>
      </c>
      <c r="BI105" t="s">
        <v>74</v>
      </c>
      <c r="BJ105" t="s">
        <v>74</v>
      </c>
      <c r="BK105" t="s">
        <v>74</v>
      </c>
      <c r="BL105" t="s">
        <v>74</v>
      </c>
      <c r="BM105" t="s">
        <v>74</v>
      </c>
      <c r="BN105">
        <v>39903270</v>
      </c>
      <c r="BO105" t="s">
        <v>74</v>
      </c>
      <c r="BP105" t="s">
        <v>74</v>
      </c>
      <c r="BQ105" t="s">
        <v>74</v>
      </c>
      <c r="BR105" t="s">
        <v>74</v>
      </c>
      <c r="BS105" t="s">
        <v>1047</v>
      </c>
      <c r="BT105" t="str">
        <f>HYPERLINK("https%3A%2F%2Fwww.webofscience.com%2Fwos%2Fwoscc%2Ffull-record%2FWOS:001412410500001","View Full Record in Web of Science")</f>
        <v>View Full Record in Web of Science</v>
      </c>
    </row>
    <row r="106" spans="1:72" x14ac:dyDescent="0.2">
      <c r="A106" t="s">
        <v>72</v>
      </c>
      <c r="B106" t="s">
        <v>1048</v>
      </c>
      <c r="C106" t="s">
        <v>74</v>
      </c>
      <c r="D106" t="s">
        <v>74</v>
      </c>
      <c r="E106" t="s">
        <v>74</v>
      </c>
      <c r="F106" t="s">
        <v>1049</v>
      </c>
      <c r="G106" t="s">
        <v>74</v>
      </c>
      <c r="H106" t="s">
        <v>74</v>
      </c>
      <c r="I106" t="s">
        <v>1050</v>
      </c>
      <c r="J106" t="s">
        <v>1051</v>
      </c>
      <c r="K106" t="s">
        <v>74</v>
      </c>
      <c r="L106" t="s">
        <v>74</v>
      </c>
      <c r="M106" t="s">
        <v>74</v>
      </c>
      <c r="N106" t="s">
        <v>74</v>
      </c>
      <c r="O106" t="s">
        <v>74</v>
      </c>
      <c r="P106" t="s">
        <v>74</v>
      </c>
      <c r="Q106" t="s">
        <v>74</v>
      </c>
      <c r="R106" t="s">
        <v>74</v>
      </c>
      <c r="S106" t="s">
        <v>74</v>
      </c>
      <c r="T106" t="s">
        <v>74</v>
      </c>
      <c r="U106" t="s">
        <v>74</v>
      </c>
      <c r="V106" t="s">
        <v>1052</v>
      </c>
      <c r="W106" t="s">
        <v>74</v>
      </c>
      <c r="X106" t="s">
        <v>74</v>
      </c>
      <c r="Y106" t="s">
        <v>74</v>
      </c>
      <c r="Z106" t="s">
        <v>74</v>
      </c>
      <c r="AA106" t="s">
        <v>74</v>
      </c>
      <c r="AB106" t="s">
        <v>1053</v>
      </c>
      <c r="AC106" t="s">
        <v>74</v>
      </c>
      <c r="AD106" t="s">
        <v>74</v>
      </c>
      <c r="AE106" t="s">
        <v>74</v>
      </c>
      <c r="AF106" t="s">
        <v>74</v>
      </c>
      <c r="AG106" t="s">
        <v>74</v>
      </c>
      <c r="AH106" t="s">
        <v>74</v>
      </c>
      <c r="AI106" t="s">
        <v>74</v>
      </c>
      <c r="AJ106" t="s">
        <v>74</v>
      </c>
      <c r="AK106" t="s">
        <v>74</v>
      </c>
      <c r="AL106" t="s">
        <v>74</v>
      </c>
      <c r="AM106" t="s">
        <v>74</v>
      </c>
      <c r="AN106" t="s">
        <v>74</v>
      </c>
      <c r="AO106" t="s">
        <v>1054</v>
      </c>
      <c r="AP106" t="s">
        <v>1055</v>
      </c>
      <c r="AQ106" t="s">
        <v>74</v>
      </c>
      <c r="AR106" t="s">
        <v>74</v>
      </c>
      <c r="AS106" t="s">
        <v>74</v>
      </c>
      <c r="AT106" t="s">
        <v>954</v>
      </c>
      <c r="AU106">
        <v>2025</v>
      </c>
      <c r="AV106">
        <v>172</v>
      </c>
      <c r="AW106" t="s">
        <v>74</v>
      </c>
      <c r="AX106" t="s">
        <v>74</v>
      </c>
      <c r="AY106" t="s">
        <v>74</v>
      </c>
      <c r="AZ106" t="s">
        <v>74</v>
      </c>
      <c r="BA106" t="s">
        <v>74</v>
      </c>
      <c r="BB106" t="s">
        <v>74</v>
      </c>
      <c r="BC106" t="s">
        <v>74</v>
      </c>
      <c r="BD106">
        <v>107882</v>
      </c>
      <c r="BE106" t="s">
        <v>1056</v>
      </c>
      <c r="BF106" t="str">
        <f>HYPERLINK("http://dx.doi.org/10.1016/j.elecom.2025.107882","http://dx.doi.org/10.1016/j.elecom.2025.107882")</f>
        <v>http://dx.doi.org/10.1016/j.elecom.2025.107882</v>
      </c>
      <c r="BG106" t="s">
        <v>74</v>
      </c>
      <c r="BH106" t="s">
        <v>947</v>
      </c>
      <c r="BI106" t="s">
        <v>74</v>
      </c>
      <c r="BJ106" t="s">
        <v>74</v>
      </c>
      <c r="BK106" t="s">
        <v>74</v>
      </c>
      <c r="BL106" t="s">
        <v>74</v>
      </c>
      <c r="BM106" t="s">
        <v>74</v>
      </c>
      <c r="BN106" t="s">
        <v>74</v>
      </c>
      <c r="BO106" t="s">
        <v>74</v>
      </c>
      <c r="BP106" t="s">
        <v>74</v>
      </c>
      <c r="BQ106" t="s">
        <v>74</v>
      </c>
      <c r="BR106" t="s">
        <v>74</v>
      </c>
      <c r="BS106" t="s">
        <v>1057</v>
      </c>
      <c r="BT106" t="str">
        <f>HYPERLINK("https%3A%2F%2Fwww.webofscience.com%2Fwos%2Fwoscc%2Ffull-record%2FWOS:001419651000001","View Full Record in Web of Science")</f>
        <v>View Full Record in Web of Science</v>
      </c>
    </row>
    <row r="107" spans="1:72" x14ac:dyDescent="0.2">
      <c r="A107" t="s">
        <v>72</v>
      </c>
      <c r="B107" t="s">
        <v>1058</v>
      </c>
      <c r="C107" t="s">
        <v>74</v>
      </c>
      <c r="D107" t="s">
        <v>74</v>
      </c>
      <c r="E107" t="s">
        <v>74</v>
      </c>
      <c r="F107" t="s">
        <v>1059</v>
      </c>
      <c r="G107" t="s">
        <v>74</v>
      </c>
      <c r="H107" t="s">
        <v>74</v>
      </c>
      <c r="I107" t="s">
        <v>1060</v>
      </c>
      <c r="J107" t="s">
        <v>1061</v>
      </c>
      <c r="K107" t="s">
        <v>74</v>
      </c>
      <c r="L107" t="s">
        <v>74</v>
      </c>
      <c r="M107" t="s">
        <v>74</v>
      </c>
      <c r="N107" t="s">
        <v>74</v>
      </c>
      <c r="O107" t="s">
        <v>74</v>
      </c>
      <c r="P107" t="s">
        <v>74</v>
      </c>
      <c r="Q107" t="s">
        <v>74</v>
      </c>
      <c r="R107" t="s">
        <v>74</v>
      </c>
      <c r="S107" t="s">
        <v>74</v>
      </c>
      <c r="T107" t="s">
        <v>74</v>
      </c>
      <c r="U107" t="s">
        <v>74</v>
      </c>
      <c r="V107" t="s">
        <v>1062</v>
      </c>
      <c r="W107" t="s">
        <v>74</v>
      </c>
      <c r="X107" t="s">
        <v>74</v>
      </c>
      <c r="Y107" t="s">
        <v>74</v>
      </c>
      <c r="Z107" t="s">
        <v>74</v>
      </c>
      <c r="AA107" t="s">
        <v>1063</v>
      </c>
      <c r="AB107" t="s">
        <v>74</v>
      </c>
      <c r="AC107" t="s">
        <v>74</v>
      </c>
      <c r="AD107" t="s">
        <v>74</v>
      </c>
      <c r="AE107" t="s">
        <v>74</v>
      </c>
      <c r="AF107" t="s">
        <v>74</v>
      </c>
      <c r="AG107" t="s">
        <v>74</v>
      </c>
      <c r="AH107" t="s">
        <v>74</v>
      </c>
      <c r="AI107" t="s">
        <v>74</v>
      </c>
      <c r="AJ107" t="s">
        <v>74</v>
      </c>
      <c r="AK107" t="s">
        <v>74</v>
      </c>
      <c r="AL107" t="s">
        <v>74</v>
      </c>
      <c r="AM107" t="s">
        <v>74</v>
      </c>
      <c r="AN107" t="s">
        <v>74</v>
      </c>
      <c r="AO107" t="s">
        <v>1064</v>
      </c>
      <c r="AP107" t="s">
        <v>1065</v>
      </c>
      <c r="AQ107" t="s">
        <v>74</v>
      </c>
      <c r="AR107" t="s">
        <v>74</v>
      </c>
      <c r="AS107" t="s">
        <v>74</v>
      </c>
      <c r="AT107" t="s">
        <v>1026</v>
      </c>
      <c r="AU107">
        <v>2025</v>
      </c>
      <c r="AV107">
        <v>70</v>
      </c>
      <c r="AW107">
        <v>2</v>
      </c>
      <c r="AX107" t="s">
        <v>74</v>
      </c>
      <c r="AY107" t="s">
        <v>74</v>
      </c>
      <c r="AZ107" t="s">
        <v>74</v>
      </c>
      <c r="BA107" t="s">
        <v>74</v>
      </c>
      <c r="BB107">
        <v>274</v>
      </c>
      <c r="BC107">
        <v>282</v>
      </c>
      <c r="BD107" t="s">
        <v>74</v>
      </c>
      <c r="BE107" t="s">
        <v>1066</v>
      </c>
      <c r="BF107" t="str">
        <f>HYPERLINK("http://dx.doi.org/10.1134/S0036023624603271","http://dx.doi.org/10.1134/S0036023624603271")</f>
        <v>http://dx.doi.org/10.1134/S0036023624603271</v>
      </c>
      <c r="BG107" t="s">
        <v>74</v>
      </c>
      <c r="BH107" t="s">
        <v>74</v>
      </c>
      <c r="BI107" t="s">
        <v>74</v>
      </c>
      <c r="BJ107" t="s">
        <v>74</v>
      </c>
      <c r="BK107" t="s">
        <v>74</v>
      </c>
      <c r="BL107" t="s">
        <v>74</v>
      </c>
      <c r="BM107" t="s">
        <v>74</v>
      </c>
      <c r="BN107" t="s">
        <v>74</v>
      </c>
      <c r="BO107" t="s">
        <v>74</v>
      </c>
      <c r="BP107" t="s">
        <v>74</v>
      </c>
      <c r="BQ107" t="s">
        <v>74</v>
      </c>
      <c r="BR107" t="s">
        <v>74</v>
      </c>
      <c r="BS107" t="s">
        <v>1067</v>
      </c>
      <c r="BT107" t="str">
        <f>HYPERLINK("https%3A%2F%2Fwww.webofscience.com%2Fwos%2Fwoscc%2Ffull-record%2FWOS:001508271500010","View Full Record in Web of Science")</f>
        <v>View Full Record in Web of Science</v>
      </c>
    </row>
    <row r="108" spans="1:72" x14ac:dyDescent="0.2">
      <c r="A108" t="s">
        <v>72</v>
      </c>
      <c r="B108" t="s">
        <v>1068</v>
      </c>
      <c r="C108" t="s">
        <v>74</v>
      </c>
      <c r="D108" t="s">
        <v>74</v>
      </c>
      <c r="E108" t="s">
        <v>74</v>
      </c>
      <c r="F108" t="s">
        <v>1069</v>
      </c>
      <c r="G108" t="s">
        <v>74</v>
      </c>
      <c r="H108" t="s">
        <v>74</v>
      </c>
      <c r="I108" t="s">
        <v>1070</v>
      </c>
      <c r="J108" t="s">
        <v>140</v>
      </c>
      <c r="K108" t="s">
        <v>74</v>
      </c>
      <c r="L108" t="s">
        <v>74</v>
      </c>
      <c r="M108" t="s">
        <v>74</v>
      </c>
      <c r="N108" t="s">
        <v>74</v>
      </c>
      <c r="O108" t="s">
        <v>74</v>
      </c>
      <c r="P108" t="s">
        <v>74</v>
      </c>
      <c r="Q108" t="s">
        <v>74</v>
      </c>
      <c r="R108" t="s">
        <v>74</v>
      </c>
      <c r="S108" t="s">
        <v>74</v>
      </c>
      <c r="T108" t="s">
        <v>74</v>
      </c>
      <c r="U108" t="s">
        <v>74</v>
      </c>
      <c r="V108" t="s">
        <v>1071</v>
      </c>
      <c r="W108" t="s">
        <v>74</v>
      </c>
      <c r="X108" t="s">
        <v>74</v>
      </c>
      <c r="Y108" t="s">
        <v>74</v>
      </c>
      <c r="Z108" t="s">
        <v>74</v>
      </c>
      <c r="AA108" t="s">
        <v>1072</v>
      </c>
      <c r="AB108" t="s">
        <v>74</v>
      </c>
      <c r="AC108" t="s">
        <v>74</v>
      </c>
      <c r="AD108" t="s">
        <v>74</v>
      </c>
      <c r="AE108" t="s">
        <v>74</v>
      </c>
      <c r="AF108" t="s">
        <v>74</v>
      </c>
      <c r="AG108" t="s">
        <v>74</v>
      </c>
      <c r="AH108" t="s">
        <v>74</v>
      </c>
      <c r="AI108" t="s">
        <v>74</v>
      </c>
      <c r="AJ108" t="s">
        <v>74</v>
      </c>
      <c r="AK108" t="s">
        <v>74</v>
      </c>
      <c r="AL108" t="s">
        <v>74</v>
      </c>
      <c r="AM108" t="s">
        <v>74</v>
      </c>
      <c r="AN108" t="s">
        <v>74</v>
      </c>
      <c r="AO108" t="s">
        <v>142</v>
      </c>
      <c r="AP108" t="s">
        <v>143</v>
      </c>
      <c r="AQ108" t="s">
        <v>74</v>
      </c>
      <c r="AR108" t="s">
        <v>74</v>
      </c>
      <c r="AS108" t="s">
        <v>74</v>
      </c>
      <c r="AT108" t="s">
        <v>1073</v>
      </c>
      <c r="AU108">
        <v>2025</v>
      </c>
      <c r="AV108">
        <v>112</v>
      </c>
      <c r="AW108" t="s">
        <v>74</v>
      </c>
      <c r="AX108" t="s">
        <v>74</v>
      </c>
      <c r="AY108" t="s">
        <v>74</v>
      </c>
      <c r="AZ108" t="s">
        <v>74</v>
      </c>
      <c r="BA108" t="s">
        <v>74</v>
      </c>
      <c r="BB108" t="s">
        <v>74</v>
      </c>
      <c r="BC108" t="s">
        <v>74</v>
      </c>
      <c r="BD108">
        <v>115596</v>
      </c>
      <c r="BE108" t="s">
        <v>1074</v>
      </c>
      <c r="BF108" t="str">
        <f>HYPERLINK("http://dx.doi.org/10.1016/j.est.2025.115596","http://dx.doi.org/10.1016/j.est.2025.115596")</f>
        <v>http://dx.doi.org/10.1016/j.est.2025.115596</v>
      </c>
      <c r="BG108" t="s">
        <v>74</v>
      </c>
      <c r="BH108" t="s">
        <v>1075</v>
      </c>
      <c r="BI108" t="s">
        <v>74</v>
      </c>
      <c r="BJ108" t="s">
        <v>74</v>
      </c>
      <c r="BK108" t="s">
        <v>74</v>
      </c>
      <c r="BL108" t="s">
        <v>74</v>
      </c>
      <c r="BM108" t="s">
        <v>74</v>
      </c>
      <c r="BN108" t="s">
        <v>74</v>
      </c>
      <c r="BO108" t="s">
        <v>74</v>
      </c>
      <c r="BP108" t="s">
        <v>74</v>
      </c>
      <c r="BQ108" t="s">
        <v>74</v>
      </c>
      <c r="BR108" t="s">
        <v>74</v>
      </c>
      <c r="BS108" t="s">
        <v>1076</v>
      </c>
      <c r="BT108" t="str">
        <f>HYPERLINK("https%3A%2F%2Fwww.webofscience.com%2Fwos%2Fwoscc%2Ffull-record%2FWOS:001422211800001","View Full Record in Web of Science")</f>
        <v>View Full Record in Web of Science</v>
      </c>
    </row>
    <row r="109" spans="1:72" x14ac:dyDescent="0.2">
      <c r="A109" t="s">
        <v>72</v>
      </c>
      <c r="B109" t="s">
        <v>1077</v>
      </c>
      <c r="C109" t="s">
        <v>74</v>
      </c>
      <c r="D109" t="s">
        <v>74</v>
      </c>
      <c r="E109" t="s">
        <v>74</v>
      </c>
      <c r="F109" t="s">
        <v>1078</v>
      </c>
      <c r="G109" t="s">
        <v>74</v>
      </c>
      <c r="H109" t="s">
        <v>74</v>
      </c>
      <c r="I109" t="s">
        <v>1079</v>
      </c>
      <c r="J109" t="s">
        <v>109</v>
      </c>
      <c r="K109" t="s">
        <v>74</v>
      </c>
      <c r="L109" t="s">
        <v>74</v>
      </c>
      <c r="M109" t="s">
        <v>74</v>
      </c>
      <c r="N109" t="s">
        <v>74</v>
      </c>
      <c r="O109" t="s">
        <v>74</v>
      </c>
      <c r="P109" t="s">
        <v>74</v>
      </c>
      <c r="Q109" t="s">
        <v>74</v>
      </c>
      <c r="R109" t="s">
        <v>74</v>
      </c>
      <c r="S109" t="s">
        <v>74</v>
      </c>
      <c r="T109" t="s">
        <v>74</v>
      </c>
      <c r="U109" t="s">
        <v>74</v>
      </c>
      <c r="V109" t="s">
        <v>1080</v>
      </c>
      <c r="W109" t="s">
        <v>74</v>
      </c>
      <c r="X109" t="s">
        <v>74</v>
      </c>
      <c r="Y109" t="s">
        <v>74</v>
      </c>
      <c r="Z109" t="s">
        <v>74</v>
      </c>
      <c r="AA109" t="s">
        <v>1081</v>
      </c>
      <c r="AB109" t="s">
        <v>74</v>
      </c>
      <c r="AC109" t="s">
        <v>74</v>
      </c>
      <c r="AD109" t="s">
        <v>74</v>
      </c>
      <c r="AE109" t="s">
        <v>74</v>
      </c>
      <c r="AF109" t="s">
        <v>74</v>
      </c>
      <c r="AG109" t="s">
        <v>74</v>
      </c>
      <c r="AH109" t="s">
        <v>74</v>
      </c>
      <c r="AI109" t="s">
        <v>74</v>
      </c>
      <c r="AJ109" t="s">
        <v>74</v>
      </c>
      <c r="AK109" t="s">
        <v>74</v>
      </c>
      <c r="AL109" t="s">
        <v>74</v>
      </c>
      <c r="AM109" t="s">
        <v>74</v>
      </c>
      <c r="AN109" t="s">
        <v>74</v>
      </c>
      <c r="AO109" t="s">
        <v>112</v>
      </c>
      <c r="AP109" t="s">
        <v>74</v>
      </c>
      <c r="AQ109" t="s">
        <v>74</v>
      </c>
      <c r="AR109" t="s">
        <v>74</v>
      </c>
      <c r="AS109" t="s">
        <v>74</v>
      </c>
      <c r="AT109" t="s">
        <v>545</v>
      </c>
      <c r="AU109">
        <v>2025</v>
      </c>
      <c r="AV109">
        <v>104</v>
      </c>
      <c r="AW109" t="s">
        <v>74</v>
      </c>
      <c r="AX109" t="s">
        <v>74</v>
      </c>
      <c r="AY109" t="s">
        <v>74</v>
      </c>
      <c r="AZ109" t="s">
        <v>74</v>
      </c>
      <c r="BA109" t="s">
        <v>74</v>
      </c>
      <c r="BB109">
        <v>101</v>
      </c>
      <c r="BC109">
        <v>110</v>
      </c>
      <c r="BD109" t="s">
        <v>74</v>
      </c>
      <c r="BE109" t="s">
        <v>1082</v>
      </c>
      <c r="BF109" t="str">
        <f>HYPERLINK("http://dx.doi.org/10.1016/j.jechem.2024.12.043","http://dx.doi.org/10.1016/j.jechem.2024.12.043")</f>
        <v>http://dx.doi.org/10.1016/j.jechem.2024.12.043</v>
      </c>
      <c r="BG109" t="s">
        <v>74</v>
      </c>
      <c r="BH109" t="s">
        <v>1075</v>
      </c>
      <c r="BI109" t="s">
        <v>74</v>
      </c>
      <c r="BJ109" t="s">
        <v>74</v>
      </c>
      <c r="BK109" t="s">
        <v>74</v>
      </c>
      <c r="BL109" t="s">
        <v>74</v>
      </c>
      <c r="BM109" t="s">
        <v>74</v>
      </c>
      <c r="BN109" t="s">
        <v>74</v>
      </c>
      <c r="BO109" t="s">
        <v>74</v>
      </c>
      <c r="BP109" t="s">
        <v>74</v>
      </c>
      <c r="BQ109" t="s">
        <v>74</v>
      </c>
      <c r="BR109" t="s">
        <v>74</v>
      </c>
      <c r="BS109" t="s">
        <v>1083</v>
      </c>
      <c r="BT109" t="str">
        <f>HYPERLINK("https%3A%2F%2Fwww.webofscience.com%2Fwos%2Fwoscc%2Ffull-record%2FWOS:001414453400001","View Full Record in Web of Science")</f>
        <v>View Full Record in Web of Science</v>
      </c>
    </row>
    <row r="110" spans="1:72" x14ac:dyDescent="0.2">
      <c r="A110" t="s">
        <v>72</v>
      </c>
      <c r="B110" t="s">
        <v>1084</v>
      </c>
      <c r="C110" t="s">
        <v>74</v>
      </c>
      <c r="D110" t="s">
        <v>74</v>
      </c>
      <c r="E110" t="s">
        <v>74</v>
      </c>
      <c r="F110" t="s">
        <v>1085</v>
      </c>
      <c r="G110" t="s">
        <v>74</v>
      </c>
      <c r="H110" t="s">
        <v>74</v>
      </c>
      <c r="I110" t="s">
        <v>1086</v>
      </c>
      <c r="J110" t="s">
        <v>1087</v>
      </c>
      <c r="K110" t="s">
        <v>74</v>
      </c>
      <c r="L110" t="s">
        <v>74</v>
      </c>
      <c r="M110" t="s">
        <v>74</v>
      </c>
      <c r="N110" t="s">
        <v>74</v>
      </c>
      <c r="O110" t="s">
        <v>74</v>
      </c>
      <c r="P110" t="s">
        <v>74</v>
      </c>
      <c r="Q110" t="s">
        <v>74</v>
      </c>
      <c r="R110" t="s">
        <v>74</v>
      </c>
      <c r="S110" t="s">
        <v>74</v>
      </c>
      <c r="T110" t="s">
        <v>74</v>
      </c>
      <c r="U110" t="s">
        <v>74</v>
      </c>
      <c r="V110" t="s">
        <v>1088</v>
      </c>
      <c r="W110" t="s">
        <v>74</v>
      </c>
      <c r="X110" t="s">
        <v>74</v>
      </c>
      <c r="Y110" t="s">
        <v>74</v>
      </c>
      <c r="Z110" t="s">
        <v>74</v>
      </c>
      <c r="AA110" t="s">
        <v>1089</v>
      </c>
      <c r="AB110" t="s">
        <v>74</v>
      </c>
      <c r="AC110" t="s">
        <v>74</v>
      </c>
      <c r="AD110" t="s">
        <v>74</v>
      </c>
      <c r="AE110" t="s">
        <v>74</v>
      </c>
      <c r="AF110" t="s">
        <v>74</v>
      </c>
      <c r="AG110" t="s">
        <v>74</v>
      </c>
      <c r="AH110" t="s">
        <v>74</v>
      </c>
      <c r="AI110" t="s">
        <v>74</v>
      </c>
      <c r="AJ110" t="s">
        <v>74</v>
      </c>
      <c r="AK110" t="s">
        <v>74</v>
      </c>
      <c r="AL110" t="s">
        <v>74</v>
      </c>
      <c r="AM110" t="s">
        <v>74</v>
      </c>
      <c r="AN110" t="s">
        <v>74</v>
      </c>
      <c r="AO110" t="s">
        <v>1090</v>
      </c>
      <c r="AP110" t="s">
        <v>1091</v>
      </c>
      <c r="AQ110" t="s">
        <v>74</v>
      </c>
      <c r="AR110" t="s">
        <v>74</v>
      </c>
      <c r="AS110" t="s">
        <v>74</v>
      </c>
      <c r="AT110" t="s">
        <v>1092</v>
      </c>
      <c r="AU110">
        <v>2025</v>
      </c>
      <c r="AV110">
        <v>250</v>
      </c>
      <c r="AW110" t="s">
        <v>74</v>
      </c>
      <c r="AX110" t="s">
        <v>74</v>
      </c>
      <c r="AY110" t="s">
        <v>74</v>
      </c>
      <c r="AZ110" t="s">
        <v>74</v>
      </c>
      <c r="BA110" t="s">
        <v>74</v>
      </c>
      <c r="BB110" t="s">
        <v>74</v>
      </c>
      <c r="BC110" t="s">
        <v>74</v>
      </c>
      <c r="BD110">
        <v>113698</v>
      </c>
      <c r="BE110" t="s">
        <v>1093</v>
      </c>
      <c r="BF110" t="str">
        <f>HYPERLINK("http://dx.doi.org/10.1016/j.commatsci.2025.113698","http://dx.doi.org/10.1016/j.commatsci.2025.113698")</f>
        <v>http://dx.doi.org/10.1016/j.commatsci.2025.113698</v>
      </c>
      <c r="BG110" t="s">
        <v>74</v>
      </c>
      <c r="BH110" t="s">
        <v>1075</v>
      </c>
      <c r="BI110" t="s">
        <v>74</v>
      </c>
      <c r="BJ110" t="s">
        <v>74</v>
      </c>
      <c r="BK110" t="s">
        <v>74</v>
      </c>
      <c r="BL110" t="s">
        <v>74</v>
      </c>
      <c r="BM110" t="s">
        <v>74</v>
      </c>
      <c r="BN110" t="s">
        <v>74</v>
      </c>
      <c r="BO110" t="s">
        <v>74</v>
      </c>
      <c r="BP110" t="s">
        <v>74</v>
      </c>
      <c r="BQ110" t="s">
        <v>74</v>
      </c>
      <c r="BR110" t="s">
        <v>74</v>
      </c>
      <c r="BS110" t="s">
        <v>1094</v>
      </c>
      <c r="BT110" t="str">
        <f>HYPERLINK("https%3A%2F%2Fwww.webofscience.com%2Fwos%2Fwoscc%2Ffull-record%2FWOS:001407295600001","View Full Record in Web of Science")</f>
        <v>View Full Record in Web of Science</v>
      </c>
    </row>
    <row r="111" spans="1:72" x14ac:dyDescent="0.2">
      <c r="A111" t="s">
        <v>72</v>
      </c>
      <c r="B111" t="s">
        <v>1095</v>
      </c>
      <c r="C111" t="s">
        <v>74</v>
      </c>
      <c r="D111" t="s">
        <v>74</v>
      </c>
      <c r="E111" t="s">
        <v>74</v>
      </c>
      <c r="F111" t="s">
        <v>1096</v>
      </c>
      <c r="G111" t="s">
        <v>74</v>
      </c>
      <c r="H111" t="s">
        <v>74</v>
      </c>
      <c r="I111" t="s">
        <v>1097</v>
      </c>
      <c r="J111" t="s">
        <v>498</v>
      </c>
      <c r="K111" t="s">
        <v>74</v>
      </c>
      <c r="L111" t="s">
        <v>74</v>
      </c>
      <c r="M111" t="s">
        <v>74</v>
      </c>
      <c r="N111" t="s">
        <v>74</v>
      </c>
      <c r="O111" t="s">
        <v>74</v>
      </c>
      <c r="P111" t="s">
        <v>74</v>
      </c>
      <c r="Q111" t="s">
        <v>74</v>
      </c>
      <c r="R111" t="s">
        <v>74</v>
      </c>
      <c r="S111" t="s">
        <v>74</v>
      </c>
      <c r="T111" t="s">
        <v>74</v>
      </c>
      <c r="U111" t="s">
        <v>74</v>
      </c>
      <c r="V111" t="s">
        <v>1098</v>
      </c>
      <c r="W111" t="s">
        <v>74</v>
      </c>
      <c r="X111" t="s">
        <v>74</v>
      </c>
      <c r="Y111" t="s">
        <v>74</v>
      </c>
      <c r="Z111" t="s">
        <v>74</v>
      </c>
      <c r="AA111" t="s">
        <v>1099</v>
      </c>
      <c r="AB111" t="s">
        <v>1100</v>
      </c>
      <c r="AC111" t="s">
        <v>74</v>
      </c>
      <c r="AD111" t="s">
        <v>74</v>
      </c>
      <c r="AE111" t="s">
        <v>74</v>
      </c>
      <c r="AF111" t="s">
        <v>74</v>
      </c>
      <c r="AG111" t="s">
        <v>74</v>
      </c>
      <c r="AH111" t="s">
        <v>74</v>
      </c>
      <c r="AI111" t="s">
        <v>74</v>
      </c>
      <c r="AJ111" t="s">
        <v>74</v>
      </c>
      <c r="AK111" t="s">
        <v>74</v>
      </c>
      <c r="AL111" t="s">
        <v>74</v>
      </c>
      <c r="AM111" t="s">
        <v>74</v>
      </c>
      <c r="AN111" t="s">
        <v>74</v>
      </c>
      <c r="AO111" t="s">
        <v>502</v>
      </c>
      <c r="AP111" t="s">
        <v>503</v>
      </c>
      <c r="AQ111" t="s">
        <v>74</v>
      </c>
      <c r="AR111" t="s">
        <v>74</v>
      </c>
      <c r="AS111" t="s">
        <v>74</v>
      </c>
      <c r="AT111" t="s">
        <v>1101</v>
      </c>
      <c r="AU111">
        <v>2025</v>
      </c>
      <c r="AV111">
        <v>129</v>
      </c>
      <c r="AW111">
        <v>4</v>
      </c>
      <c r="AX111" t="s">
        <v>74</v>
      </c>
      <c r="AY111" t="s">
        <v>74</v>
      </c>
      <c r="AZ111" t="s">
        <v>74</v>
      </c>
      <c r="BA111" t="s">
        <v>74</v>
      </c>
      <c r="BB111">
        <v>1961</v>
      </c>
      <c r="BC111">
        <v>1969</v>
      </c>
      <c r="BD111" t="s">
        <v>74</v>
      </c>
      <c r="BE111" t="s">
        <v>1102</v>
      </c>
      <c r="BF111" t="str">
        <f>HYPERLINK("http://dx.doi.org/10.1021/acs.jpcc.4c08128","http://dx.doi.org/10.1021/acs.jpcc.4c08128")</f>
        <v>http://dx.doi.org/10.1021/acs.jpcc.4c08128</v>
      </c>
      <c r="BG111" t="s">
        <v>74</v>
      </c>
      <c r="BH111" t="s">
        <v>1075</v>
      </c>
      <c r="BI111" t="s">
        <v>74</v>
      </c>
      <c r="BJ111" t="s">
        <v>74</v>
      </c>
      <c r="BK111" t="s">
        <v>74</v>
      </c>
      <c r="BL111" t="s">
        <v>74</v>
      </c>
      <c r="BM111" t="s">
        <v>74</v>
      </c>
      <c r="BN111" t="s">
        <v>74</v>
      </c>
      <c r="BO111" t="s">
        <v>74</v>
      </c>
      <c r="BP111" t="s">
        <v>74</v>
      </c>
      <c r="BQ111" t="s">
        <v>74</v>
      </c>
      <c r="BR111" t="s">
        <v>74</v>
      </c>
      <c r="BS111" t="s">
        <v>1103</v>
      </c>
      <c r="BT111" t="str">
        <f>HYPERLINK("https%3A%2F%2Fwww.webofscience.com%2Fwos%2Fwoscc%2Ffull-record%2FWOS:001399631000001","View Full Record in Web of Science")</f>
        <v>View Full Record in Web of Science</v>
      </c>
    </row>
    <row r="112" spans="1:72" x14ac:dyDescent="0.2">
      <c r="A112" t="s">
        <v>72</v>
      </c>
      <c r="B112" t="s">
        <v>1104</v>
      </c>
      <c r="C112" t="s">
        <v>74</v>
      </c>
      <c r="D112" t="s">
        <v>74</v>
      </c>
      <c r="E112" t="s">
        <v>74</v>
      </c>
      <c r="F112" t="s">
        <v>1105</v>
      </c>
      <c r="G112" t="s">
        <v>74</v>
      </c>
      <c r="H112" t="s">
        <v>74</v>
      </c>
      <c r="I112" t="s">
        <v>1106</v>
      </c>
      <c r="J112" t="s">
        <v>411</v>
      </c>
      <c r="K112" t="s">
        <v>74</v>
      </c>
      <c r="L112" t="s">
        <v>74</v>
      </c>
      <c r="M112" t="s">
        <v>74</v>
      </c>
      <c r="N112" t="s">
        <v>74</v>
      </c>
      <c r="O112" t="s">
        <v>74</v>
      </c>
      <c r="P112" t="s">
        <v>74</v>
      </c>
      <c r="Q112" t="s">
        <v>74</v>
      </c>
      <c r="R112" t="s">
        <v>74</v>
      </c>
      <c r="S112" t="s">
        <v>74</v>
      </c>
      <c r="T112" t="s">
        <v>74</v>
      </c>
      <c r="U112" t="s">
        <v>74</v>
      </c>
      <c r="V112" t="s">
        <v>1107</v>
      </c>
      <c r="W112" t="s">
        <v>74</v>
      </c>
      <c r="X112" t="s">
        <v>74</v>
      </c>
      <c r="Y112" t="s">
        <v>74</v>
      </c>
      <c r="Z112" t="s">
        <v>74</v>
      </c>
      <c r="AA112" t="s">
        <v>74</v>
      </c>
      <c r="AB112" t="s">
        <v>1108</v>
      </c>
      <c r="AC112" t="s">
        <v>74</v>
      </c>
      <c r="AD112" t="s">
        <v>74</v>
      </c>
      <c r="AE112" t="s">
        <v>74</v>
      </c>
      <c r="AF112" t="s">
        <v>74</v>
      </c>
      <c r="AG112" t="s">
        <v>74</v>
      </c>
      <c r="AH112" t="s">
        <v>74</v>
      </c>
      <c r="AI112" t="s">
        <v>74</v>
      </c>
      <c r="AJ112" t="s">
        <v>74</v>
      </c>
      <c r="AK112" t="s">
        <v>74</v>
      </c>
      <c r="AL112" t="s">
        <v>74</v>
      </c>
      <c r="AM112" t="s">
        <v>74</v>
      </c>
      <c r="AN112" t="s">
        <v>74</v>
      </c>
      <c r="AO112" t="s">
        <v>414</v>
      </c>
      <c r="AP112" t="s">
        <v>415</v>
      </c>
      <c r="AQ112" t="s">
        <v>74</v>
      </c>
      <c r="AR112" t="s">
        <v>74</v>
      </c>
      <c r="AS112" t="s">
        <v>74</v>
      </c>
      <c r="AT112" t="s">
        <v>965</v>
      </c>
      <c r="AU112">
        <v>2025</v>
      </c>
      <c r="AV112">
        <v>21</v>
      </c>
      <c r="AW112">
        <v>8</v>
      </c>
      <c r="AX112" t="s">
        <v>74</v>
      </c>
      <c r="AY112" t="s">
        <v>74</v>
      </c>
      <c r="AZ112" t="s">
        <v>74</v>
      </c>
      <c r="BA112" t="s">
        <v>74</v>
      </c>
      <c r="BB112" t="s">
        <v>74</v>
      </c>
      <c r="BC112" t="s">
        <v>74</v>
      </c>
      <c r="BD112">
        <v>2408986</v>
      </c>
      <c r="BE112" t="s">
        <v>1109</v>
      </c>
      <c r="BF112" t="str">
        <f>HYPERLINK("http://dx.doi.org/10.1002/smll.202408986","http://dx.doi.org/10.1002/smll.202408986")</f>
        <v>http://dx.doi.org/10.1002/smll.202408986</v>
      </c>
      <c r="BG112" t="s">
        <v>74</v>
      </c>
      <c r="BH112" t="s">
        <v>1075</v>
      </c>
      <c r="BI112" t="s">
        <v>74</v>
      </c>
      <c r="BJ112" t="s">
        <v>74</v>
      </c>
      <c r="BK112" t="s">
        <v>74</v>
      </c>
      <c r="BL112" t="s">
        <v>74</v>
      </c>
      <c r="BM112" t="s">
        <v>74</v>
      </c>
      <c r="BN112">
        <v>39811944</v>
      </c>
      <c r="BO112" t="s">
        <v>74</v>
      </c>
      <c r="BP112" t="s">
        <v>74</v>
      </c>
      <c r="BQ112" t="s">
        <v>74</v>
      </c>
      <c r="BR112" t="s">
        <v>74</v>
      </c>
      <c r="BS112" t="s">
        <v>1110</v>
      </c>
      <c r="BT112" t="str">
        <f>HYPERLINK("https%3A%2F%2Fwww.webofscience.com%2Fwos%2Fwoscc%2Ffull-record%2FWOS:001396690000001","View Full Record in Web of Science")</f>
        <v>View Full Record in Web of Science</v>
      </c>
    </row>
    <row r="113" spans="1:72" x14ac:dyDescent="0.2">
      <c r="A113" t="s">
        <v>72</v>
      </c>
      <c r="B113" t="s">
        <v>1111</v>
      </c>
      <c r="C113" t="s">
        <v>74</v>
      </c>
      <c r="D113" t="s">
        <v>74</v>
      </c>
      <c r="E113" t="s">
        <v>74</v>
      </c>
      <c r="F113" t="s">
        <v>1112</v>
      </c>
      <c r="G113" t="s">
        <v>74</v>
      </c>
      <c r="H113" t="s">
        <v>74</v>
      </c>
      <c r="I113" t="s">
        <v>1113</v>
      </c>
      <c r="J113" t="s">
        <v>352</v>
      </c>
      <c r="K113" t="s">
        <v>74</v>
      </c>
      <c r="L113" t="s">
        <v>74</v>
      </c>
      <c r="M113" t="s">
        <v>74</v>
      </c>
      <c r="N113" t="s">
        <v>74</v>
      </c>
      <c r="O113" t="s">
        <v>74</v>
      </c>
      <c r="P113" t="s">
        <v>74</v>
      </c>
      <c r="Q113" t="s">
        <v>74</v>
      </c>
      <c r="R113" t="s">
        <v>74</v>
      </c>
      <c r="S113" t="s">
        <v>74</v>
      </c>
      <c r="T113" t="s">
        <v>74</v>
      </c>
      <c r="U113" t="s">
        <v>74</v>
      </c>
      <c r="V113" t="s">
        <v>1114</v>
      </c>
      <c r="W113" t="s">
        <v>74</v>
      </c>
      <c r="X113" t="s">
        <v>74</v>
      </c>
      <c r="Y113" t="s">
        <v>74</v>
      </c>
      <c r="Z113" t="s">
        <v>74</v>
      </c>
      <c r="AA113" t="s">
        <v>1115</v>
      </c>
      <c r="AB113" t="s">
        <v>74</v>
      </c>
      <c r="AC113" t="s">
        <v>74</v>
      </c>
      <c r="AD113" t="s">
        <v>74</v>
      </c>
      <c r="AE113" t="s">
        <v>74</v>
      </c>
      <c r="AF113" t="s">
        <v>74</v>
      </c>
      <c r="AG113" t="s">
        <v>74</v>
      </c>
      <c r="AH113" t="s">
        <v>74</v>
      </c>
      <c r="AI113" t="s">
        <v>74</v>
      </c>
      <c r="AJ113" t="s">
        <v>74</v>
      </c>
      <c r="AK113" t="s">
        <v>74</v>
      </c>
      <c r="AL113" t="s">
        <v>74</v>
      </c>
      <c r="AM113" t="s">
        <v>74</v>
      </c>
      <c r="AN113" t="s">
        <v>74</v>
      </c>
      <c r="AO113" t="s">
        <v>354</v>
      </c>
      <c r="AP113" t="s">
        <v>355</v>
      </c>
      <c r="AQ113" t="s">
        <v>74</v>
      </c>
      <c r="AR113" t="s">
        <v>74</v>
      </c>
      <c r="AS113" t="s">
        <v>74</v>
      </c>
      <c r="AT113" t="s">
        <v>545</v>
      </c>
      <c r="AU113">
        <v>2025</v>
      </c>
      <c r="AV113">
        <v>15</v>
      </c>
      <c r="AW113">
        <v>19</v>
      </c>
      <c r="AX113" t="s">
        <v>74</v>
      </c>
      <c r="AY113" t="s">
        <v>74</v>
      </c>
      <c r="AZ113" t="s">
        <v>74</v>
      </c>
      <c r="BA113" t="s">
        <v>74</v>
      </c>
      <c r="BB113" t="s">
        <v>74</v>
      </c>
      <c r="BC113" t="s">
        <v>74</v>
      </c>
      <c r="BD113">
        <v>2404282</v>
      </c>
      <c r="BE113" t="s">
        <v>1116</v>
      </c>
      <c r="BF113" t="str">
        <f>HYPERLINK("http://dx.doi.org/10.1002/aenm.202404282","http://dx.doi.org/10.1002/aenm.202404282")</f>
        <v>http://dx.doi.org/10.1002/aenm.202404282</v>
      </c>
      <c r="BG113" t="s">
        <v>74</v>
      </c>
      <c r="BH113" t="s">
        <v>1075</v>
      </c>
      <c r="BI113" t="s">
        <v>74</v>
      </c>
      <c r="BJ113" t="s">
        <v>74</v>
      </c>
      <c r="BK113" t="s">
        <v>74</v>
      </c>
      <c r="BL113" t="s">
        <v>74</v>
      </c>
      <c r="BM113" t="s">
        <v>74</v>
      </c>
      <c r="BN113" t="s">
        <v>74</v>
      </c>
      <c r="BO113" t="s">
        <v>74</v>
      </c>
      <c r="BP113" t="s">
        <v>74</v>
      </c>
      <c r="BQ113" t="s">
        <v>74</v>
      </c>
      <c r="BR113" t="s">
        <v>74</v>
      </c>
      <c r="BS113" t="s">
        <v>1117</v>
      </c>
      <c r="BT113" t="str">
        <f>HYPERLINK("https%3A%2F%2Fwww.webofscience.com%2Fwos%2Fwoscc%2Ffull-record%2FWOS:001396674900001","View Full Record in Web of Science")</f>
        <v>View Full Record in Web of Science</v>
      </c>
    </row>
    <row r="114" spans="1:72" x14ac:dyDescent="0.2">
      <c r="A114" t="s">
        <v>72</v>
      </c>
      <c r="B114" t="s">
        <v>1118</v>
      </c>
      <c r="C114" t="s">
        <v>74</v>
      </c>
      <c r="D114" t="s">
        <v>74</v>
      </c>
      <c r="E114" t="s">
        <v>74</v>
      </c>
      <c r="F114" t="s">
        <v>1119</v>
      </c>
      <c r="G114" t="s">
        <v>74</v>
      </c>
      <c r="H114" t="s">
        <v>74</v>
      </c>
      <c r="I114" t="s">
        <v>1120</v>
      </c>
      <c r="J114" t="s">
        <v>171</v>
      </c>
      <c r="K114" t="s">
        <v>74</v>
      </c>
      <c r="L114" t="s">
        <v>74</v>
      </c>
      <c r="M114" t="s">
        <v>74</v>
      </c>
      <c r="N114" t="s">
        <v>74</v>
      </c>
      <c r="O114" t="s">
        <v>74</v>
      </c>
      <c r="P114" t="s">
        <v>74</v>
      </c>
      <c r="Q114" t="s">
        <v>74</v>
      </c>
      <c r="R114" t="s">
        <v>74</v>
      </c>
      <c r="S114" t="s">
        <v>74</v>
      </c>
      <c r="T114" t="s">
        <v>74</v>
      </c>
      <c r="U114" t="s">
        <v>74</v>
      </c>
      <c r="V114" t="s">
        <v>1121</v>
      </c>
      <c r="W114" t="s">
        <v>74</v>
      </c>
      <c r="X114" t="s">
        <v>74</v>
      </c>
      <c r="Y114" t="s">
        <v>74</v>
      </c>
      <c r="Z114" t="s">
        <v>74</v>
      </c>
      <c r="AA114" t="s">
        <v>1122</v>
      </c>
      <c r="AB114" t="s">
        <v>1123</v>
      </c>
      <c r="AC114" t="s">
        <v>74</v>
      </c>
      <c r="AD114" t="s">
        <v>74</v>
      </c>
      <c r="AE114" t="s">
        <v>74</v>
      </c>
      <c r="AF114" t="s">
        <v>74</v>
      </c>
      <c r="AG114" t="s">
        <v>74</v>
      </c>
      <c r="AH114" t="s">
        <v>74</v>
      </c>
      <c r="AI114" t="s">
        <v>74</v>
      </c>
      <c r="AJ114" t="s">
        <v>74</v>
      </c>
      <c r="AK114" t="s">
        <v>74</v>
      </c>
      <c r="AL114" t="s">
        <v>74</v>
      </c>
      <c r="AM114" t="s">
        <v>74</v>
      </c>
      <c r="AN114" t="s">
        <v>74</v>
      </c>
      <c r="AO114" t="s">
        <v>173</v>
      </c>
      <c r="AP114" t="s">
        <v>174</v>
      </c>
      <c r="AQ114" t="s">
        <v>74</v>
      </c>
      <c r="AR114" t="s">
        <v>74</v>
      </c>
      <c r="AS114" t="s">
        <v>74</v>
      </c>
      <c r="AT114" t="s">
        <v>798</v>
      </c>
      <c r="AU114">
        <v>2025</v>
      </c>
      <c r="AV114">
        <v>684</v>
      </c>
      <c r="AW114" t="s">
        <v>74</v>
      </c>
      <c r="AX114">
        <v>1</v>
      </c>
      <c r="AY114" t="s">
        <v>74</v>
      </c>
      <c r="AZ114" t="s">
        <v>74</v>
      </c>
      <c r="BA114" t="s">
        <v>74</v>
      </c>
      <c r="BB114">
        <v>377</v>
      </c>
      <c r="BC114">
        <v>387</v>
      </c>
      <c r="BD114" t="s">
        <v>74</v>
      </c>
      <c r="BE114" t="s">
        <v>1124</v>
      </c>
      <c r="BF114" t="str">
        <f>HYPERLINK("http://dx.doi.org/10.1016/j.jcis.2024.12.229","http://dx.doi.org/10.1016/j.jcis.2024.12.229")</f>
        <v>http://dx.doi.org/10.1016/j.jcis.2024.12.229</v>
      </c>
      <c r="BG114" t="s">
        <v>74</v>
      </c>
      <c r="BH114" t="s">
        <v>1075</v>
      </c>
      <c r="BI114" t="s">
        <v>74</v>
      </c>
      <c r="BJ114" t="s">
        <v>74</v>
      </c>
      <c r="BK114" t="s">
        <v>74</v>
      </c>
      <c r="BL114" t="s">
        <v>74</v>
      </c>
      <c r="BM114" t="s">
        <v>74</v>
      </c>
      <c r="BN114">
        <v>39799620</v>
      </c>
      <c r="BO114" t="s">
        <v>74</v>
      </c>
      <c r="BP114" t="s">
        <v>74</v>
      </c>
      <c r="BQ114" t="s">
        <v>74</v>
      </c>
      <c r="BR114" t="s">
        <v>74</v>
      </c>
      <c r="BS114" t="s">
        <v>1125</v>
      </c>
      <c r="BT114" t="str">
        <f>HYPERLINK("https%3A%2F%2Fwww.webofscience.com%2Fwos%2Fwoscc%2Ffull-record%2FWOS:001399789400001","View Full Record in Web of Science")</f>
        <v>View Full Record in Web of Science</v>
      </c>
    </row>
    <row r="115" spans="1:72" x14ac:dyDescent="0.2">
      <c r="A115" t="s">
        <v>72</v>
      </c>
      <c r="B115" t="s">
        <v>1126</v>
      </c>
      <c r="C115" t="s">
        <v>74</v>
      </c>
      <c r="D115" t="s">
        <v>74</v>
      </c>
      <c r="E115" t="s">
        <v>74</v>
      </c>
      <c r="F115" t="s">
        <v>1127</v>
      </c>
      <c r="G115" t="s">
        <v>74</v>
      </c>
      <c r="H115" t="s">
        <v>74</v>
      </c>
      <c r="I115" t="s">
        <v>1128</v>
      </c>
      <c r="J115" t="s">
        <v>1129</v>
      </c>
      <c r="K115" t="s">
        <v>74</v>
      </c>
      <c r="L115" t="s">
        <v>74</v>
      </c>
      <c r="M115" t="s">
        <v>74</v>
      </c>
      <c r="N115" t="s">
        <v>74</v>
      </c>
      <c r="O115" t="s">
        <v>74</v>
      </c>
      <c r="P115" t="s">
        <v>74</v>
      </c>
      <c r="Q115" t="s">
        <v>74</v>
      </c>
      <c r="R115" t="s">
        <v>74</v>
      </c>
      <c r="S115" t="s">
        <v>74</v>
      </c>
      <c r="T115" t="s">
        <v>74</v>
      </c>
      <c r="U115" t="s">
        <v>74</v>
      </c>
      <c r="V115" t="s">
        <v>1130</v>
      </c>
      <c r="W115" t="s">
        <v>74</v>
      </c>
      <c r="X115" t="s">
        <v>74</v>
      </c>
      <c r="Y115" t="s">
        <v>74</v>
      </c>
      <c r="Z115" t="s">
        <v>74</v>
      </c>
      <c r="AA115" t="s">
        <v>1131</v>
      </c>
      <c r="AB115" t="s">
        <v>1132</v>
      </c>
      <c r="AC115" t="s">
        <v>74</v>
      </c>
      <c r="AD115" t="s">
        <v>74</v>
      </c>
      <c r="AE115" t="s">
        <v>74</v>
      </c>
      <c r="AF115" t="s">
        <v>74</v>
      </c>
      <c r="AG115" t="s">
        <v>74</v>
      </c>
      <c r="AH115" t="s">
        <v>74</v>
      </c>
      <c r="AI115" t="s">
        <v>74</v>
      </c>
      <c r="AJ115" t="s">
        <v>74</v>
      </c>
      <c r="AK115" t="s">
        <v>74</v>
      </c>
      <c r="AL115" t="s">
        <v>74</v>
      </c>
      <c r="AM115" t="s">
        <v>74</v>
      </c>
      <c r="AN115" t="s">
        <v>74</v>
      </c>
      <c r="AO115" t="s">
        <v>74</v>
      </c>
      <c r="AP115" t="s">
        <v>1133</v>
      </c>
      <c r="AQ115" t="s">
        <v>74</v>
      </c>
      <c r="AR115" t="s">
        <v>74</v>
      </c>
      <c r="AS115" t="s">
        <v>74</v>
      </c>
      <c r="AT115" t="s">
        <v>545</v>
      </c>
      <c r="AU115">
        <v>2025</v>
      </c>
      <c r="AV115">
        <v>8</v>
      </c>
      <c r="AW115">
        <v>3</v>
      </c>
      <c r="AX115" t="s">
        <v>74</v>
      </c>
      <c r="AY115" t="s">
        <v>74</v>
      </c>
      <c r="AZ115" t="s">
        <v>74</v>
      </c>
      <c r="BA115" t="s">
        <v>74</v>
      </c>
      <c r="BB115" t="s">
        <v>74</v>
      </c>
      <c r="BC115" t="s">
        <v>74</v>
      </c>
      <c r="BD115" t="s">
        <v>74</v>
      </c>
      <c r="BE115" t="s">
        <v>1134</v>
      </c>
      <c r="BF115" t="str">
        <f>HYPERLINK("http://dx.doi.org/10.1002/eem2.12861","http://dx.doi.org/10.1002/eem2.12861")</f>
        <v>http://dx.doi.org/10.1002/eem2.12861</v>
      </c>
      <c r="BG115" t="s">
        <v>74</v>
      </c>
      <c r="BH115" t="s">
        <v>1075</v>
      </c>
      <c r="BI115" t="s">
        <v>74</v>
      </c>
      <c r="BJ115" t="s">
        <v>74</v>
      </c>
      <c r="BK115" t="s">
        <v>74</v>
      </c>
      <c r="BL115" t="s">
        <v>74</v>
      </c>
      <c r="BM115" t="s">
        <v>74</v>
      </c>
      <c r="BN115" t="s">
        <v>74</v>
      </c>
      <c r="BO115" t="s">
        <v>74</v>
      </c>
      <c r="BP115" t="s">
        <v>74</v>
      </c>
      <c r="BQ115" t="s">
        <v>74</v>
      </c>
      <c r="BR115" t="s">
        <v>74</v>
      </c>
      <c r="BS115" t="s">
        <v>1135</v>
      </c>
      <c r="BT115" t="str">
        <f>HYPERLINK("https%3A%2F%2Fwww.webofscience.com%2Fwos%2Fwoscc%2Ffull-record%2FWOS:001394016700001","View Full Record in Web of Science")</f>
        <v>View Full Record in Web of Science</v>
      </c>
    </row>
    <row r="116" spans="1:72" x14ac:dyDescent="0.2">
      <c r="A116" t="s">
        <v>72</v>
      </c>
      <c r="B116" t="s">
        <v>1136</v>
      </c>
      <c r="C116" t="s">
        <v>74</v>
      </c>
      <c r="D116" t="s">
        <v>74</v>
      </c>
      <c r="E116" t="s">
        <v>74</v>
      </c>
      <c r="F116" t="s">
        <v>1137</v>
      </c>
      <c r="G116" t="s">
        <v>74</v>
      </c>
      <c r="H116" t="s">
        <v>74</v>
      </c>
      <c r="I116" t="s">
        <v>1138</v>
      </c>
      <c r="J116" t="s">
        <v>1139</v>
      </c>
      <c r="K116" t="s">
        <v>74</v>
      </c>
      <c r="L116" t="s">
        <v>74</v>
      </c>
      <c r="M116" t="s">
        <v>74</v>
      </c>
      <c r="N116" t="s">
        <v>74</v>
      </c>
      <c r="O116" t="s">
        <v>74</v>
      </c>
      <c r="P116" t="s">
        <v>74</v>
      </c>
      <c r="Q116" t="s">
        <v>74</v>
      </c>
      <c r="R116" t="s">
        <v>74</v>
      </c>
      <c r="S116" t="s">
        <v>74</v>
      </c>
      <c r="T116" t="s">
        <v>74</v>
      </c>
      <c r="U116" t="s">
        <v>74</v>
      </c>
      <c r="V116" t="s">
        <v>1140</v>
      </c>
      <c r="W116" t="s">
        <v>74</v>
      </c>
      <c r="X116" t="s">
        <v>74</v>
      </c>
      <c r="Y116" t="s">
        <v>74</v>
      </c>
      <c r="Z116" t="s">
        <v>74</v>
      </c>
      <c r="AA116" t="s">
        <v>1141</v>
      </c>
      <c r="AB116" t="s">
        <v>1142</v>
      </c>
      <c r="AC116" t="s">
        <v>74</v>
      </c>
      <c r="AD116" t="s">
        <v>74</v>
      </c>
      <c r="AE116" t="s">
        <v>74</v>
      </c>
      <c r="AF116" t="s">
        <v>74</v>
      </c>
      <c r="AG116" t="s">
        <v>74</v>
      </c>
      <c r="AH116" t="s">
        <v>74</v>
      </c>
      <c r="AI116" t="s">
        <v>74</v>
      </c>
      <c r="AJ116" t="s">
        <v>74</v>
      </c>
      <c r="AK116" t="s">
        <v>74</v>
      </c>
      <c r="AL116" t="s">
        <v>74</v>
      </c>
      <c r="AM116" t="s">
        <v>74</v>
      </c>
      <c r="AN116" t="s">
        <v>74</v>
      </c>
      <c r="AO116" t="s">
        <v>1143</v>
      </c>
      <c r="AP116" t="s">
        <v>1144</v>
      </c>
      <c r="AQ116" t="s">
        <v>74</v>
      </c>
      <c r="AR116" t="s">
        <v>74</v>
      </c>
      <c r="AS116" t="s">
        <v>74</v>
      </c>
      <c r="AT116" t="s">
        <v>1145</v>
      </c>
      <c r="AU116">
        <v>2025</v>
      </c>
      <c r="AV116">
        <v>49</v>
      </c>
      <c r="AW116">
        <v>5</v>
      </c>
      <c r="AX116" t="s">
        <v>74</v>
      </c>
      <c r="AY116" t="s">
        <v>74</v>
      </c>
      <c r="AZ116" t="s">
        <v>74</v>
      </c>
      <c r="BA116" t="s">
        <v>74</v>
      </c>
      <c r="BB116">
        <v>1755</v>
      </c>
      <c r="BC116">
        <v>1762</v>
      </c>
      <c r="BD116" t="s">
        <v>74</v>
      </c>
      <c r="BE116" t="s">
        <v>1146</v>
      </c>
      <c r="BF116" t="str">
        <f>HYPERLINK("http://dx.doi.org/10.1039/d4nj04788e","http://dx.doi.org/10.1039/d4nj04788e")</f>
        <v>http://dx.doi.org/10.1039/d4nj04788e</v>
      </c>
      <c r="BG116" t="s">
        <v>74</v>
      </c>
      <c r="BH116" t="s">
        <v>1075</v>
      </c>
      <c r="BI116" t="s">
        <v>74</v>
      </c>
      <c r="BJ116" t="s">
        <v>74</v>
      </c>
      <c r="BK116" t="s">
        <v>74</v>
      </c>
      <c r="BL116" t="s">
        <v>74</v>
      </c>
      <c r="BM116" t="s">
        <v>74</v>
      </c>
      <c r="BN116" t="s">
        <v>74</v>
      </c>
      <c r="BO116" t="s">
        <v>74</v>
      </c>
      <c r="BP116" t="s">
        <v>74</v>
      </c>
      <c r="BQ116" t="s">
        <v>74</v>
      </c>
      <c r="BR116" t="s">
        <v>74</v>
      </c>
      <c r="BS116" t="s">
        <v>1147</v>
      </c>
      <c r="BT116" t="str">
        <f>HYPERLINK("https%3A%2F%2Fwww.webofscience.com%2Fwos%2Fwoscc%2Ffull-record%2FWOS:001393023200001","View Full Record in Web of Science")</f>
        <v>View Full Record in Web of Science</v>
      </c>
    </row>
    <row r="117" spans="1:72" x14ac:dyDescent="0.2">
      <c r="A117" t="s">
        <v>72</v>
      </c>
      <c r="B117" t="s">
        <v>1148</v>
      </c>
      <c r="C117" t="s">
        <v>74</v>
      </c>
      <c r="D117" t="s">
        <v>74</v>
      </c>
      <c r="E117" t="s">
        <v>74</v>
      </c>
      <c r="F117" t="s">
        <v>1149</v>
      </c>
      <c r="G117" t="s">
        <v>74</v>
      </c>
      <c r="H117" t="s">
        <v>74</v>
      </c>
      <c r="I117" t="s">
        <v>1150</v>
      </c>
      <c r="J117" t="s">
        <v>161</v>
      </c>
      <c r="K117" t="s">
        <v>74</v>
      </c>
      <c r="L117" t="s">
        <v>74</v>
      </c>
      <c r="M117" t="s">
        <v>74</v>
      </c>
      <c r="N117" t="s">
        <v>74</v>
      </c>
      <c r="O117" t="s">
        <v>74</v>
      </c>
      <c r="P117" t="s">
        <v>74</v>
      </c>
      <c r="Q117" t="s">
        <v>74</v>
      </c>
      <c r="R117" t="s">
        <v>74</v>
      </c>
      <c r="S117" t="s">
        <v>74</v>
      </c>
      <c r="T117" t="s">
        <v>74</v>
      </c>
      <c r="U117" t="s">
        <v>74</v>
      </c>
      <c r="V117" t="s">
        <v>1151</v>
      </c>
      <c r="W117" t="s">
        <v>74</v>
      </c>
      <c r="X117" t="s">
        <v>74</v>
      </c>
      <c r="Y117" t="s">
        <v>74</v>
      </c>
      <c r="Z117" t="s">
        <v>74</v>
      </c>
      <c r="AA117" t="s">
        <v>1152</v>
      </c>
      <c r="AB117" t="s">
        <v>1153</v>
      </c>
      <c r="AC117" t="s">
        <v>74</v>
      </c>
      <c r="AD117" t="s">
        <v>74</v>
      </c>
      <c r="AE117" t="s">
        <v>74</v>
      </c>
      <c r="AF117" t="s">
        <v>74</v>
      </c>
      <c r="AG117" t="s">
        <v>74</v>
      </c>
      <c r="AH117" t="s">
        <v>74</v>
      </c>
      <c r="AI117" t="s">
        <v>74</v>
      </c>
      <c r="AJ117" t="s">
        <v>74</v>
      </c>
      <c r="AK117" t="s">
        <v>74</v>
      </c>
      <c r="AL117" t="s">
        <v>74</v>
      </c>
      <c r="AM117" t="s">
        <v>74</v>
      </c>
      <c r="AN117" t="s">
        <v>74</v>
      </c>
      <c r="AO117" t="s">
        <v>163</v>
      </c>
      <c r="AP117" t="s">
        <v>164</v>
      </c>
      <c r="AQ117" t="s">
        <v>74</v>
      </c>
      <c r="AR117" t="s">
        <v>74</v>
      </c>
      <c r="AS117" t="s">
        <v>74</v>
      </c>
      <c r="AT117" t="s">
        <v>1154</v>
      </c>
      <c r="AU117">
        <v>2025</v>
      </c>
      <c r="AV117">
        <v>505</v>
      </c>
      <c r="AW117" t="s">
        <v>74</v>
      </c>
      <c r="AX117" t="s">
        <v>74</v>
      </c>
      <c r="AY117" t="s">
        <v>74</v>
      </c>
      <c r="AZ117" t="s">
        <v>74</v>
      </c>
      <c r="BA117" t="s">
        <v>74</v>
      </c>
      <c r="BB117" t="s">
        <v>74</v>
      </c>
      <c r="BC117" t="s">
        <v>74</v>
      </c>
      <c r="BD117">
        <v>159156</v>
      </c>
      <c r="BE117" t="s">
        <v>1155</v>
      </c>
      <c r="BF117" t="str">
        <f>HYPERLINK("http://dx.doi.org/10.1016/j.cej.2024.159156","http://dx.doi.org/10.1016/j.cej.2024.159156")</f>
        <v>http://dx.doi.org/10.1016/j.cej.2024.159156</v>
      </c>
      <c r="BG117" t="s">
        <v>74</v>
      </c>
      <c r="BH117" t="s">
        <v>1075</v>
      </c>
      <c r="BI117" t="s">
        <v>74</v>
      </c>
      <c r="BJ117" t="s">
        <v>74</v>
      </c>
      <c r="BK117" t="s">
        <v>74</v>
      </c>
      <c r="BL117" t="s">
        <v>74</v>
      </c>
      <c r="BM117" t="s">
        <v>74</v>
      </c>
      <c r="BN117" t="s">
        <v>74</v>
      </c>
      <c r="BO117" t="s">
        <v>74</v>
      </c>
      <c r="BP117" t="s">
        <v>74</v>
      </c>
      <c r="BQ117" t="s">
        <v>74</v>
      </c>
      <c r="BR117" t="s">
        <v>74</v>
      </c>
      <c r="BS117" t="s">
        <v>1156</v>
      </c>
      <c r="BT117" t="str">
        <f>HYPERLINK("https%3A%2F%2Fwww.webofscience.com%2Fwos%2Fwoscc%2Ffull-record%2FWOS:001410423700001","View Full Record in Web of Science")</f>
        <v>View Full Record in Web of Science</v>
      </c>
    </row>
    <row r="118" spans="1:72" x14ac:dyDescent="0.2">
      <c r="A118" t="s">
        <v>72</v>
      </c>
      <c r="B118" t="s">
        <v>1157</v>
      </c>
      <c r="C118" t="s">
        <v>74</v>
      </c>
      <c r="D118" t="s">
        <v>74</v>
      </c>
      <c r="E118" t="s">
        <v>74</v>
      </c>
      <c r="F118" t="s">
        <v>1158</v>
      </c>
      <c r="G118" t="s">
        <v>74</v>
      </c>
      <c r="H118" t="s">
        <v>74</v>
      </c>
      <c r="I118" t="s">
        <v>1159</v>
      </c>
      <c r="J118" t="s">
        <v>1160</v>
      </c>
      <c r="K118" t="s">
        <v>74</v>
      </c>
      <c r="L118" t="s">
        <v>74</v>
      </c>
      <c r="M118" t="s">
        <v>74</v>
      </c>
      <c r="N118" t="s">
        <v>74</v>
      </c>
      <c r="O118" t="s">
        <v>74</v>
      </c>
      <c r="P118" t="s">
        <v>74</v>
      </c>
      <c r="Q118" t="s">
        <v>74</v>
      </c>
      <c r="R118" t="s">
        <v>74</v>
      </c>
      <c r="S118" t="s">
        <v>74</v>
      </c>
      <c r="T118" t="s">
        <v>74</v>
      </c>
      <c r="U118" t="s">
        <v>74</v>
      </c>
      <c r="V118" t="s">
        <v>1161</v>
      </c>
      <c r="W118" t="s">
        <v>74</v>
      </c>
      <c r="X118" t="s">
        <v>74</v>
      </c>
      <c r="Y118" t="s">
        <v>74</v>
      </c>
      <c r="Z118" t="s">
        <v>74</v>
      </c>
      <c r="AA118" t="s">
        <v>74</v>
      </c>
      <c r="AB118" t="s">
        <v>1162</v>
      </c>
      <c r="AC118" t="s">
        <v>74</v>
      </c>
      <c r="AD118" t="s">
        <v>74</v>
      </c>
      <c r="AE118" t="s">
        <v>74</v>
      </c>
      <c r="AF118" t="s">
        <v>74</v>
      </c>
      <c r="AG118" t="s">
        <v>74</v>
      </c>
      <c r="AH118" t="s">
        <v>74</v>
      </c>
      <c r="AI118" t="s">
        <v>74</v>
      </c>
      <c r="AJ118" t="s">
        <v>74</v>
      </c>
      <c r="AK118" t="s">
        <v>74</v>
      </c>
      <c r="AL118" t="s">
        <v>74</v>
      </c>
      <c r="AM118" t="s">
        <v>74</v>
      </c>
      <c r="AN118" t="s">
        <v>74</v>
      </c>
      <c r="AO118" t="s">
        <v>1163</v>
      </c>
      <c r="AP118" t="s">
        <v>1164</v>
      </c>
      <c r="AQ118" t="s">
        <v>74</v>
      </c>
      <c r="AR118" t="s">
        <v>74</v>
      </c>
      <c r="AS118" t="s">
        <v>74</v>
      </c>
      <c r="AT118" t="s">
        <v>1165</v>
      </c>
      <c r="AU118">
        <v>2025</v>
      </c>
      <c r="AV118">
        <v>64</v>
      </c>
      <c r="AW118">
        <v>1</v>
      </c>
      <c r="AX118" t="s">
        <v>74</v>
      </c>
      <c r="AY118" t="s">
        <v>74</v>
      </c>
      <c r="AZ118" t="s">
        <v>74</v>
      </c>
      <c r="BA118" t="s">
        <v>74</v>
      </c>
      <c r="BB118" t="s">
        <v>74</v>
      </c>
      <c r="BC118" t="s">
        <v>74</v>
      </c>
      <c r="BD118">
        <v>16001</v>
      </c>
      <c r="BE118" t="s">
        <v>1166</v>
      </c>
      <c r="BF118" t="str">
        <f>HYPERLINK("http://dx.doi.org/10.35848/1347-4065/ad9e5e","http://dx.doi.org/10.35848/1347-4065/ad9e5e")</f>
        <v>http://dx.doi.org/10.35848/1347-4065/ad9e5e</v>
      </c>
      <c r="BG118" t="s">
        <v>74</v>
      </c>
      <c r="BH118" t="s">
        <v>74</v>
      </c>
      <c r="BI118" t="s">
        <v>74</v>
      </c>
      <c r="BJ118" t="s">
        <v>74</v>
      </c>
      <c r="BK118" t="s">
        <v>74</v>
      </c>
      <c r="BL118" t="s">
        <v>74</v>
      </c>
      <c r="BM118" t="s">
        <v>74</v>
      </c>
      <c r="BN118" t="s">
        <v>74</v>
      </c>
      <c r="BO118" t="s">
        <v>74</v>
      </c>
      <c r="BP118" t="s">
        <v>74</v>
      </c>
      <c r="BQ118" t="s">
        <v>74</v>
      </c>
      <c r="BR118" t="s">
        <v>74</v>
      </c>
      <c r="BS118" t="s">
        <v>1167</v>
      </c>
      <c r="BT118" t="str">
        <f>HYPERLINK("https%3A%2F%2Fwww.webofscience.com%2Fwos%2Fwoscc%2Ffull-record%2FWOS:001397624100001","View Full Record in Web of Science")</f>
        <v>View Full Record in Web of Science</v>
      </c>
    </row>
    <row r="119" spans="1:72" x14ac:dyDescent="0.2">
      <c r="A119" t="s">
        <v>72</v>
      </c>
      <c r="B119" t="s">
        <v>1168</v>
      </c>
      <c r="C119" t="s">
        <v>74</v>
      </c>
      <c r="D119" t="s">
        <v>74</v>
      </c>
      <c r="E119" t="s">
        <v>74</v>
      </c>
      <c r="F119" t="s">
        <v>1169</v>
      </c>
      <c r="G119" t="s">
        <v>74</v>
      </c>
      <c r="H119" t="s">
        <v>74</v>
      </c>
      <c r="I119" t="s">
        <v>1170</v>
      </c>
      <c r="J119" t="s">
        <v>1171</v>
      </c>
      <c r="K119" t="s">
        <v>74</v>
      </c>
      <c r="L119" t="s">
        <v>74</v>
      </c>
      <c r="M119" t="s">
        <v>74</v>
      </c>
      <c r="N119" t="s">
        <v>74</v>
      </c>
      <c r="O119" t="s">
        <v>74</v>
      </c>
      <c r="P119" t="s">
        <v>74</v>
      </c>
      <c r="Q119" t="s">
        <v>74</v>
      </c>
      <c r="R119" t="s">
        <v>74</v>
      </c>
      <c r="S119" t="s">
        <v>74</v>
      </c>
      <c r="T119" t="s">
        <v>74</v>
      </c>
      <c r="U119" t="s">
        <v>74</v>
      </c>
      <c r="V119" t="s">
        <v>1172</v>
      </c>
      <c r="W119" t="s">
        <v>74</v>
      </c>
      <c r="X119" t="s">
        <v>74</v>
      </c>
      <c r="Y119" t="s">
        <v>74</v>
      </c>
      <c r="Z119" t="s">
        <v>74</v>
      </c>
      <c r="AA119" t="s">
        <v>1173</v>
      </c>
      <c r="AB119" t="s">
        <v>74</v>
      </c>
      <c r="AC119" t="s">
        <v>74</v>
      </c>
      <c r="AD119" t="s">
        <v>74</v>
      </c>
      <c r="AE119" t="s">
        <v>74</v>
      </c>
      <c r="AF119" t="s">
        <v>74</v>
      </c>
      <c r="AG119" t="s">
        <v>74</v>
      </c>
      <c r="AH119" t="s">
        <v>74</v>
      </c>
      <c r="AI119" t="s">
        <v>74</v>
      </c>
      <c r="AJ119" t="s">
        <v>74</v>
      </c>
      <c r="AK119" t="s">
        <v>74</v>
      </c>
      <c r="AL119" t="s">
        <v>74</v>
      </c>
      <c r="AM119" t="s">
        <v>74</v>
      </c>
      <c r="AN119" t="s">
        <v>74</v>
      </c>
      <c r="AO119" t="s">
        <v>1174</v>
      </c>
      <c r="AP119" t="s">
        <v>74</v>
      </c>
      <c r="AQ119" t="s">
        <v>74</v>
      </c>
      <c r="AR119" t="s">
        <v>74</v>
      </c>
      <c r="AS119" t="s">
        <v>74</v>
      </c>
      <c r="AT119" t="s">
        <v>1175</v>
      </c>
      <c r="AU119">
        <v>2024</v>
      </c>
      <c r="AV119">
        <v>10</v>
      </c>
      <c r="AW119">
        <v>1</v>
      </c>
      <c r="AX119" t="s">
        <v>74</v>
      </c>
      <c r="AY119" t="s">
        <v>74</v>
      </c>
      <c r="AZ119" t="s">
        <v>74</v>
      </c>
      <c r="BA119" t="s">
        <v>74</v>
      </c>
      <c r="BB119">
        <v>127</v>
      </c>
      <c r="BC119">
        <v>133</v>
      </c>
      <c r="BD119" t="s">
        <v>74</v>
      </c>
      <c r="BE119" t="s">
        <v>1176</v>
      </c>
      <c r="BF119" t="str">
        <f>HYPERLINK("http://dx.doi.org/10.1021/acsomega.4c01051","http://dx.doi.org/10.1021/acsomega.4c01051")</f>
        <v>http://dx.doi.org/10.1021/acsomega.4c01051</v>
      </c>
      <c r="BG119" t="s">
        <v>74</v>
      </c>
      <c r="BH119" t="s">
        <v>1177</v>
      </c>
      <c r="BI119" t="s">
        <v>74</v>
      </c>
      <c r="BJ119" t="s">
        <v>74</v>
      </c>
      <c r="BK119" t="s">
        <v>74</v>
      </c>
      <c r="BL119" t="s">
        <v>74</v>
      </c>
      <c r="BM119" t="s">
        <v>74</v>
      </c>
      <c r="BN119">
        <v>39829467</v>
      </c>
      <c r="BO119" t="s">
        <v>74</v>
      </c>
      <c r="BP119" t="s">
        <v>74</v>
      </c>
      <c r="BQ119" t="s">
        <v>74</v>
      </c>
      <c r="BR119" t="s">
        <v>74</v>
      </c>
      <c r="BS119" t="s">
        <v>1178</v>
      </c>
      <c r="BT119" t="str">
        <f>HYPERLINK("https%3A%2F%2Fwww.webofscience.com%2Fwos%2Fwoscc%2Ffull-record%2FWOS:001387052600001","View Full Record in Web of Science")</f>
        <v>View Full Record in Web of Science</v>
      </c>
    </row>
    <row r="120" spans="1:72" x14ac:dyDescent="0.2">
      <c r="A120" t="s">
        <v>72</v>
      </c>
      <c r="B120" t="s">
        <v>1179</v>
      </c>
      <c r="C120" t="s">
        <v>74</v>
      </c>
      <c r="D120" t="s">
        <v>74</v>
      </c>
      <c r="E120" t="s">
        <v>74</v>
      </c>
      <c r="F120" t="s">
        <v>1180</v>
      </c>
      <c r="G120" t="s">
        <v>74</v>
      </c>
      <c r="H120" t="s">
        <v>74</v>
      </c>
      <c r="I120" t="s">
        <v>1181</v>
      </c>
      <c r="J120" t="s">
        <v>140</v>
      </c>
      <c r="K120" t="s">
        <v>74</v>
      </c>
      <c r="L120" t="s">
        <v>74</v>
      </c>
      <c r="M120" t="s">
        <v>74</v>
      </c>
      <c r="N120" t="s">
        <v>74</v>
      </c>
      <c r="O120" t="s">
        <v>74</v>
      </c>
      <c r="P120" t="s">
        <v>74</v>
      </c>
      <c r="Q120" t="s">
        <v>74</v>
      </c>
      <c r="R120" t="s">
        <v>74</v>
      </c>
      <c r="S120" t="s">
        <v>74</v>
      </c>
      <c r="T120" t="s">
        <v>74</v>
      </c>
      <c r="U120" t="s">
        <v>74</v>
      </c>
      <c r="V120" t="s">
        <v>1182</v>
      </c>
      <c r="W120" t="s">
        <v>74</v>
      </c>
      <c r="X120" t="s">
        <v>74</v>
      </c>
      <c r="Y120" t="s">
        <v>74</v>
      </c>
      <c r="Z120" t="s">
        <v>74</v>
      </c>
      <c r="AA120" t="s">
        <v>1183</v>
      </c>
      <c r="AB120" t="s">
        <v>74</v>
      </c>
      <c r="AC120" t="s">
        <v>74</v>
      </c>
      <c r="AD120" t="s">
        <v>74</v>
      </c>
      <c r="AE120" t="s">
        <v>74</v>
      </c>
      <c r="AF120" t="s">
        <v>74</v>
      </c>
      <c r="AG120" t="s">
        <v>74</v>
      </c>
      <c r="AH120" t="s">
        <v>74</v>
      </c>
      <c r="AI120" t="s">
        <v>74</v>
      </c>
      <c r="AJ120" t="s">
        <v>74</v>
      </c>
      <c r="AK120" t="s">
        <v>74</v>
      </c>
      <c r="AL120" t="s">
        <v>74</v>
      </c>
      <c r="AM120" t="s">
        <v>74</v>
      </c>
      <c r="AN120" t="s">
        <v>74</v>
      </c>
      <c r="AO120" t="s">
        <v>142</v>
      </c>
      <c r="AP120" t="s">
        <v>143</v>
      </c>
      <c r="AQ120" t="s">
        <v>74</v>
      </c>
      <c r="AR120" t="s">
        <v>74</v>
      </c>
      <c r="AS120" t="s">
        <v>74</v>
      </c>
      <c r="AT120" t="s">
        <v>1154</v>
      </c>
      <c r="AU120">
        <v>2025</v>
      </c>
      <c r="AV120">
        <v>108</v>
      </c>
      <c r="AW120" t="s">
        <v>74</v>
      </c>
      <c r="AX120" t="s">
        <v>74</v>
      </c>
      <c r="AY120" t="s">
        <v>74</v>
      </c>
      <c r="AZ120" t="s">
        <v>74</v>
      </c>
      <c r="BA120" t="s">
        <v>74</v>
      </c>
      <c r="BB120" t="s">
        <v>74</v>
      </c>
      <c r="BC120" t="s">
        <v>74</v>
      </c>
      <c r="BD120">
        <v>115129</v>
      </c>
      <c r="BE120" t="s">
        <v>1184</v>
      </c>
      <c r="BF120" t="str">
        <f>HYPERLINK("http://dx.doi.org/10.1016/j.est.2024.115129","http://dx.doi.org/10.1016/j.est.2024.115129")</f>
        <v>http://dx.doi.org/10.1016/j.est.2024.115129</v>
      </c>
      <c r="BG120" t="s">
        <v>74</v>
      </c>
      <c r="BH120" t="s">
        <v>1177</v>
      </c>
      <c r="BI120" t="s">
        <v>74</v>
      </c>
      <c r="BJ120" t="s">
        <v>74</v>
      </c>
      <c r="BK120" t="s">
        <v>74</v>
      </c>
      <c r="BL120" t="s">
        <v>74</v>
      </c>
      <c r="BM120" t="s">
        <v>74</v>
      </c>
      <c r="BN120" t="s">
        <v>74</v>
      </c>
      <c r="BO120" t="s">
        <v>74</v>
      </c>
      <c r="BP120" t="s">
        <v>74</v>
      </c>
      <c r="BQ120" t="s">
        <v>74</v>
      </c>
      <c r="BR120" t="s">
        <v>74</v>
      </c>
      <c r="BS120" t="s">
        <v>1185</v>
      </c>
      <c r="BT120" t="str">
        <f>HYPERLINK("https%3A%2F%2Fwww.webofscience.com%2Fwos%2Fwoscc%2Ffull-record%2FWOS:001402494400001","View Full Record in Web of Science")</f>
        <v>View Full Record in Web of Science</v>
      </c>
    </row>
    <row r="121" spans="1:72" x14ac:dyDescent="0.2">
      <c r="A121" t="s">
        <v>72</v>
      </c>
      <c r="B121" t="s">
        <v>1186</v>
      </c>
      <c r="C121" t="s">
        <v>74</v>
      </c>
      <c r="D121" t="s">
        <v>74</v>
      </c>
      <c r="E121" t="s">
        <v>74</v>
      </c>
      <c r="F121" t="s">
        <v>1187</v>
      </c>
      <c r="G121" t="s">
        <v>74</v>
      </c>
      <c r="H121" t="s">
        <v>74</v>
      </c>
      <c r="I121" t="s">
        <v>1188</v>
      </c>
      <c r="J121" t="s">
        <v>1189</v>
      </c>
      <c r="K121" t="s">
        <v>74</v>
      </c>
      <c r="L121" t="s">
        <v>74</v>
      </c>
      <c r="M121" t="s">
        <v>74</v>
      </c>
      <c r="N121" t="s">
        <v>74</v>
      </c>
      <c r="O121" t="s">
        <v>74</v>
      </c>
      <c r="P121" t="s">
        <v>74</v>
      </c>
      <c r="Q121" t="s">
        <v>74</v>
      </c>
      <c r="R121" t="s">
        <v>74</v>
      </c>
      <c r="S121" t="s">
        <v>74</v>
      </c>
      <c r="T121" t="s">
        <v>74</v>
      </c>
      <c r="U121" t="s">
        <v>74</v>
      </c>
      <c r="V121" t="s">
        <v>1190</v>
      </c>
      <c r="W121" t="s">
        <v>74</v>
      </c>
      <c r="X121" t="s">
        <v>74</v>
      </c>
      <c r="Y121" t="s">
        <v>74</v>
      </c>
      <c r="Z121" t="s">
        <v>74</v>
      </c>
      <c r="AA121" t="s">
        <v>1191</v>
      </c>
      <c r="AB121" t="s">
        <v>74</v>
      </c>
      <c r="AC121" t="s">
        <v>74</v>
      </c>
      <c r="AD121" t="s">
        <v>74</v>
      </c>
      <c r="AE121" t="s">
        <v>74</v>
      </c>
      <c r="AF121" t="s">
        <v>74</v>
      </c>
      <c r="AG121" t="s">
        <v>74</v>
      </c>
      <c r="AH121" t="s">
        <v>74</v>
      </c>
      <c r="AI121" t="s">
        <v>74</v>
      </c>
      <c r="AJ121" t="s">
        <v>74</v>
      </c>
      <c r="AK121" t="s">
        <v>74</v>
      </c>
      <c r="AL121" t="s">
        <v>74</v>
      </c>
      <c r="AM121" t="s">
        <v>74</v>
      </c>
      <c r="AN121" t="s">
        <v>74</v>
      </c>
      <c r="AO121" t="s">
        <v>1192</v>
      </c>
      <c r="AP121" t="s">
        <v>1193</v>
      </c>
      <c r="AQ121" t="s">
        <v>74</v>
      </c>
      <c r="AR121" t="s">
        <v>74</v>
      </c>
      <c r="AS121" t="s">
        <v>74</v>
      </c>
      <c r="AT121" t="s">
        <v>1194</v>
      </c>
      <c r="AU121">
        <v>2025</v>
      </c>
      <c r="AV121">
        <v>43</v>
      </c>
      <c r="AW121">
        <v>1</v>
      </c>
      <c r="AX121" t="s">
        <v>74</v>
      </c>
      <c r="AY121" t="s">
        <v>74</v>
      </c>
      <c r="AZ121" t="s">
        <v>74</v>
      </c>
      <c r="BA121" t="s">
        <v>74</v>
      </c>
      <c r="BB121">
        <v>177</v>
      </c>
      <c r="BC121">
        <v>187</v>
      </c>
      <c r="BD121" t="s">
        <v>74</v>
      </c>
      <c r="BE121" t="s">
        <v>1195</v>
      </c>
      <c r="BF121" t="str">
        <f>HYPERLINK("http://dx.doi.org/10.1007/s10118-025-3260-7","http://dx.doi.org/10.1007/s10118-025-3260-7")</f>
        <v>http://dx.doi.org/10.1007/s10118-025-3260-7</v>
      </c>
      <c r="BG121" t="s">
        <v>74</v>
      </c>
      <c r="BH121" t="s">
        <v>1177</v>
      </c>
      <c r="BI121" t="s">
        <v>74</v>
      </c>
      <c r="BJ121" t="s">
        <v>74</v>
      </c>
      <c r="BK121" t="s">
        <v>74</v>
      </c>
      <c r="BL121" t="s">
        <v>74</v>
      </c>
      <c r="BM121" t="s">
        <v>74</v>
      </c>
      <c r="BN121" t="s">
        <v>74</v>
      </c>
      <c r="BO121" t="s">
        <v>74</v>
      </c>
      <c r="BP121" t="s">
        <v>74</v>
      </c>
      <c r="BQ121" t="s">
        <v>74</v>
      </c>
      <c r="BR121" t="s">
        <v>74</v>
      </c>
      <c r="BS121" t="s">
        <v>1196</v>
      </c>
      <c r="BT121" t="str">
        <f>HYPERLINK("https%3A%2F%2Fwww.webofscience.com%2Fwos%2Fwoscc%2Ffull-record%2FWOS:001386529500001","View Full Record in Web of Science")</f>
        <v>View Full Record in Web of Science</v>
      </c>
    </row>
    <row r="122" spans="1:72" x14ac:dyDescent="0.2">
      <c r="A122" t="s">
        <v>72</v>
      </c>
      <c r="B122" t="s">
        <v>1197</v>
      </c>
      <c r="C122" t="s">
        <v>74</v>
      </c>
      <c r="D122" t="s">
        <v>74</v>
      </c>
      <c r="E122" t="s">
        <v>74</v>
      </c>
      <c r="F122" t="s">
        <v>1198</v>
      </c>
      <c r="G122" t="s">
        <v>74</v>
      </c>
      <c r="H122" t="s">
        <v>74</v>
      </c>
      <c r="I122" t="s">
        <v>1199</v>
      </c>
      <c r="J122" t="s">
        <v>374</v>
      </c>
      <c r="K122" t="s">
        <v>74</v>
      </c>
      <c r="L122" t="s">
        <v>74</v>
      </c>
      <c r="M122" t="s">
        <v>74</v>
      </c>
      <c r="N122" t="s">
        <v>74</v>
      </c>
      <c r="O122" t="s">
        <v>74</v>
      </c>
      <c r="P122" t="s">
        <v>74</v>
      </c>
      <c r="Q122" t="s">
        <v>74</v>
      </c>
      <c r="R122" t="s">
        <v>74</v>
      </c>
      <c r="S122" t="s">
        <v>74</v>
      </c>
      <c r="T122" t="s">
        <v>74</v>
      </c>
      <c r="U122" t="s">
        <v>74</v>
      </c>
      <c r="V122" t="s">
        <v>1200</v>
      </c>
      <c r="W122" t="s">
        <v>74</v>
      </c>
      <c r="X122" t="s">
        <v>74</v>
      </c>
      <c r="Y122" t="s">
        <v>74</v>
      </c>
      <c r="Z122" t="s">
        <v>74</v>
      </c>
      <c r="AA122" t="s">
        <v>1201</v>
      </c>
      <c r="AB122" t="s">
        <v>1202</v>
      </c>
      <c r="AC122" t="s">
        <v>74</v>
      </c>
      <c r="AD122" t="s">
        <v>74</v>
      </c>
      <c r="AE122" t="s">
        <v>74</v>
      </c>
      <c r="AF122" t="s">
        <v>74</v>
      </c>
      <c r="AG122" t="s">
        <v>74</v>
      </c>
      <c r="AH122" t="s">
        <v>74</v>
      </c>
      <c r="AI122" t="s">
        <v>74</v>
      </c>
      <c r="AJ122" t="s">
        <v>74</v>
      </c>
      <c r="AK122" t="s">
        <v>74</v>
      </c>
      <c r="AL122" t="s">
        <v>74</v>
      </c>
      <c r="AM122" t="s">
        <v>74</v>
      </c>
      <c r="AN122" t="s">
        <v>74</v>
      </c>
      <c r="AO122" t="s">
        <v>377</v>
      </c>
      <c r="AP122" t="s">
        <v>74</v>
      </c>
      <c r="AQ122" t="s">
        <v>74</v>
      </c>
      <c r="AR122" t="s">
        <v>74</v>
      </c>
      <c r="AS122" t="s">
        <v>74</v>
      </c>
      <c r="AT122" t="s">
        <v>1203</v>
      </c>
      <c r="AU122">
        <v>2024</v>
      </c>
      <c r="AV122">
        <v>10</v>
      </c>
      <c r="AW122">
        <v>1</v>
      </c>
      <c r="AX122" t="s">
        <v>74</v>
      </c>
      <c r="AY122" t="s">
        <v>74</v>
      </c>
      <c r="AZ122" t="s">
        <v>74</v>
      </c>
      <c r="BA122" t="s">
        <v>74</v>
      </c>
      <c r="BB122">
        <v>439</v>
      </c>
      <c r="BC122">
        <v>449</v>
      </c>
      <c r="BD122" t="s">
        <v>74</v>
      </c>
      <c r="BE122" t="s">
        <v>1204</v>
      </c>
      <c r="BF122" t="str">
        <f>HYPERLINK("http://dx.doi.org/10.1021/acsenergylett.4c03066","http://dx.doi.org/10.1021/acsenergylett.4c03066")</f>
        <v>http://dx.doi.org/10.1021/acsenergylett.4c03066</v>
      </c>
      <c r="BG122" t="s">
        <v>74</v>
      </c>
      <c r="BH122" t="s">
        <v>1177</v>
      </c>
      <c r="BI122" t="s">
        <v>74</v>
      </c>
      <c r="BJ122" t="s">
        <v>74</v>
      </c>
      <c r="BK122" t="s">
        <v>74</v>
      </c>
      <c r="BL122" t="s">
        <v>74</v>
      </c>
      <c r="BM122" t="s">
        <v>74</v>
      </c>
      <c r="BN122" t="s">
        <v>74</v>
      </c>
      <c r="BO122" t="s">
        <v>74</v>
      </c>
      <c r="BP122" t="s">
        <v>74</v>
      </c>
      <c r="BQ122" t="s">
        <v>74</v>
      </c>
      <c r="BR122" t="s">
        <v>74</v>
      </c>
      <c r="BS122" t="s">
        <v>1205</v>
      </c>
      <c r="BT122" t="str">
        <f>HYPERLINK("https%3A%2F%2Fwww.webofscience.com%2Fwos%2Fwoscc%2Ffull-record%2FWOS:001382245400001","View Full Record in Web of Science")</f>
        <v>View Full Record in Web of Science</v>
      </c>
    </row>
    <row r="123" spans="1:72" x14ac:dyDescent="0.2">
      <c r="A123" t="s">
        <v>72</v>
      </c>
      <c r="B123" t="s">
        <v>1206</v>
      </c>
      <c r="C123" t="s">
        <v>74</v>
      </c>
      <c r="D123" t="s">
        <v>74</v>
      </c>
      <c r="E123" t="s">
        <v>74</v>
      </c>
      <c r="F123" t="s">
        <v>1207</v>
      </c>
      <c r="G123" t="s">
        <v>74</v>
      </c>
      <c r="H123" t="s">
        <v>74</v>
      </c>
      <c r="I123" t="s">
        <v>1208</v>
      </c>
      <c r="J123" t="s">
        <v>1209</v>
      </c>
      <c r="K123" t="s">
        <v>74</v>
      </c>
      <c r="L123" t="s">
        <v>74</v>
      </c>
      <c r="M123" t="s">
        <v>74</v>
      </c>
      <c r="N123" t="s">
        <v>74</v>
      </c>
      <c r="O123" t="s">
        <v>74</v>
      </c>
      <c r="P123" t="s">
        <v>74</v>
      </c>
      <c r="Q123" t="s">
        <v>74</v>
      </c>
      <c r="R123" t="s">
        <v>74</v>
      </c>
      <c r="S123" t="s">
        <v>74</v>
      </c>
      <c r="T123" t="s">
        <v>74</v>
      </c>
      <c r="U123" t="s">
        <v>74</v>
      </c>
      <c r="V123" t="s">
        <v>1210</v>
      </c>
      <c r="W123" t="s">
        <v>74</v>
      </c>
      <c r="X123" t="s">
        <v>74</v>
      </c>
      <c r="Y123" t="s">
        <v>74</v>
      </c>
      <c r="Z123" t="s">
        <v>74</v>
      </c>
      <c r="AA123" t="s">
        <v>74</v>
      </c>
      <c r="AB123" t="s">
        <v>74</v>
      </c>
      <c r="AC123" t="s">
        <v>74</v>
      </c>
      <c r="AD123" t="s">
        <v>74</v>
      </c>
      <c r="AE123" t="s">
        <v>74</v>
      </c>
      <c r="AF123" t="s">
        <v>74</v>
      </c>
      <c r="AG123" t="s">
        <v>74</v>
      </c>
      <c r="AH123" t="s">
        <v>74</v>
      </c>
      <c r="AI123" t="s">
        <v>74</v>
      </c>
      <c r="AJ123" t="s">
        <v>74</v>
      </c>
      <c r="AK123" t="s">
        <v>74</v>
      </c>
      <c r="AL123" t="s">
        <v>74</v>
      </c>
      <c r="AM123" t="s">
        <v>74</v>
      </c>
      <c r="AN123" t="s">
        <v>74</v>
      </c>
      <c r="AO123" t="s">
        <v>1211</v>
      </c>
      <c r="AP123" t="s">
        <v>1212</v>
      </c>
      <c r="AQ123" t="s">
        <v>74</v>
      </c>
      <c r="AR123" t="s">
        <v>74</v>
      </c>
      <c r="AS123" t="s">
        <v>74</v>
      </c>
      <c r="AT123" t="s">
        <v>1213</v>
      </c>
      <c r="AU123">
        <v>2024</v>
      </c>
      <c r="AV123" t="s">
        <v>74</v>
      </c>
      <c r="AW123" t="s">
        <v>74</v>
      </c>
      <c r="AX123" t="s">
        <v>74</v>
      </c>
      <c r="AY123" t="s">
        <v>74</v>
      </c>
      <c r="AZ123" t="s">
        <v>74</v>
      </c>
      <c r="BA123" t="s">
        <v>74</v>
      </c>
      <c r="BB123" t="s">
        <v>74</v>
      </c>
      <c r="BC123" t="s">
        <v>74</v>
      </c>
      <c r="BD123" t="s">
        <v>74</v>
      </c>
      <c r="BE123" t="s">
        <v>1214</v>
      </c>
      <c r="BF123" t="str">
        <f>HYPERLINK("http://dx.doi.org/10.1007/s11581-024-05993-5","http://dx.doi.org/10.1007/s11581-024-05993-5")</f>
        <v>http://dx.doi.org/10.1007/s11581-024-05993-5</v>
      </c>
      <c r="BG123" t="s">
        <v>74</v>
      </c>
      <c r="BH123" t="s">
        <v>1177</v>
      </c>
      <c r="BI123" t="s">
        <v>74</v>
      </c>
      <c r="BJ123" t="s">
        <v>74</v>
      </c>
      <c r="BK123" t="s">
        <v>74</v>
      </c>
      <c r="BL123" t="s">
        <v>74</v>
      </c>
      <c r="BM123" t="s">
        <v>74</v>
      </c>
      <c r="BN123" t="s">
        <v>74</v>
      </c>
      <c r="BO123" t="s">
        <v>74</v>
      </c>
      <c r="BP123" t="s">
        <v>74</v>
      </c>
      <c r="BQ123" t="s">
        <v>74</v>
      </c>
      <c r="BR123" t="s">
        <v>74</v>
      </c>
      <c r="BS123" t="s">
        <v>1215</v>
      </c>
      <c r="BT123" t="str">
        <f>HYPERLINK("https%3A%2F%2Fwww.webofscience.com%2Fwos%2Fwoscc%2Ffull-record%2FWOS:001380907800001","View Full Record in Web of Science")</f>
        <v>View Full Record in Web of Science</v>
      </c>
    </row>
    <row r="124" spans="1:72" x14ac:dyDescent="0.2">
      <c r="A124" t="s">
        <v>72</v>
      </c>
      <c r="B124" t="s">
        <v>1216</v>
      </c>
      <c r="C124" t="s">
        <v>74</v>
      </c>
      <c r="D124" t="s">
        <v>74</v>
      </c>
      <c r="E124" t="s">
        <v>74</v>
      </c>
      <c r="F124" t="s">
        <v>1217</v>
      </c>
      <c r="G124" t="s">
        <v>74</v>
      </c>
      <c r="H124" t="s">
        <v>74</v>
      </c>
      <c r="I124" t="s">
        <v>1218</v>
      </c>
      <c r="J124" t="s">
        <v>1219</v>
      </c>
      <c r="K124" t="s">
        <v>74</v>
      </c>
      <c r="L124" t="s">
        <v>74</v>
      </c>
      <c r="M124" t="s">
        <v>74</v>
      </c>
      <c r="N124" t="s">
        <v>74</v>
      </c>
      <c r="O124" t="s">
        <v>74</v>
      </c>
      <c r="P124" t="s">
        <v>74</v>
      </c>
      <c r="Q124" t="s">
        <v>74</v>
      </c>
      <c r="R124" t="s">
        <v>74</v>
      </c>
      <c r="S124" t="s">
        <v>74</v>
      </c>
      <c r="T124" t="s">
        <v>74</v>
      </c>
      <c r="U124" t="s">
        <v>74</v>
      </c>
      <c r="V124" t="s">
        <v>1220</v>
      </c>
      <c r="W124" t="s">
        <v>74</v>
      </c>
      <c r="X124" t="s">
        <v>74</v>
      </c>
      <c r="Y124" t="s">
        <v>74</v>
      </c>
      <c r="Z124" t="s">
        <v>74</v>
      </c>
      <c r="AA124" t="s">
        <v>1221</v>
      </c>
      <c r="AB124" t="s">
        <v>1222</v>
      </c>
      <c r="AC124" t="s">
        <v>74</v>
      </c>
      <c r="AD124" t="s">
        <v>74</v>
      </c>
      <c r="AE124" t="s">
        <v>74</v>
      </c>
      <c r="AF124" t="s">
        <v>74</v>
      </c>
      <c r="AG124" t="s">
        <v>74</v>
      </c>
      <c r="AH124" t="s">
        <v>74</v>
      </c>
      <c r="AI124" t="s">
        <v>74</v>
      </c>
      <c r="AJ124" t="s">
        <v>74</v>
      </c>
      <c r="AK124" t="s">
        <v>74</v>
      </c>
      <c r="AL124" t="s">
        <v>74</v>
      </c>
      <c r="AM124" t="s">
        <v>74</v>
      </c>
      <c r="AN124" t="s">
        <v>74</v>
      </c>
      <c r="AO124" t="s">
        <v>1223</v>
      </c>
      <c r="AP124" t="s">
        <v>1224</v>
      </c>
      <c r="AQ124" t="s">
        <v>74</v>
      </c>
      <c r="AR124" t="s">
        <v>74</v>
      </c>
      <c r="AS124" t="s">
        <v>74</v>
      </c>
      <c r="AT124" t="s">
        <v>1194</v>
      </c>
      <c r="AU124">
        <v>2025</v>
      </c>
      <c r="AV124">
        <v>60</v>
      </c>
      <c r="AW124">
        <v>1</v>
      </c>
      <c r="AX124" t="s">
        <v>74</v>
      </c>
      <c r="AY124" t="s">
        <v>74</v>
      </c>
      <c r="AZ124" t="s">
        <v>74</v>
      </c>
      <c r="BA124" t="s">
        <v>74</v>
      </c>
      <c r="BB124">
        <v>367</v>
      </c>
      <c r="BC124">
        <v>382</v>
      </c>
      <c r="BD124" t="s">
        <v>74</v>
      </c>
      <c r="BE124" t="s">
        <v>1225</v>
      </c>
      <c r="BF124" t="str">
        <f>HYPERLINK("http://dx.doi.org/10.1007/s10853-024-10551-5","http://dx.doi.org/10.1007/s10853-024-10551-5")</f>
        <v>http://dx.doi.org/10.1007/s10853-024-10551-5</v>
      </c>
      <c r="BG124" t="s">
        <v>74</v>
      </c>
      <c r="BH124" t="s">
        <v>1177</v>
      </c>
      <c r="BI124" t="s">
        <v>74</v>
      </c>
      <c r="BJ124" t="s">
        <v>74</v>
      </c>
      <c r="BK124" t="s">
        <v>74</v>
      </c>
      <c r="BL124" t="s">
        <v>74</v>
      </c>
      <c r="BM124" t="s">
        <v>74</v>
      </c>
      <c r="BN124" t="s">
        <v>74</v>
      </c>
      <c r="BO124" t="s">
        <v>74</v>
      </c>
      <c r="BP124" t="s">
        <v>74</v>
      </c>
      <c r="BQ124" t="s">
        <v>74</v>
      </c>
      <c r="BR124" t="s">
        <v>74</v>
      </c>
      <c r="BS124" t="s">
        <v>1226</v>
      </c>
      <c r="BT124" t="str">
        <f>HYPERLINK("https%3A%2F%2Fwww.webofscience.com%2Fwos%2Fwoscc%2Ffull-record%2FWOS:001380911500001","View Full Record in Web of Science")</f>
        <v>View Full Record in Web of Science</v>
      </c>
    </row>
    <row r="125" spans="1:72" x14ac:dyDescent="0.2">
      <c r="A125" t="s">
        <v>72</v>
      </c>
      <c r="B125" t="s">
        <v>1227</v>
      </c>
      <c r="C125" t="s">
        <v>74</v>
      </c>
      <c r="D125" t="s">
        <v>74</v>
      </c>
      <c r="E125" t="s">
        <v>74</v>
      </c>
      <c r="F125" t="s">
        <v>1228</v>
      </c>
      <c r="G125" t="s">
        <v>74</v>
      </c>
      <c r="H125" t="s">
        <v>74</v>
      </c>
      <c r="I125" t="s">
        <v>1229</v>
      </c>
      <c r="J125" t="s">
        <v>289</v>
      </c>
      <c r="K125" t="s">
        <v>74</v>
      </c>
      <c r="L125" t="s">
        <v>74</v>
      </c>
      <c r="M125" t="s">
        <v>74</v>
      </c>
      <c r="N125" t="s">
        <v>74</v>
      </c>
      <c r="O125" t="s">
        <v>74</v>
      </c>
      <c r="P125" t="s">
        <v>74</v>
      </c>
      <c r="Q125" t="s">
        <v>74</v>
      </c>
      <c r="R125" t="s">
        <v>74</v>
      </c>
      <c r="S125" t="s">
        <v>74</v>
      </c>
      <c r="T125" t="s">
        <v>74</v>
      </c>
      <c r="U125" t="s">
        <v>74</v>
      </c>
      <c r="V125" t="s">
        <v>1230</v>
      </c>
      <c r="W125" t="s">
        <v>74</v>
      </c>
      <c r="X125" t="s">
        <v>74</v>
      </c>
      <c r="Y125" t="s">
        <v>74</v>
      </c>
      <c r="Z125" t="s">
        <v>74</v>
      </c>
      <c r="AA125" t="s">
        <v>1231</v>
      </c>
      <c r="AB125" t="s">
        <v>74</v>
      </c>
      <c r="AC125" t="s">
        <v>74</v>
      </c>
      <c r="AD125" t="s">
        <v>74</v>
      </c>
      <c r="AE125" t="s">
        <v>74</v>
      </c>
      <c r="AF125" t="s">
        <v>74</v>
      </c>
      <c r="AG125" t="s">
        <v>74</v>
      </c>
      <c r="AH125" t="s">
        <v>74</v>
      </c>
      <c r="AI125" t="s">
        <v>74</v>
      </c>
      <c r="AJ125" t="s">
        <v>74</v>
      </c>
      <c r="AK125" t="s">
        <v>74</v>
      </c>
      <c r="AL125" t="s">
        <v>74</v>
      </c>
      <c r="AM125" t="s">
        <v>74</v>
      </c>
      <c r="AN125" t="s">
        <v>74</v>
      </c>
      <c r="AO125" t="s">
        <v>292</v>
      </c>
      <c r="AP125" t="s">
        <v>293</v>
      </c>
      <c r="AQ125" t="s">
        <v>74</v>
      </c>
      <c r="AR125" t="s">
        <v>74</v>
      </c>
      <c r="AS125" t="s">
        <v>74</v>
      </c>
      <c r="AT125" t="s">
        <v>1026</v>
      </c>
      <c r="AU125">
        <v>2025</v>
      </c>
      <c r="AV125">
        <v>37</v>
      </c>
      <c r="AW125">
        <v>6</v>
      </c>
      <c r="AX125" t="s">
        <v>74</v>
      </c>
      <c r="AY125" t="s">
        <v>74</v>
      </c>
      <c r="AZ125" t="s">
        <v>74</v>
      </c>
      <c r="BA125" t="s">
        <v>74</v>
      </c>
      <c r="BB125" t="s">
        <v>74</v>
      </c>
      <c r="BC125" t="s">
        <v>74</v>
      </c>
      <c r="BD125" t="s">
        <v>74</v>
      </c>
      <c r="BE125" t="s">
        <v>1232</v>
      </c>
      <c r="BF125" t="str">
        <f>HYPERLINK("http://dx.doi.org/10.1002/adma.202414195","http://dx.doi.org/10.1002/adma.202414195")</f>
        <v>http://dx.doi.org/10.1002/adma.202414195</v>
      </c>
      <c r="BG125" t="s">
        <v>74</v>
      </c>
      <c r="BH125" t="s">
        <v>1177</v>
      </c>
      <c r="BI125" t="s">
        <v>74</v>
      </c>
      <c r="BJ125" t="s">
        <v>74</v>
      </c>
      <c r="BK125" t="s">
        <v>74</v>
      </c>
      <c r="BL125" t="s">
        <v>74</v>
      </c>
      <c r="BM125" t="s">
        <v>74</v>
      </c>
      <c r="BN125">
        <v>39696937</v>
      </c>
      <c r="BO125" t="s">
        <v>74</v>
      </c>
      <c r="BP125" t="s">
        <v>74</v>
      </c>
      <c r="BQ125" t="s">
        <v>74</v>
      </c>
      <c r="BR125" t="s">
        <v>74</v>
      </c>
      <c r="BS125" t="s">
        <v>1233</v>
      </c>
      <c r="BT125" t="str">
        <f>HYPERLINK("https%3A%2F%2Fwww.webofscience.com%2Fwos%2Fwoscc%2Ffull-record%2FWOS:001379719100001","View Full Record in Web of Science")</f>
        <v>View Full Record in Web of Science</v>
      </c>
    </row>
    <row r="126" spans="1:72" x14ac:dyDescent="0.2">
      <c r="A126" t="s">
        <v>72</v>
      </c>
      <c r="B126" t="s">
        <v>1234</v>
      </c>
      <c r="C126" t="s">
        <v>74</v>
      </c>
      <c r="D126" t="s">
        <v>74</v>
      </c>
      <c r="E126" t="s">
        <v>74</v>
      </c>
      <c r="F126" t="s">
        <v>1235</v>
      </c>
      <c r="G126" t="s">
        <v>74</v>
      </c>
      <c r="H126" t="s">
        <v>74</v>
      </c>
      <c r="I126" t="s">
        <v>1236</v>
      </c>
      <c r="J126" t="s">
        <v>1237</v>
      </c>
      <c r="K126" t="s">
        <v>74</v>
      </c>
      <c r="L126" t="s">
        <v>74</v>
      </c>
      <c r="M126" t="s">
        <v>74</v>
      </c>
      <c r="N126" t="s">
        <v>74</v>
      </c>
      <c r="O126" t="s">
        <v>74</v>
      </c>
      <c r="P126" t="s">
        <v>74</v>
      </c>
      <c r="Q126" t="s">
        <v>74</v>
      </c>
      <c r="R126" t="s">
        <v>74</v>
      </c>
      <c r="S126" t="s">
        <v>74</v>
      </c>
      <c r="T126" t="s">
        <v>74</v>
      </c>
      <c r="U126" t="s">
        <v>74</v>
      </c>
      <c r="V126" t="s">
        <v>1238</v>
      </c>
      <c r="W126" t="s">
        <v>74</v>
      </c>
      <c r="X126" t="s">
        <v>74</v>
      </c>
      <c r="Y126" t="s">
        <v>74</v>
      </c>
      <c r="Z126" t="s">
        <v>74</v>
      </c>
      <c r="AA126" t="s">
        <v>1239</v>
      </c>
      <c r="AB126" t="s">
        <v>1240</v>
      </c>
      <c r="AC126" t="s">
        <v>74</v>
      </c>
      <c r="AD126" t="s">
        <v>74</v>
      </c>
      <c r="AE126" t="s">
        <v>74</v>
      </c>
      <c r="AF126" t="s">
        <v>74</v>
      </c>
      <c r="AG126" t="s">
        <v>74</v>
      </c>
      <c r="AH126" t="s">
        <v>74</v>
      </c>
      <c r="AI126" t="s">
        <v>74</v>
      </c>
      <c r="AJ126" t="s">
        <v>74</v>
      </c>
      <c r="AK126" t="s">
        <v>74</v>
      </c>
      <c r="AL126" t="s">
        <v>74</v>
      </c>
      <c r="AM126" t="s">
        <v>74</v>
      </c>
      <c r="AN126" t="s">
        <v>74</v>
      </c>
      <c r="AO126" t="s">
        <v>1241</v>
      </c>
      <c r="AP126" t="s">
        <v>74</v>
      </c>
      <c r="AQ126" t="s">
        <v>74</v>
      </c>
      <c r="AR126" t="s">
        <v>74</v>
      </c>
      <c r="AS126" t="s">
        <v>74</v>
      </c>
      <c r="AT126" t="s">
        <v>1242</v>
      </c>
      <c r="AU126">
        <v>2024</v>
      </c>
      <c r="AV126">
        <v>8</v>
      </c>
      <c r="AW126">
        <v>12</v>
      </c>
      <c r="AX126" t="s">
        <v>74</v>
      </c>
      <c r="AY126" t="s">
        <v>74</v>
      </c>
      <c r="AZ126" t="s">
        <v>74</v>
      </c>
      <c r="BA126" t="s">
        <v>74</v>
      </c>
      <c r="BB126" t="s">
        <v>74</v>
      </c>
      <c r="BC126" t="s">
        <v>74</v>
      </c>
      <c r="BD126" t="s">
        <v>74</v>
      </c>
      <c r="BE126" t="s">
        <v>1243</v>
      </c>
      <c r="BF126" t="str">
        <f>HYPERLINK("http://dx.doi.org/10.1016/j.joule.2024.09.004","http://dx.doi.org/10.1016/j.joule.2024.09.004")</f>
        <v>http://dx.doi.org/10.1016/j.joule.2024.09.004</v>
      </c>
      <c r="BG126" t="s">
        <v>74</v>
      </c>
      <c r="BH126" t="s">
        <v>1177</v>
      </c>
      <c r="BI126" t="s">
        <v>74</v>
      </c>
      <c r="BJ126" t="s">
        <v>74</v>
      </c>
      <c r="BK126" t="s">
        <v>74</v>
      </c>
      <c r="BL126" t="s">
        <v>74</v>
      </c>
      <c r="BM126" t="s">
        <v>74</v>
      </c>
      <c r="BN126" t="s">
        <v>74</v>
      </c>
      <c r="BO126" t="s">
        <v>74</v>
      </c>
      <c r="BP126" t="s">
        <v>74</v>
      </c>
      <c r="BQ126" t="s">
        <v>74</v>
      </c>
      <c r="BR126" t="s">
        <v>74</v>
      </c>
      <c r="BS126" t="s">
        <v>1244</v>
      </c>
      <c r="BT126" t="str">
        <f>HYPERLINK("https%3A%2F%2Fwww.webofscience.com%2Fwos%2Fwoscc%2Ffull-record%2FWOS:001386056100001","View Full Record in Web of Science")</f>
        <v>View Full Record in Web of Science</v>
      </c>
    </row>
    <row r="127" spans="1:72" x14ac:dyDescent="0.2">
      <c r="A127" t="s">
        <v>72</v>
      </c>
      <c r="B127" t="s">
        <v>1245</v>
      </c>
      <c r="C127" t="s">
        <v>74</v>
      </c>
      <c r="D127" t="s">
        <v>74</v>
      </c>
      <c r="E127" t="s">
        <v>74</v>
      </c>
      <c r="F127" t="s">
        <v>1246</v>
      </c>
      <c r="G127" t="s">
        <v>74</v>
      </c>
      <c r="H127" t="s">
        <v>74</v>
      </c>
      <c r="I127" t="s">
        <v>1247</v>
      </c>
      <c r="J127" t="s">
        <v>161</v>
      </c>
      <c r="K127" t="s">
        <v>74</v>
      </c>
      <c r="L127" t="s">
        <v>74</v>
      </c>
      <c r="M127" t="s">
        <v>74</v>
      </c>
      <c r="N127" t="s">
        <v>74</v>
      </c>
      <c r="O127" t="s">
        <v>74</v>
      </c>
      <c r="P127" t="s">
        <v>74</v>
      </c>
      <c r="Q127" t="s">
        <v>74</v>
      </c>
      <c r="R127" t="s">
        <v>74</v>
      </c>
      <c r="S127" t="s">
        <v>74</v>
      </c>
      <c r="T127" t="s">
        <v>74</v>
      </c>
      <c r="U127" t="s">
        <v>74</v>
      </c>
      <c r="V127" t="s">
        <v>1248</v>
      </c>
      <c r="W127" t="s">
        <v>74</v>
      </c>
      <c r="X127" t="s">
        <v>74</v>
      </c>
      <c r="Y127" t="s">
        <v>74</v>
      </c>
      <c r="Z127" t="s">
        <v>74</v>
      </c>
      <c r="AA127" t="s">
        <v>1249</v>
      </c>
      <c r="AB127" t="s">
        <v>1250</v>
      </c>
      <c r="AC127" t="s">
        <v>74</v>
      </c>
      <c r="AD127" t="s">
        <v>74</v>
      </c>
      <c r="AE127" t="s">
        <v>74</v>
      </c>
      <c r="AF127" t="s">
        <v>74</v>
      </c>
      <c r="AG127" t="s">
        <v>74</v>
      </c>
      <c r="AH127" t="s">
        <v>74</v>
      </c>
      <c r="AI127" t="s">
        <v>74</v>
      </c>
      <c r="AJ127" t="s">
        <v>74</v>
      </c>
      <c r="AK127" t="s">
        <v>74</v>
      </c>
      <c r="AL127" t="s">
        <v>74</v>
      </c>
      <c r="AM127" t="s">
        <v>74</v>
      </c>
      <c r="AN127" t="s">
        <v>74</v>
      </c>
      <c r="AO127" t="s">
        <v>163</v>
      </c>
      <c r="AP127" t="s">
        <v>164</v>
      </c>
      <c r="AQ127" t="s">
        <v>74</v>
      </c>
      <c r="AR127" t="s">
        <v>74</v>
      </c>
      <c r="AS127" t="s">
        <v>74</v>
      </c>
      <c r="AT127" t="s">
        <v>1165</v>
      </c>
      <c r="AU127">
        <v>2025</v>
      </c>
      <c r="AV127">
        <v>503</v>
      </c>
      <c r="AW127" t="s">
        <v>74</v>
      </c>
      <c r="AX127" t="s">
        <v>74</v>
      </c>
      <c r="AY127" t="s">
        <v>74</v>
      </c>
      <c r="AZ127" t="s">
        <v>74</v>
      </c>
      <c r="BA127" t="s">
        <v>74</v>
      </c>
      <c r="BB127" t="s">
        <v>74</v>
      </c>
      <c r="BC127" t="s">
        <v>74</v>
      </c>
      <c r="BD127">
        <v>158397</v>
      </c>
      <c r="BE127" t="s">
        <v>1251</v>
      </c>
      <c r="BF127" t="str">
        <f>HYPERLINK("http://dx.doi.org/10.1016/j.cej.2024.158397","http://dx.doi.org/10.1016/j.cej.2024.158397")</f>
        <v>http://dx.doi.org/10.1016/j.cej.2024.158397</v>
      </c>
      <c r="BG127" t="s">
        <v>74</v>
      </c>
      <c r="BH127" t="s">
        <v>1177</v>
      </c>
      <c r="BI127" t="s">
        <v>74</v>
      </c>
      <c r="BJ127" t="s">
        <v>74</v>
      </c>
      <c r="BK127" t="s">
        <v>74</v>
      </c>
      <c r="BL127" t="s">
        <v>74</v>
      </c>
      <c r="BM127" t="s">
        <v>74</v>
      </c>
      <c r="BN127" t="s">
        <v>74</v>
      </c>
      <c r="BO127" t="s">
        <v>74</v>
      </c>
      <c r="BP127" t="s">
        <v>74</v>
      </c>
      <c r="BQ127" t="s">
        <v>74</v>
      </c>
      <c r="BR127" t="s">
        <v>74</v>
      </c>
      <c r="BS127" t="s">
        <v>1252</v>
      </c>
      <c r="BT127" t="str">
        <f>HYPERLINK("https%3A%2F%2Fwww.webofscience.com%2Fwos%2Fwoscc%2Ffull-record%2FWOS:001389704000001","View Full Record in Web of Science")</f>
        <v>View Full Record in Web of Science</v>
      </c>
    </row>
    <row r="128" spans="1:72" x14ac:dyDescent="0.2">
      <c r="A128" t="s">
        <v>72</v>
      </c>
      <c r="B128" t="s">
        <v>1253</v>
      </c>
      <c r="C128" t="s">
        <v>74</v>
      </c>
      <c r="D128" t="s">
        <v>74</v>
      </c>
      <c r="E128" t="s">
        <v>74</v>
      </c>
      <c r="F128" t="s">
        <v>1254</v>
      </c>
      <c r="G128" t="s">
        <v>74</v>
      </c>
      <c r="H128" t="s">
        <v>74</v>
      </c>
      <c r="I128" t="s">
        <v>1255</v>
      </c>
      <c r="J128" t="s">
        <v>1256</v>
      </c>
      <c r="K128" t="s">
        <v>74</v>
      </c>
      <c r="L128" t="s">
        <v>74</v>
      </c>
      <c r="M128" t="s">
        <v>74</v>
      </c>
      <c r="N128" t="s">
        <v>74</v>
      </c>
      <c r="O128" t="s">
        <v>74</v>
      </c>
      <c r="P128" t="s">
        <v>74</v>
      </c>
      <c r="Q128" t="s">
        <v>74</v>
      </c>
      <c r="R128" t="s">
        <v>74</v>
      </c>
      <c r="S128" t="s">
        <v>74</v>
      </c>
      <c r="T128" t="s">
        <v>74</v>
      </c>
      <c r="U128" t="s">
        <v>74</v>
      </c>
      <c r="V128" t="s">
        <v>1257</v>
      </c>
      <c r="W128" t="s">
        <v>74</v>
      </c>
      <c r="X128" t="s">
        <v>74</v>
      </c>
      <c r="Y128" t="s">
        <v>74</v>
      </c>
      <c r="Z128" t="s">
        <v>74</v>
      </c>
      <c r="AA128" t="s">
        <v>74</v>
      </c>
      <c r="AB128" t="s">
        <v>74</v>
      </c>
      <c r="AC128" t="s">
        <v>74</v>
      </c>
      <c r="AD128" t="s">
        <v>74</v>
      </c>
      <c r="AE128" t="s">
        <v>74</v>
      </c>
      <c r="AF128" t="s">
        <v>74</v>
      </c>
      <c r="AG128" t="s">
        <v>74</v>
      </c>
      <c r="AH128" t="s">
        <v>74</v>
      </c>
      <c r="AI128" t="s">
        <v>74</v>
      </c>
      <c r="AJ128" t="s">
        <v>74</v>
      </c>
      <c r="AK128" t="s">
        <v>74</v>
      </c>
      <c r="AL128" t="s">
        <v>74</v>
      </c>
      <c r="AM128" t="s">
        <v>74</v>
      </c>
      <c r="AN128" t="s">
        <v>74</v>
      </c>
      <c r="AO128" t="s">
        <v>1258</v>
      </c>
      <c r="AP128" t="s">
        <v>1259</v>
      </c>
      <c r="AQ128" t="s">
        <v>74</v>
      </c>
      <c r="AR128" t="s">
        <v>74</v>
      </c>
      <c r="AS128" t="s">
        <v>74</v>
      </c>
      <c r="AT128" t="s">
        <v>1154</v>
      </c>
      <c r="AU128">
        <v>2025</v>
      </c>
      <c r="AV128">
        <v>512</v>
      </c>
      <c r="AW128" t="s">
        <v>74</v>
      </c>
      <c r="AX128" t="s">
        <v>74</v>
      </c>
      <c r="AY128" t="s">
        <v>74</v>
      </c>
      <c r="AZ128" t="s">
        <v>74</v>
      </c>
      <c r="BA128" t="s">
        <v>74</v>
      </c>
      <c r="BB128" t="s">
        <v>74</v>
      </c>
      <c r="BC128" t="s">
        <v>74</v>
      </c>
      <c r="BD128">
        <v>145491</v>
      </c>
      <c r="BE128" t="s">
        <v>1260</v>
      </c>
      <c r="BF128" t="str">
        <f>HYPERLINK("http://dx.doi.org/10.1016/j.electacta.2024.145491","http://dx.doi.org/10.1016/j.electacta.2024.145491")</f>
        <v>http://dx.doi.org/10.1016/j.electacta.2024.145491</v>
      </c>
      <c r="BG128" t="s">
        <v>74</v>
      </c>
      <c r="BH128" t="s">
        <v>1177</v>
      </c>
      <c r="BI128" t="s">
        <v>74</v>
      </c>
      <c r="BJ128" t="s">
        <v>74</v>
      </c>
      <c r="BK128" t="s">
        <v>74</v>
      </c>
      <c r="BL128" t="s">
        <v>74</v>
      </c>
      <c r="BM128" t="s">
        <v>74</v>
      </c>
      <c r="BN128" t="s">
        <v>74</v>
      </c>
      <c r="BO128" t="s">
        <v>74</v>
      </c>
      <c r="BP128" t="s">
        <v>74</v>
      </c>
      <c r="BQ128" t="s">
        <v>74</v>
      </c>
      <c r="BR128" t="s">
        <v>74</v>
      </c>
      <c r="BS128" t="s">
        <v>1261</v>
      </c>
      <c r="BT128" t="str">
        <f>HYPERLINK("https%3A%2F%2Fwww.webofscience.com%2Fwos%2Fwoscc%2Ffull-record%2FWOS:001389521500001","View Full Record in Web of Science")</f>
        <v>View Full Record in Web of Science</v>
      </c>
    </row>
    <row r="129" spans="1:72" x14ac:dyDescent="0.2">
      <c r="A129" t="s">
        <v>72</v>
      </c>
      <c r="B129" t="s">
        <v>1262</v>
      </c>
      <c r="C129" t="s">
        <v>74</v>
      </c>
      <c r="D129" t="s">
        <v>74</v>
      </c>
      <c r="E129" t="s">
        <v>74</v>
      </c>
      <c r="F129" t="s">
        <v>1263</v>
      </c>
      <c r="G129" t="s">
        <v>74</v>
      </c>
      <c r="H129" t="s">
        <v>74</v>
      </c>
      <c r="I129" t="s">
        <v>1264</v>
      </c>
      <c r="J129" t="s">
        <v>278</v>
      </c>
      <c r="K129" t="s">
        <v>74</v>
      </c>
      <c r="L129" t="s">
        <v>74</v>
      </c>
      <c r="M129" t="s">
        <v>74</v>
      </c>
      <c r="N129" t="s">
        <v>74</v>
      </c>
      <c r="O129" t="s">
        <v>74</v>
      </c>
      <c r="P129" t="s">
        <v>74</v>
      </c>
      <c r="Q129" t="s">
        <v>74</v>
      </c>
      <c r="R129" t="s">
        <v>74</v>
      </c>
      <c r="S129" t="s">
        <v>74</v>
      </c>
      <c r="T129" t="s">
        <v>74</v>
      </c>
      <c r="U129" t="s">
        <v>74</v>
      </c>
      <c r="V129" t="s">
        <v>1265</v>
      </c>
      <c r="W129" t="s">
        <v>74</v>
      </c>
      <c r="X129" t="s">
        <v>74</v>
      </c>
      <c r="Y129" t="s">
        <v>74</v>
      </c>
      <c r="Z129" t="s">
        <v>74</v>
      </c>
      <c r="AA129" t="s">
        <v>74</v>
      </c>
      <c r="AB129" t="s">
        <v>1266</v>
      </c>
      <c r="AC129" t="s">
        <v>74</v>
      </c>
      <c r="AD129" t="s">
        <v>74</v>
      </c>
      <c r="AE129" t="s">
        <v>74</v>
      </c>
      <c r="AF129" t="s">
        <v>74</v>
      </c>
      <c r="AG129" t="s">
        <v>74</v>
      </c>
      <c r="AH129" t="s">
        <v>74</v>
      </c>
      <c r="AI129" t="s">
        <v>74</v>
      </c>
      <c r="AJ129" t="s">
        <v>74</v>
      </c>
      <c r="AK129" t="s">
        <v>74</v>
      </c>
      <c r="AL129" t="s">
        <v>74</v>
      </c>
      <c r="AM129" t="s">
        <v>74</v>
      </c>
      <c r="AN129" t="s">
        <v>74</v>
      </c>
      <c r="AO129" t="s">
        <v>281</v>
      </c>
      <c r="AP129" t="s">
        <v>282</v>
      </c>
      <c r="AQ129" t="s">
        <v>74</v>
      </c>
      <c r="AR129" t="s">
        <v>74</v>
      </c>
      <c r="AS129" t="s">
        <v>74</v>
      </c>
      <c r="AT129" t="s">
        <v>1267</v>
      </c>
      <c r="AU129">
        <v>2025</v>
      </c>
      <c r="AV129">
        <v>13</v>
      </c>
      <c r="AW129">
        <v>4</v>
      </c>
      <c r="AX129" t="s">
        <v>74</v>
      </c>
      <c r="AY129" t="s">
        <v>74</v>
      </c>
      <c r="AZ129" t="s">
        <v>74</v>
      </c>
      <c r="BA129" t="s">
        <v>74</v>
      </c>
      <c r="BB129">
        <v>3146</v>
      </c>
      <c r="BC129">
        <v>3162</v>
      </c>
      <c r="BD129" t="s">
        <v>74</v>
      </c>
      <c r="BE129" t="s">
        <v>1268</v>
      </c>
      <c r="BF129" t="str">
        <f>HYPERLINK("http://dx.doi.org/10.1039/d4ta05713a","http://dx.doi.org/10.1039/d4ta05713a")</f>
        <v>http://dx.doi.org/10.1039/d4ta05713a</v>
      </c>
      <c r="BG129" t="s">
        <v>74</v>
      </c>
      <c r="BH129" t="s">
        <v>1177</v>
      </c>
      <c r="BI129" t="s">
        <v>74</v>
      </c>
      <c r="BJ129" t="s">
        <v>74</v>
      </c>
      <c r="BK129" t="s">
        <v>74</v>
      </c>
      <c r="BL129" t="s">
        <v>74</v>
      </c>
      <c r="BM129" t="s">
        <v>74</v>
      </c>
      <c r="BN129" t="s">
        <v>74</v>
      </c>
      <c r="BO129" t="s">
        <v>74</v>
      </c>
      <c r="BP129" t="s">
        <v>74</v>
      </c>
      <c r="BQ129" t="s">
        <v>74</v>
      </c>
      <c r="BR129" t="s">
        <v>74</v>
      </c>
      <c r="BS129" t="s">
        <v>1269</v>
      </c>
      <c r="BT129" t="str">
        <f>HYPERLINK("https%3A%2F%2Fwww.webofscience.com%2Fwos%2Fwoscc%2Ffull-record%2FWOS:001380283000001","View Full Record in Web of Science")</f>
        <v>View Full Record in Web of Science</v>
      </c>
    </row>
    <row r="130" spans="1:72" x14ac:dyDescent="0.2">
      <c r="A130" t="s">
        <v>72</v>
      </c>
      <c r="B130" t="s">
        <v>1270</v>
      </c>
      <c r="C130" t="s">
        <v>74</v>
      </c>
      <c r="D130" t="s">
        <v>74</v>
      </c>
      <c r="E130" t="s">
        <v>74</v>
      </c>
      <c r="F130" t="s">
        <v>1271</v>
      </c>
      <c r="G130" t="s">
        <v>74</v>
      </c>
      <c r="H130" t="s">
        <v>74</v>
      </c>
      <c r="I130" t="s">
        <v>1272</v>
      </c>
      <c r="J130" t="s">
        <v>1273</v>
      </c>
      <c r="K130" t="s">
        <v>74</v>
      </c>
      <c r="L130" t="s">
        <v>74</v>
      </c>
      <c r="M130" t="s">
        <v>74</v>
      </c>
      <c r="N130" t="s">
        <v>74</v>
      </c>
      <c r="O130" t="s">
        <v>74</v>
      </c>
      <c r="P130" t="s">
        <v>74</v>
      </c>
      <c r="Q130" t="s">
        <v>74</v>
      </c>
      <c r="R130" t="s">
        <v>74</v>
      </c>
      <c r="S130" t="s">
        <v>74</v>
      </c>
      <c r="T130" t="s">
        <v>74</v>
      </c>
      <c r="U130" t="s">
        <v>74</v>
      </c>
      <c r="V130" t="s">
        <v>1274</v>
      </c>
      <c r="W130" t="s">
        <v>74</v>
      </c>
      <c r="X130" t="s">
        <v>74</v>
      </c>
      <c r="Y130" t="s">
        <v>74</v>
      </c>
      <c r="Z130" t="s">
        <v>74</v>
      </c>
      <c r="AA130" t="s">
        <v>1275</v>
      </c>
      <c r="AB130" t="s">
        <v>1276</v>
      </c>
      <c r="AC130" t="s">
        <v>74</v>
      </c>
      <c r="AD130" t="s">
        <v>74</v>
      </c>
      <c r="AE130" t="s">
        <v>74</v>
      </c>
      <c r="AF130" t="s">
        <v>74</v>
      </c>
      <c r="AG130" t="s">
        <v>74</v>
      </c>
      <c r="AH130" t="s">
        <v>74</v>
      </c>
      <c r="AI130" t="s">
        <v>74</v>
      </c>
      <c r="AJ130" t="s">
        <v>74</v>
      </c>
      <c r="AK130" t="s">
        <v>74</v>
      </c>
      <c r="AL130" t="s">
        <v>74</v>
      </c>
      <c r="AM130" t="s">
        <v>74</v>
      </c>
      <c r="AN130" t="s">
        <v>74</v>
      </c>
      <c r="AO130" t="s">
        <v>1277</v>
      </c>
      <c r="AP130" t="s">
        <v>1278</v>
      </c>
      <c r="AQ130" t="s">
        <v>74</v>
      </c>
      <c r="AR130" t="s">
        <v>74</v>
      </c>
      <c r="AS130" t="s">
        <v>74</v>
      </c>
      <c r="AT130" t="s">
        <v>1279</v>
      </c>
      <c r="AU130">
        <v>2024</v>
      </c>
      <c r="AV130">
        <v>36</v>
      </c>
      <c r="AW130">
        <v>24</v>
      </c>
      <c r="AX130" t="s">
        <v>74</v>
      </c>
      <c r="AY130" t="s">
        <v>74</v>
      </c>
      <c r="AZ130" t="s">
        <v>74</v>
      </c>
      <c r="BA130" t="s">
        <v>74</v>
      </c>
      <c r="BB130">
        <v>11934</v>
      </c>
      <c r="BC130">
        <v>11946</v>
      </c>
      <c r="BD130" t="s">
        <v>74</v>
      </c>
      <c r="BE130" t="s">
        <v>1280</v>
      </c>
      <c r="BF130" t="str">
        <f>HYPERLINK("http://dx.doi.org/10.1021/acs.chemmater.4c02432","http://dx.doi.org/10.1021/acs.chemmater.4c02432")</f>
        <v>http://dx.doi.org/10.1021/acs.chemmater.4c02432</v>
      </c>
      <c r="BG130" t="s">
        <v>74</v>
      </c>
      <c r="BH130" t="s">
        <v>1177</v>
      </c>
      <c r="BI130" t="s">
        <v>74</v>
      </c>
      <c r="BJ130" t="s">
        <v>74</v>
      </c>
      <c r="BK130" t="s">
        <v>74</v>
      </c>
      <c r="BL130" t="s">
        <v>74</v>
      </c>
      <c r="BM130" t="s">
        <v>74</v>
      </c>
      <c r="BN130">
        <v>39734790</v>
      </c>
      <c r="BO130" t="s">
        <v>74</v>
      </c>
      <c r="BP130" t="s">
        <v>74</v>
      </c>
      <c r="BQ130" t="s">
        <v>74</v>
      </c>
      <c r="BR130" t="s">
        <v>74</v>
      </c>
      <c r="BS130" t="s">
        <v>1281</v>
      </c>
      <c r="BT130" t="str">
        <f>HYPERLINK("https%3A%2F%2Fwww.webofscience.com%2Fwos%2Fwoscc%2Ffull-record%2FWOS:001373324500001","View Full Record in Web of Science")</f>
        <v>View Full Record in Web of Science</v>
      </c>
    </row>
    <row r="131" spans="1:72" x14ac:dyDescent="0.2">
      <c r="A131" t="s">
        <v>72</v>
      </c>
      <c r="B131" t="s">
        <v>1282</v>
      </c>
      <c r="C131" t="s">
        <v>74</v>
      </c>
      <c r="D131" t="s">
        <v>74</v>
      </c>
      <c r="E131" t="s">
        <v>74</v>
      </c>
      <c r="F131" t="s">
        <v>1283</v>
      </c>
      <c r="G131" t="s">
        <v>74</v>
      </c>
      <c r="H131" t="s">
        <v>74</v>
      </c>
      <c r="I131" t="s">
        <v>1284</v>
      </c>
      <c r="J131" t="s">
        <v>161</v>
      </c>
      <c r="K131" t="s">
        <v>74</v>
      </c>
      <c r="L131" t="s">
        <v>74</v>
      </c>
      <c r="M131" t="s">
        <v>74</v>
      </c>
      <c r="N131" t="s">
        <v>74</v>
      </c>
      <c r="O131" t="s">
        <v>74</v>
      </c>
      <c r="P131" t="s">
        <v>74</v>
      </c>
      <c r="Q131" t="s">
        <v>74</v>
      </c>
      <c r="R131" t="s">
        <v>74</v>
      </c>
      <c r="S131" t="s">
        <v>74</v>
      </c>
      <c r="T131" t="s">
        <v>74</v>
      </c>
      <c r="U131" t="s">
        <v>74</v>
      </c>
      <c r="V131" t="s">
        <v>1285</v>
      </c>
      <c r="W131" t="s">
        <v>74</v>
      </c>
      <c r="X131" t="s">
        <v>74</v>
      </c>
      <c r="Y131" t="s">
        <v>74</v>
      </c>
      <c r="Z131" t="s">
        <v>74</v>
      </c>
      <c r="AA131" t="s">
        <v>1286</v>
      </c>
      <c r="AB131" t="s">
        <v>1287</v>
      </c>
      <c r="AC131" t="s">
        <v>74</v>
      </c>
      <c r="AD131" t="s">
        <v>74</v>
      </c>
      <c r="AE131" t="s">
        <v>74</v>
      </c>
      <c r="AF131" t="s">
        <v>74</v>
      </c>
      <c r="AG131" t="s">
        <v>74</v>
      </c>
      <c r="AH131" t="s">
        <v>74</v>
      </c>
      <c r="AI131" t="s">
        <v>74</v>
      </c>
      <c r="AJ131" t="s">
        <v>74</v>
      </c>
      <c r="AK131" t="s">
        <v>74</v>
      </c>
      <c r="AL131" t="s">
        <v>74</v>
      </c>
      <c r="AM131" t="s">
        <v>74</v>
      </c>
      <c r="AN131" t="s">
        <v>74</v>
      </c>
      <c r="AO131" t="s">
        <v>163</v>
      </c>
      <c r="AP131" t="s">
        <v>164</v>
      </c>
      <c r="AQ131" t="s">
        <v>74</v>
      </c>
      <c r="AR131" t="s">
        <v>74</v>
      </c>
      <c r="AS131" t="s">
        <v>74</v>
      </c>
      <c r="AT131" t="s">
        <v>1165</v>
      </c>
      <c r="AU131">
        <v>2025</v>
      </c>
      <c r="AV131">
        <v>503</v>
      </c>
      <c r="AW131" t="s">
        <v>74</v>
      </c>
      <c r="AX131" t="s">
        <v>74</v>
      </c>
      <c r="AY131" t="s">
        <v>74</v>
      </c>
      <c r="AZ131" t="s">
        <v>74</v>
      </c>
      <c r="BA131" t="s">
        <v>74</v>
      </c>
      <c r="BB131" t="s">
        <v>74</v>
      </c>
      <c r="BC131" t="s">
        <v>74</v>
      </c>
      <c r="BD131">
        <v>158154</v>
      </c>
      <c r="BE131" t="s">
        <v>1288</v>
      </c>
      <c r="BF131" t="str">
        <f>HYPERLINK("http://dx.doi.org/10.1016/j.cej.2024.158154","http://dx.doi.org/10.1016/j.cej.2024.158154")</f>
        <v>http://dx.doi.org/10.1016/j.cej.2024.158154</v>
      </c>
      <c r="BG131" t="s">
        <v>74</v>
      </c>
      <c r="BH131" t="s">
        <v>1177</v>
      </c>
      <c r="BI131" t="s">
        <v>74</v>
      </c>
      <c r="BJ131" t="s">
        <v>74</v>
      </c>
      <c r="BK131" t="s">
        <v>74</v>
      </c>
      <c r="BL131" t="s">
        <v>74</v>
      </c>
      <c r="BM131" t="s">
        <v>74</v>
      </c>
      <c r="BN131" t="s">
        <v>74</v>
      </c>
      <c r="BO131" t="s">
        <v>74</v>
      </c>
      <c r="BP131" t="s">
        <v>74</v>
      </c>
      <c r="BQ131" t="s">
        <v>74</v>
      </c>
      <c r="BR131" t="s">
        <v>74</v>
      </c>
      <c r="BS131" t="s">
        <v>1289</v>
      </c>
      <c r="BT131" t="str">
        <f>HYPERLINK("https%3A%2F%2Fwww.webofscience.com%2Fwos%2Fwoscc%2Ffull-record%2FWOS:001374568700001","View Full Record in Web of Science")</f>
        <v>View Full Record in Web of Science</v>
      </c>
    </row>
    <row r="132" spans="1:72" x14ac:dyDescent="0.2">
      <c r="A132" t="s">
        <v>72</v>
      </c>
      <c r="B132" t="s">
        <v>1290</v>
      </c>
      <c r="C132" t="s">
        <v>74</v>
      </c>
      <c r="D132" t="s">
        <v>74</v>
      </c>
      <c r="E132" t="s">
        <v>74</v>
      </c>
      <c r="F132" t="s">
        <v>1291</v>
      </c>
      <c r="G132" t="s">
        <v>74</v>
      </c>
      <c r="H132" t="s">
        <v>74</v>
      </c>
      <c r="I132" t="s">
        <v>1292</v>
      </c>
      <c r="J132" t="s">
        <v>1293</v>
      </c>
      <c r="K132" t="s">
        <v>74</v>
      </c>
      <c r="L132" t="s">
        <v>74</v>
      </c>
      <c r="M132" t="s">
        <v>74</v>
      </c>
      <c r="N132" t="s">
        <v>74</v>
      </c>
      <c r="O132" t="s">
        <v>74</v>
      </c>
      <c r="P132" t="s">
        <v>74</v>
      </c>
      <c r="Q132" t="s">
        <v>74</v>
      </c>
      <c r="R132" t="s">
        <v>74</v>
      </c>
      <c r="S132" t="s">
        <v>74</v>
      </c>
      <c r="T132" t="s">
        <v>74</v>
      </c>
      <c r="U132" t="s">
        <v>74</v>
      </c>
      <c r="V132" t="s">
        <v>1294</v>
      </c>
      <c r="W132" t="s">
        <v>74</v>
      </c>
      <c r="X132" t="s">
        <v>74</v>
      </c>
      <c r="Y132" t="s">
        <v>74</v>
      </c>
      <c r="Z132" t="s">
        <v>74</v>
      </c>
      <c r="AA132" t="s">
        <v>1295</v>
      </c>
      <c r="AB132" t="s">
        <v>1296</v>
      </c>
      <c r="AC132" t="s">
        <v>74</v>
      </c>
      <c r="AD132" t="s">
        <v>74</v>
      </c>
      <c r="AE132" t="s">
        <v>74</v>
      </c>
      <c r="AF132" t="s">
        <v>74</v>
      </c>
      <c r="AG132" t="s">
        <v>74</v>
      </c>
      <c r="AH132" t="s">
        <v>74</v>
      </c>
      <c r="AI132" t="s">
        <v>74</v>
      </c>
      <c r="AJ132" t="s">
        <v>74</v>
      </c>
      <c r="AK132" t="s">
        <v>74</v>
      </c>
      <c r="AL132" t="s">
        <v>74</v>
      </c>
      <c r="AM132" t="s">
        <v>74</v>
      </c>
      <c r="AN132" t="s">
        <v>74</v>
      </c>
      <c r="AO132" t="s">
        <v>1297</v>
      </c>
      <c r="AP132" t="s">
        <v>1298</v>
      </c>
      <c r="AQ132" t="s">
        <v>74</v>
      </c>
      <c r="AR132" t="s">
        <v>74</v>
      </c>
      <c r="AS132" t="s">
        <v>74</v>
      </c>
      <c r="AT132" t="s">
        <v>1299</v>
      </c>
      <c r="AU132">
        <v>2024</v>
      </c>
      <c r="AV132">
        <v>171</v>
      </c>
      <c r="AW132">
        <v>12</v>
      </c>
      <c r="AX132" t="s">
        <v>74</v>
      </c>
      <c r="AY132" t="s">
        <v>74</v>
      </c>
      <c r="AZ132" t="s">
        <v>74</v>
      </c>
      <c r="BA132" t="s">
        <v>74</v>
      </c>
      <c r="BB132" t="s">
        <v>74</v>
      </c>
      <c r="BC132" t="s">
        <v>74</v>
      </c>
      <c r="BD132">
        <v>120517</v>
      </c>
      <c r="BE132" t="s">
        <v>1300</v>
      </c>
      <c r="BF132" t="str">
        <f>HYPERLINK("http://dx.doi.org/10.1149/1945-7111/ad9b52","http://dx.doi.org/10.1149/1945-7111/ad9b52")</f>
        <v>http://dx.doi.org/10.1149/1945-7111/ad9b52</v>
      </c>
      <c r="BG132" t="s">
        <v>74</v>
      </c>
      <c r="BH132" t="s">
        <v>74</v>
      </c>
      <c r="BI132" t="s">
        <v>74</v>
      </c>
      <c r="BJ132" t="s">
        <v>74</v>
      </c>
      <c r="BK132" t="s">
        <v>74</v>
      </c>
      <c r="BL132" t="s">
        <v>74</v>
      </c>
      <c r="BM132" t="s">
        <v>74</v>
      </c>
      <c r="BN132" t="s">
        <v>74</v>
      </c>
      <c r="BO132" t="s">
        <v>74</v>
      </c>
      <c r="BP132" t="s">
        <v>74</v>
      </c>
      <c r="BQ132" t="s">
        <v>74</v>
      </c>
      <c r="BR132" t="s">
        <v>74</v>
      </c>
      <c r="BS132" t="s">
        <v>1301</v>
      </c>
      <c r="BT132" t="str">
        <f>HYPERLINK("https%3A%2F%2Fwww.webofscience.com%2Fwos%2Fwoscc%2Ffull-record%2FWOS:001379268400001","View Full Record in Web of Science")</f>
        <v>View Full Record in Web of Science</v>
      </c>
    </row>
    <row r="133" spans="1:72" x14ac:dyDescent="0.2">
      <c r="A133" t="s">
        <v>72</v>
      </c>
      <c r="B133" t="s">
        <v>1302</v>
      </c>
      <c r="C133" t="s">
        <v>74</v>
      </c>
      <c r="D133" t="s">
        <v>74</v>
      </c>
      <c r="E133" t="s">
        <v>74</v>
      </c>
      <c r="F133" t="s">
        <v>1303</v>
      </c>
      <c r="G133" t="s">
        <v>74</v>
      </c>
      <c r="H133" t="s">
        <v>74</v>
      </c>
      <c r="I133" t="s">
        <v>1304</v>
      </c>
      <c r="J133" t="s">
        <v>231</v>
      </c>
      <c r="K133" t="s">
        <v>74</v>
      </c>
      <c r="L133" t="s">
        <v>74</v>
      </c>
      <c r="M133" t="s">
        <v>74</v>
      </c>
      <c r="N133" t="s">
        <v>74</v>
      </c>
      <c r="O133" t="s">
        <v>74</v>
      </c>
      <c r="P133" t="s">
        <v>74</v>
      </c>
      <c r="Q133" t="s">
        <v>74</v>
      </c>
      <c r="R133" t="s">
        <v>74</v>
      </c>
      <c r="S133" t="s">
        <v>74</v>
      </c>
      <c r="T133" t="s">
        <v>74</v>
      </c>
      <c r="U133" t="s">
        <v>74</v>
      </c>
      <c r="V133" t="s">
        <v>1305</v>
      </c>
      <c r="W133" t="s">
        <v>74</v>
      </c>
      <c r="X133" t="s">
        <v>74</v>
      </c>
      <c r="Y133" t="s">
        <v>74</v>
      </c>
      <c r="Z133" t="s">
        <v>74</v>
      </c>
      <c r="AA133" t="s">
        <v>1306</v>
      </c>
      <c r="AB133" t="s">
        <v>74</v>
      </c>
      <c r="AC133" t="s">
        <v>74</v>
      </c>
      <c r="AD133" t="s">
        <v>74</v>
      </c>
      <c r="AE133" t="s">
        <v>74</v>
      </c>
      <c r="AF133" t="s">
        <v>74</v>
      </c>
      <c r="AG133" t="s">
        <v>74</v>
      </c>
      <c r="AH133" t="s">
        <v>74</v>
      </c>
      <c r="AI133" t="s">
        <v>74</v>
      </c>
      <c r="AJ133" t="s">
        <v>74</v>
      </c>
      <c r="AK133" t="s">
        <v>74</v>
      </c>
      <c r="AL133" t="s">
        <v>74</v>
      </c>
      <c r="AM133" t="s">
        <v>74</v>
      </c>
      <c r="AN133" t="s">
        <v>74</v>
      </c>
      <c r="AO133" t="s">
        <v>74</v>
      </c>
      <c r="AP133" t="s">
        <v>234</v>
      </c>
      <c r="AQ133" t="s">
        <v>74</v>
      </c>
      <c r="AR133" t="s">
        <v>74</v>
      </c>
      <c r="AS133" t="s">
        <v>74</v>
      </c>
      <c r="AT133" t="s">
        <v>1307</v>
      </c>
      <c r="AU133">
        <v>2025</v>
      </c>
      <c r="AV133">
        <v>64</v>
      </c>
      <c r="AW133">
        <v>6</v>
      </c>
      <c r="AX133" t="s">
        <v>74</v>
      </c>
      <c r="AY133" t="s">
        <v>74</v>
      </c>
      <c r="AZ133" t="s">
        <v>74</v>
      </c>
      <c r="BA133" t="s">
        <v>74</v>
      </c>
      <c r="BB133" t="s">
        <v>74</v>
      </c>
      <c r="BC133" t="s">
        <v>74</v>
      </c>
      <c r="BD133" t="s">
        <v>74</v>
      </c>
      <c r="BE133" t="s">
        <v>1308</v>
      </c>
      <c r="BF133" t="str">
        <f>HYPERLINK("http://dx.doi.org/10.1002/anie.202418371","http://dx.doi.org/10.1002/anie.202418371")</f>
        <v>http://dx.doi.org/10.1002/anie.202418371</v>
      </c>
      <c r="BG133" t="s">
        <v>74</v>
      </c>
      <c r="BH133" t="s">
        <v>1177</v>
      </c>
      <c r="BI133" t="s">
        <v>74</v>
      </c>
      <c r="BJ133" t="s">
        <v>74</v>
      </c>
      <c r="BK133" t="s">
        <v>74</v>
      </c>
      <c r="BL133" t="s">
        <v>74</v>
      </c>
      <c r="BM133" t="s">
        <v>74</v>
      </c>
      <c r="BN133">
        <v>39574307</v>
      </c>
      <c r="BO133" t="s">
        <v>74</v>
      </c>
      <c r="BP133" t="s">
        <v>74</v>
      </c>
      <c r="BQ133" t="s">
        <v>74</v>
      </c>
      <c r="BR133" t="s">
        <v>74</v>
      </c>
      <c r="BS133" t="s">
        <v>1309</v>
      </c>
      <c r="BT133" t="str">
        <f>HYPERLINK("https%3A%2F%2Fwww.webofscience.com%2Fwos%2Fwoscc%2Ffull-record%2FWOS:001368039800001","View Full Record in Web of Science")</f>
        <v>View Full Record in Web of Science</v>
      </c>
    </row>
    <row r="134" spans="1:72" x14ac:dyDescent="0.2">
      <c r="A134" t="s">
        <v>72</v>
      </c>
      <c r="B134" t="s">
        <v>1310</v>
      </c>
      <c r="C134" t="s">
        <v>74</v>
      </c>
      <c r="D134" t="s">
        <v>74</v>
      </c>
      <c r="E134" t="s">
        <v>74</v>
      </c>
      <c r="F134" t="s">
        <v>1311</v>
      </c>
      <c r="G134" t="s">
        <v>74</v>
      </c>
      <c r="H134" t="s">
        <v>74</v>
      </c>
      <c r="I134" t="s">
        <v>1312</v>
      </c>
      <c r="J134" t="s">
        <v>1313</v>
      </c>
      <c r="K134" t="s">
        <v>74</v>
      </c>
      <c r="L134" t="s">
        <v>74</v>
      </c>
      <c r="M134" t="s">
        <v>74</v>
      </c>
      <c r="N134" t="s">
        <v>74</v>
      </c>
      <c r="O134" t="s">
        <v>74</v>
      </c>
      <c r="P134" t="s">
        <v>74</v>
      </c>
      <c r="Q134" t="s">
        <v>74</v>
      </c>
      <c r="R134" t="s">
        <v>74</v>
      </c>
      <c r="S134" t="s">
        <v>74</v>
      </c>
      <c r="T134" t="s">
        <v>74</v>
      </c>
      <c r="U134" t="s">
        <v>74</v>
      </c>
      <c r="V134" t="s">
        <v>1314</v>
      </c>
      <c r="W134" t="s">
        <v>74</v>
      </c>
      <c r="X134" t="s">
        <v>74</v>
      </c>
      <c r="Y134" t="s">
        <v>74</v>
      </c>
      <c r="Z134" t="s">
        <v>74</v>
      </c>
      <c r="AA134" t="s">
        <v>1315</v>
      </c>
      <c r="AB134" t="s">
        <v>74</v>
      </c>
      <c r="AC134" t="s">
        <v>74</v>
      </c>
      <c r="AD134" t="s">
        <v>74</v>
      </c>
      <c r="AE134" t="s">
        <v>74</v>
      </c>
      <c r="AF134" t="s">
        <v>74</v>
      </c>
      <c r="AG134" t="s">
        <v>74</v>
      </c>
      <c r="AH134" t="s">
        <v>74</v>
      </c>
      <c r="AI134" t="s">
        <v>74</v>
      </c>
      <c r="AJ134" t="s">
        <v>74</v>
      </c>
      <c r="AK134" t="s">
        <v>74</v>
      </c>
      <c r="AL134" t="s">
        <v>74</v>
      </c>
      <c r="AM134" t="s">
        <v>74</v>
      </c>
      <c r="AN134" t="s">
        <v>74</v>
      </c>
      <c r="AO134" t="s">
        <v>1316</v>
      </c>
      <c r="AP134" t="s">
        <v>1317</v>
      </c>
      <c r="AQ134" t="s">
        <v>74</v>
      </c>
      <c r="AR134" t="s">
        <v>74</v>
      </c>
      <c r="AS134" t="s">
        <v>74</v>
      </c>
      <c r="AT134" t="s">
        <v>1318</v>
      </c>
      <c r="AU134">
        <v>2024</v>
      </c>
      <c r="AV134">
        <v>7</v>
      </c>
      <c r="AW134">
        <v>1</v>
      </c>
      <c r="AX134" t="s">
        <v>74</v>
      </c>
      <c r="AY134" t="s">
        <v>74</v>
      </c>
      <c r="AZ134" t="s">
        <v>74</v>
      </c>
      <c r="BA134" t="s">
        <v>74</v>
      </c>
      <c r="BB134" t="s">
        <v>74</v>
      </c>
      <c r="BC134" t="s">
        <v>74</v>
      </c>
      <c r="BD134">
        <v>18</v>
      </c>
      <c r="BE134" t="s">
        <v>1319</v>
      </c>
      <c r="BF134" t="str">
        <f>HYPERLINK("http://dx.doi.org/10.1007/s41918-024-00221-0","http://dx.doi.org/10.1007/s41918-024-00221-0")</f>
        <v>http://dx.doi.org/10.1007/s41918-024-00221-0</v>
      </c>
      <c r="BG134" t="s">
        <v>74</v>
      </c>
      <c r="BH134" t="s">
        <v>74</v>
      </c>
      <c r="BI134" t="s">
        <v>74</v>
      </c>
      <c r="BJ134" t="s">
        <v>74</v>
      </c>
      <c r="BK134" t="s">
        <v>74</v>
      </c>
      <c r="BL134" t="s">
        <v>74</v>
      </c>
      <c r="BM134" t="s">
        <v>74</v>
      </c>
      <c r="BN134" t="s">
        <v>74</v>
      </c>
      <c r="BO134" t="s">
        <v>74</v>
      </c>
      <c r="BP134" t="s">
        <v>74</v>
      </c>
      <c r="BQ134" t="s">
        <v>74</v>
      </c>
      <c r="BR134" t="s">
        <v>74</v>
      </c>
      <c r="BS134" t="s">
        <v>1320</v>
      </c>
      <c r="BT134" t="str">
        <f>HYPERLINK("https%3A%2F%2Fwww.webofscience.com%2Fwos%2Fwoscc%2Ffull-record%2FWOS:001228660300001","View Full Record in Web of Science")</f>
        <v>View Full Record in Web of Science</v>
      </c>
    </row>
    <row r="135" spans="1:72" x14ac:dyDescent="0.2">
      <c r="A135" t="s">
        <v>72</v>
      </c>
      <c r="B135" t="s">
        <v>1321</v>
      </c>
      <c r="C135" t="s">
        <v>74</v>
      </c>
      <c r="D135" t="s">
        <v>74</v>
      </c>
      <c r="E135" t="s">
        <v>74</v>
      </c>
      <c r="F135" t="s">
        <v>1322</v>
      </c>
      <c r="G135" t="s">
        <v>74</v>
      </c>
      <c r="H135" t="s">
        <v>74</v>
      </c>
      <c r="I135" t="s">
        <v>1323</v>
      </c>
      <c r="J135" t="s">
        <v>307</v>
      </c>
      <c r="K135" t="s">
        <v>74</v>
      </c>
      <c r="L135" t="s">
        <v>74</v>
      </c>
      <c r="M135" t="s">
        <v>74</v>
      </c>
      <c r="N135" t="s">
        <v>74</v>
      </c>
      <c r="O135" t="s">
        <v>74</v>
      </c>
      <c r="P135" t="s">
        <v>74</v>
      </c>
      <c r="Q135" t="s">
        <v>74</v>
      </c>
      <c r="R135" t="s">
        <v>74</v>
      </c>
      <c r="S135" t="s">
        <v>74</v>
      </c>
      <c r="T135" t="s">
        <v>74</v>
      </c>
      <c r="U135" t="s">
        <v>74</v>
      </c>
      <c r="V135" t="s">
        <v>1324</v>
      </c>
      <c r="W135" t="s">
        <v>74</v>
      </c>
      <c r="X135" t="s">
        <v>74</v>
      </c>
      <c r="Y135" t="s">
        <v>74</v>
      </c>
      <c r="Z135" t="s">
        <v>74</v>
      </c>
      <c r="AA135" t="s">
        <v>1325</v>
      </c>
      <c r="AB135" t="s">
        <v>1326</v>
      </c>
      <c r="AC135" t="s">
        <v>74</v>
      </c>
      <c r="AD135" t="s">
        <v>74</v>
      </c>
      <c r="AE135" t="s">
        <v>74</v>
      </c>
      <c r="AF135" t="s">
        <v>74</v>
      </c>
      <c r="AG135" t="s">
        <v>74</v>
      </c>
      <c r="AH135" t="s">
        <v>74</v>
      </c>
      <c r="AI135" t="s">
        <v>74</v>
      </c>
      <c r="AJ135" t="s">
        <v>74</v>
      </c>
      <c r="AK135" t="s">
        <v>74</v>
      </c>
      <c r="AL135" t="s">
        <v>74</v>
      </c>
      <c r="AM135" t="s">
        <v>74</v>
      </c>
      <c r="AN135" t="s">
        <v>74</v>
      </c>
      <c r="AO135" t="s">
        <v>74</v>
      </c>
      <c r="AP135" t="s">
        <v>309</v>
      </c>
      <c r="AQ135" t="s">
        <v>74</v>
      </c>
      <c r="AR135" t="s">
        <v>74</v>
      </c>
      <c r="AS135" t="s">
        <v>74</v>
      </c>
      <c r="AT135" t="s">
        <v>545</v>
      </c>
      <c r="AU135">
        <v>2025</v>
      </c>
      <c r="AV135">
        <v>8</v>
      </c>
      <c r="AW135">
        <v>5</v>
      </c>
      <c r="AX135" t="s">
        <v>74</v>
      </c>
      <c r="AY135" t="s">
        <v>74</v>
      </c>
      <c r="AZ135" t="s">
        <v>74</v>
      </c>
      <c r="BA135" t="s">
        <v>74</v>
      </c>
      <c r="BB135" t="s">
        <v>74</v>
      </c>
      <c r="BC135" t="s">
        <v>74</v>
      </c>
      <c r="BD135" t="s">
        <v>74</v>
      </c>
      <c r="BE135" t="s">
        <v>1327</v>
      </c>
      <c r="BF135" t="str">
        <f>HYPERLINK("http://dx.doi.org/10.1002/batt.202400636","http://dx.doi.org/10.1002/batt.202400636")</f>
        <v>http://dx.doi.org/10.1002/batt.202400636</v>
      </c>
      <c r="BG135" t="s">
        <v>74</v>
      </c>
      <c r="BH135" t="s">
        <v>1177</v>
      </c>
      <c r="BI135" t="s">
        <v>74</v>
      </c>
      <c r="BJ135" t="s">
        <v>74</v>
      </c>
      <c r="BK135" t="s">
        <v>74</v>
      </c>
      <c r="BL135" t="s">
        <v>74</v>
      </c>
      <c r="BM135" t="s">
        <v>74</v>
      </c>
      <c r="BN135" t="s">
        <v>74</v>
      </c>
      <c r="BO135" t="s">
        <v>74</v>
      </c>
      <c r="BP135" t="s">
        <v>74</v>
      </c>
      <c r="BQ135" t="s">
        <v>74</v>
      </c>
      <c r="BR135" t="s">
        <v>74</v>
      </c>
      <c r="BS135" t="s">
        <v>1328</v>
      </c>
      <c r="BT135" t="str">
        <f>HYPERLINK("https%3A%2F%2Fwww.webofscience.com%2Fwos%2Fwoscc%2Ffull-record%2FWOS:001367446100001","View Full Record in Web of Science")</f>
        <v>View Full Record in Web of Science</v>
      </c>
    </row>
    <row r="136" spans="1:72" x14ac:dyDescent="0.2">
      <c r="A136" t="s">
        <v>72</v>
      </c>
      <c r="B136" t="s">
        <v>1329</v>
      </c>
      <c r="C136" t="s">
        <v>74</v>
      </c>
      <c r="D136" t="s">
        <v>74</v>
      </c>
      <c r="E136" t="s">
        <v>74</v>
      </c>
      <c r="F136" t="s">
        <v>1330</v>
      </c>
      <c r="G136" t="s">
        <v>74</v>
      </c>
      <c r="H136" t="s">
        <v>74</v>
      </c>
      <c r="I136" t="s">
        <v>1331</v>
      </c>
      <c r="J136" t="s">
        <v>1332</v>
      </c>
      <c r="K136" t="s">
        <v>74</v>
      </c>
      <c r="L136" t="s">
        <v>74</v>
      </c>
      <c r="M136" t="s">
        <v>74</v>
      </c>
      <c r="N136" t="s">
        <v>74</v>
      </c>
      <c r="O136" t="s">
        <v>74</v>
      </c>
      <c r="P136" t="s">
        <v>74</v>
      </c>
      <c r="Q136" t="s">
        <v>74</v>
      </c>
      <c r="R136" t="s">
        <v>74</v>
      </c>
      <c r="S136" t="s">
        <v>74</v>
      </c>
      <c r="T136" t="s">
        <v>74</v>
      </c>
      <c r="U136" t="s">
        <v>74</v>
      </c>
      <c r="V136" t="s">
        <v>1333</v>
      </c>
      <c r="W136" t="s">
        <v>74</v>
      </c>
      <c r="X136" t="s">
        <v>74</v>
      </c>
      <c r="Y136" t="s">
        <v>74</v>
      </c>
      <c r="Z136" t="s">
        <v>74</v>
      </c>
      <c r="AA136" t="s">
        <v>1334</v>
      </c>
      <c r="AB136" t="s">
        <v>1335</v>
      </c>
      <c r="AC136" t="s">
        <v>74</v>
      </c>
      <c r="AD136" t="s">
        <v>74</v>
      </c>
      <c r="AE136" t="s">
        <v>74</v>
      </c>
      <c r="AF136" t="s">
        <v>74</v>
      </c>
      <c r="AG136" t="s">
        <v>74</v>
      </c>
      <c r="AH136" t="s">
        <v>74</v>
      </c>
      <c r="AI136" t="s">
        <v>74</v>
      </c>
      <c r="AJ136" t="s">
        <v>74</v>
      </c>
      <c r="AK136" t="s">
        <v>74</v>
      </c>
      <c r="AL136" t="s">
        <v>74</v>
      </c>
      <c r="AM136" t="s">
        <v>74</v>
      </c>
      <c r="AN136" t="s">
        <v>74</v>
      </c>
      <c r="AO136" t="s">
        <v>1336</v>
      </c>
      <c r="AP136" t="s">
        <v>1337</v>
      </c>
      <c r="AQ136" t="s">
        <v>74</v>
      </c>
      <c r="AR136" t="s">
        <v>74</v>
      </c>
      <c r="AS136" t="s">
        <v>74</v>
      </c>
      <c r="AT136" t="s">
        <v>1338</v>
      </c>
      <c r="AU136">
        <v>2025</v>
      </c>
      <c r="AV136">
        <v>54</v>
      </c>
      <c r="AW136">
        <v>3</v>
      </c>
      <c r="AX136" t="s">
        <v>74</v>
      </c>
      <c r="AY136" t="s">
        <v>74</v>
      </c>
      <c r="AZ136" t="s">
        <v>74</v>
      </c>
      <c r="BA136" t="s">
        <v>74</v>
      </c>
      <c r="BB136">
        <v>1199</v>
      </c>
      <c r="BC136">
        <v>1211</v>
      </c>
      <c r="BD136" t="s">
        <v>74</v>
      </c>
      <c r="BE136" t="s">
        <v>1339</v>
      </c>
      <c r="BF136" t="str">
        <f>HYPERLINK("http://dx.doi.org/10.1039/d4dt02256d","http://dx.doi.org/10.1039/d4dt02256d")</f>
        <v>http://dx.doi.org/10.1039/d4dt02256d</v>
      </c>
      <c r="BG136" t="s">
        <v>74</v>
      </c>
      <c r="BH136" t="s">
        <v>1340</v>
      </c>
      <c r="BI136" t="s">
        <v>74</v>
      </c>
      <c r="BJ136" t="s">
        <v>74</v>
      </c>
      <c r="BK136" t="s">
        <v>74</v>
      </c>
      <c r="BL136" t="s">
        <v>74</v>
      </c>
      <c r="BM136" t="s">
        <v>74</v>
      </c>
      <c r="BN136">
        <v>39611621</v>
      </c>
      <c r="BO136" t="s">
        <v>74</v>
      </c>
      <c r="BP136" t="s">
        <v>74</v>
      </c>
      <c r="BQ136" t="s">
        <v>74</v>
      </c>
      <c r="BR136" t="s">
        <v>74</v>
      </c>
      <c r="BS136" t="s">
        <v>1341</v>
      </c>
      <c r="BT136" t="str">
        <f>HYPERLINK("https%3A%2F%2Fwww.webofscience.com%2Fwos%2Fwoscc%2Ffull-record%2FWOS:001367571400001","View Full Record in Web of Science")</f>
        <v>View Full Record in Web of Science</v>
      </c>
    </row>
    <row r="137" spans="1:72" x14ac:dyDescent="0.2">
      <c r="A137" t="s">
        <v>72</v>
      </c>
      <c r="B137" t="s">
        <v>1342</v>
      </c>
      <c r="C137" t="s">
        <v>74</v>
      </c>
      <c r="D137" t="s">
        <v>74</v>
      </c>
      <c r="E137" t="s">
        <v>74</v>
      </c>
      <c r="F137" t="s">
        <v>1343</v>
      </c>
      <c r="G137" t="s">
        <v>74</v>
      </c>
      <c r="H137" t="s">
        <v>74</v>
      </c>
      <c r="I137" t="s">
        <v>1344</v>
      </c>
      <c r="J137" t="s">
        <v>231</v>
      </c>
      <c r="K137" t="s">
        <v>74</v>
      </c>
      <c r="L137" t="s">
        <v>74</v>
      </c>
      <c r="M137" t="s">
        <v>74</v>
      </c>
      <c r="N137" t="s">
        <v>74</v>
      </c>
      <c r="O137" t="s">
        <v>74</v>
      </c>
      <c r="P137" t="s">
        <v>74</v>
      </c>
      <c r="Q137" t="s">
        <v>74</v>
      </c>
      <c r="R137" t="s">
        <v>74</v>
      </c>
      <c r="S137" t="s">
        <v>74</v>
      </c>
      <c r="T137" t="s">
        <v>74</v>
      </c>
      <c r="U137" t="s">
        <v>74</v>
      </c>
      <c r="V137" t="s">
        <v>1345</v>
      </c>
      <c r="W137" t="s">
        <v>74</v>
      </c>
      <c r="X137" t="s">
        <v>74</v>
      </c>
      <c r="Y137" t="s">
        <v>74</v>
      </c>
      <c r="Z137" t="s">
        <v>74</v>
      </c>
      <c r="AA137" t="s">
        <v>1346</v>
      </c>
      <c r="AB137" t="s">
        <v>1347</v>
      </c>
      <c r="AC137" t="s">
        <v>74</v>
      </c>
      <c r="AD137" t="s">
        <v>74</v>
      </c>
      <c r="AE137" t="s">
        <v>74</v>
      </c>
      <c r="AF137" t="s">
        <v>74</v>
      </c>
      <c r="AG137" t="s">
        <v>74</v>
      </c>
      <c r="AH137" t="s">
        <v>74</v>
      </c>
      <c r="AI137" t="s">
        <v>74</v>
      </c>
      <c r="AJ137" t="s">
        <v>74</v>
      </c>
      <c r="AK137" t="s">
        <v>74</v>
      </c>
      <c r="AL137" t="s">
        <v>74</v>
      </c>
      <c r="AM137" t="s">
        <v>74</v>
      </c>
      <c r="AN137" t="s">
        <v>74</v>
      </c>
      <c r="AO137" t="s">
        <v>74</v>
      </c>
      <c r="AP137" t="s">
        <v>234</v>
      </c>
      <c r="AQ137" t="s">
        <v>74</v>
      </c>
      <c r="AR137" t="s">
        <v>74</v>
      </c>
      <c r="AS137" t="s">
        <v>74</v>
      </c>
      <c r="AT137" t="s">
        <v>1145</v>
      </c>
      <c r="AU137">
        <v>2025</v>
      </c>
      <c r="AV137">
        <v>64</v>
      </c>
      <c r="AW137">
        <v>5</v>
      </c>
      <c r="AX137" t="s">
        <v>74</v>
      </c>
      <c r="AY137" t="s">
        <v>74</v>
      </c>
      <c r="AZ137" t="s">
        <v>74</v>
      </c>
      <c r="BA137" t="s">
        <v>74</v>
      </c>
      <c r="BB137" t="s">
        <v>74</v>
      </c>
      <c r="BC137" t="s">
        <v>74</v>
      </c>
      <c r="BD137" t="s">
        <v>1348</v>
      </c>
      <c r="BE137" t="s">
        <v>1349</v>
      </c>
      <c r="BF137" t="str">
        <f>HYPERLINK("http://dx.doi.org/10.1002/anie.202417450","http://dx.doi.org/10.1002/anie.202417450")</f>
        <v>http://dx.doi.org/10.1002/anie.202417450</v>
      </c>
      <c r="BG137" t="s">
        <v>74</v>
      </c>
      <c r="BH137" t="s">
        <v>1340</v>
      </c>
      <c r="BI137" t="s">
        <v>74</v>
      </c>
      <c r="BJ137" t="s">
        <v>74</v>
      </c>
      <c r="BK137" t="s">
        <v>74</v>
      </c>
      <c r="BL137" t="s">
        <v>74</v>
      </c>
      <c r="BM137" t="s">
        <v>74</v>
      </c>
      <c r="BN137">
        <v>39526316</v>
      </c>
      <c r="BO137" t="s">
        <v>74</v>
      </c>
      <c r="BP137" t="s">
        <v>74</v>
      </c>
      <c r="BQ137" t="s">
        <v>74</v>
      </c>
      <c r="BR137" t="s">
        <v>74</v>
      </c>
      <c r="BS137" t="s">
        <v>1350</v>
      </c>
      <c r="BT137" t="str">
        <f>HYPERLINK("https%3A%2F%2Fwww.webofscience.com%2Fwos%2Fwoscc%2Ffull-record%2FWOS:001362190600001","View Full Record in Web of Science")</f>
        <v>View Full Record in Web of Science</v>
      </c>
    </row>
    <row r="138" spans="1:72" x14ac:dyDescent="0.2">
      <c r="A138" t="s">
        <v>72</v>
      </c>
      <c r="B138" t="s">
        <v>1351</v>
      </c>
      <c r="C138" t="s">
        <v>74</v>
      </c>
      <c r="D138" t="s">
        <v>74</v>
      </c>
      <c r="E138" t="s">
        <v>74</v>
      </c>
      <c r="F138" t="s">
        <v>1352</v>
      </c>
      <c r="G138" t="s">
        <v>74</v>
      </c>
      <c r="H138" t="s">
        <v>74</v>
      </c>
      <c r="I138" t="s">
        <v>1353</v>
      </c>
      <c r="J138" t="s">
        <v>109</v>
      </c>
      <c r="K138" t="s">
        <v>74</v>
      </c>
      <c r="L138" t="s">
        <v>74</v>
      </c>
      <c r="M138" t="s">
        <v>74</v>
      </c>
      <c r="N138" t="s">
        <v>74</v>
      </c>
      <c r="O138" t="s">
        <v>74</v>
      </c>
      <c r="P138" t="s">
        <v>74</v>
      </c>
      <c r="Q138" t="s">
        <v>74</v>
      </c>
      <c r="R138" t="s">
        <v>74</v>
      </c>
      <c r="S138" t="s">
        <v>74</v>
      </c>
      <c r="T138" t="s">
        <v>74</v>
      </c>
      <c r="U138" t="s">
        <v>74</v>
      </c>
      <c r="V138" t="s">
        <v>1354</v>
      </c>
      <c r="W138" t="s">
        <v>74</v>
      </c>
      <c r="X138" t="s">
        <v>74</v>
      </c>
      <c r="Y138" t="s">
        <v>74</v>
      </c>
      <c r="Z138" t="s">
        <v>74</v>
      </c>
      <c r="AA138" t="s">
        <v>74</v>
      </c>
      <c r="AB138" t="s">
        <v>74</v>
      </c>
      <c r="AC138" t="s">
        <v>74</v>
      </c>
      <c r="AD138" t="s">
        <v>74</v>
      </c>
      <c r="AE138" t="s">
        <v>74</v>
      </c>
      <c r="AF138" t="s">
        <v>74</v>
      </c>
      <c r="AG138" t="s">
        <v>74</v>
      </c>
      <c r="AH138" t="s">
        <v>74</v>
      </c>
      <c r="AI138" t="s">
        <v>74</v>
      </c>
      <c r="AJ138" t="s">
        <v>74</v>
      </c>
      <c r="AK138" t="s">
        <v>74</v>
      </c>
      <c r="AL138" t="s">
        <v>74</v>
      </c>
      <c r="AM138" t="s">
        <v>74</v>
      </c>
      <c r="AN138" t="s">
        <v>74</v>
      </c>
      <c r="AO138" t="s">
        <v>112</v>
      </c>
      <c r="AP138" t="s">
        <v>74</v>
      </c>
      <c r="AQ138" t="s">
        <v>74</v>
      </c>
      <c r="AR138" t="s">
        <v>74</v>
      </c>
      <c r="AS138" t="s">
        <v>74</v>
      </c>
      <c r="AT138" t="s">
        <v>1026</v>
      </c>
      <c r="AU138">
        <v>2025</v>
      </c>
      <c r="AV138">
        <v>102</v>
      </c>
      <c r="AW138" t="s">
        <v>74</v>
      </c>
      <c r="AX138" t="s">
        <v>74</v>
      </c>
      <c r="AY138" t="s">
        <v>74</v>
      </c>
      <c r="AZ138" t="s">
        <v>74</v>
      </c>
      <c r="BA138" t="s">
        <v>74</v>
      </c>
      <c r="BB138">
        <v>84</v>
      </c>
      <c r="BC138">
        <v>97</v>
      </c>
      <c r="BD138" t="s">
        <v>74</v>
      </c>
      <c r="BE138" t="s">
        <v>1355</v>
      </c>
      <c r="BF138" t="str">
        <f>HYPERLINK("http://dx.doi.org/10.1016/j.jechem.2024.09.069","http://dx.doi.org/10.1016/j.jechem.2024.09.069")</f>
        <v>http://dx.doi.org/10.1016/j.jechem.2024.09.069</v>
      </c>
      <c r="BG138" t="s">
        <v>74</v>
      </c>
      <c r="BH138" t="s">
        <v>1340</v>
      </c>
      <c r="BI138" t="s">
        <v>74</v>
      </c>
      <c r="BJ138" t="s">
        <v>74</v>
      </c>
      <c r="BK138" t="s">
        <v>74</v>
      </c>
      <c r="BL138" t="s">
        <v>74</v>
      </c>
      <c r="BM138" t="s">
        <v>74</v>
      </c>
      <c r="BN138" t="s">
        <v>74</v>
      </c>
      <c r="BO138" t="s">
        <v>74</v>
      </c>
      <c r="BP138" t="s">
        <v>74</v>
      </c>
      <c r="BQ138" t="s">
        <v>74</v>
      </c>
      <c r="BR138" t="s">
        <v>74</v>
      </c>
      <c r="BS138" t="s">
        <v>1356</v>
      </c>
      <c r="BT138" t="str">
        <f>HYPERLINK("https%3A%2F%2Fwww.webofscience.com%2Fwos%2Fwoscc%2Ffull-record%2FWOS:001361917400001","View Full Record in Web of Science")</f>
        <v>View Full Record in Web of Science</v>
      </c>
    </row>
    <row r="139" spans="1:72" x14ac:dyDescent="0.2">
      <c r="A139" t="s">
        <v>72</v>
      </c>
      <c r="B139" t="s">
        <v>1357</v>
      </c>
      <c r="C139" t="s">
        <v>74</v>
      </c>
      <c r="D139" t="s">
        <v>74</v>
      </c>
      <c r="E139" t="s">
        <v>74</v>
      </c>
      <c r="F139" t="s">
        <v>1358</v>
      </c>
      <c r="G139" t="s">
        <v>74</v>
      </c>
      <c r="H139" t="s">
        <v>74</v>
      </c>
      <c r="I139" t="s">
        <v>1359</v>
      </c>
      <c r="J139" t="s">
        <v>231</v>
      </c>
      <c r="K139" t="s">
        <v>74</v>
      </c>
      <c r="L139" t="s">
        <v>74</v>
      </c>
      <c r="M139" t="s">
        <v>74</v>
      </c>
      <c r="N139" t="s">
        <v>74</v>
      </c>
      <c r="O139" t="s">
        <v>74</v>
      </c>
      <c r="P139" t="s">
        <v>74</v>
      </c>
      <c r="Q139" t="s">
        <v>74</v>
      </c>
      <c r="R139" t="s">
        <v>74</v>
      </c>
      <c r="S139" t="s">
        <v>74</v>
      </c>
      <c r="T139" t="s">
        <v>74</v>
      </c>
      <c r="U139" t="s">
        <v>74</v>
      </c>
      <c r="V139" t="s">
        <v>1360</v>
      </c>
      <c r="W139" t="s">
        <v>74</v>
      </c>
      <c r="X139" t="s">
        <v>74</v>
      </c>
      <c r="Y139" t="s">
        <v>74</v>
      </c>
      <c r="Z139" t="s">
        <v>74</v>
      </c>
      <c r="AA139" t="s">
        <v>1361</v>
      </c>
      <c r="AB139" t="s">
        <v>1362</v>
      </c>
      <c r="AC139" t="s">
        <v>74</v>
      </c>
      <c r="AD139" t="s">
        <v>74</v>
      </c>
      <c r="AE139" t="s">
        <v>74</v>
      </c>
      <c r="AF139" t="s">
        <v>74</v>
      </c>
      <c r="AG139" t="s">
        <v>74</v>
      </c>
      <c r="AH139" t="s">
        <v>74</v>
      </c>
      <c r="AI139" t="s">
        <v>74</v>
      </c>
      <c r="AJ139" t="s">
        <v>74</v>
      </c>
      <c r="AK139" t="s">
        <v>74</v>
      </c>
      <c r="AL139" t="s">
        <v>74</v>
      </c>
      <c r="AM139" t="s">
        <v>74</v>
      </c>
      <c r="AN139" t="s">
        <v>74</v>
      </c>
      <c r="AO139" t="s">
        <v>1363</v>
      </c>
      <c r="AP139" t="s">
        <v>234</v>
      </c>
      <c r="AQ139" t="s">
        <v>74</v>
      </c>
      <c r="AR139" t="s">
        <v>74</v>
      </c>
      <c r="AS139" t="s">
        <v>74</v>
      </c>
      <c r="AT139" t="s">
        <v>1364</v>
      </c>
      <c r="AU139">
        <v>2024</v>
      </c>
      <c r="AV139">
        <v>63</v>
      </c>
      <c r="AW139">
        <v>52</v>
      </c>
      <c r="AX139" t="s">
        <v>74</v>
      </c>
      <c r="AY139" t="s">
        <v>74</v>
      </c>
      <c r="AZ139" t="s">
        <v>74</v>
      </c>
      <c r="BA139" t="s">
        <v>74</v>
      </c>
      <c r="BB139" t="s">
        <v>74</v>
      </c>
      <c r="BC139" t="s">
        <v>74</v>
      </c>
      <c r="BD139" t="s">
        <v>74</v>
      </c>
      <c r="BE139" t="s">
        <v>1365</v>
      </c>
      <c r="BF139" t="str">
        <f>HYPERLINK("http://dx.doi.org/10.1002/anie.202412280","http://dx.doi.org/10.1002/anie.202412280")</f>
        <v>http://dx.doi.org/10.1002/anie.202412280</v>
      </c>
      <c r="BG139" t="s">
        <v>74</v>
      </c>
      <c r="BH139" t="s">
        <v>1340</v>
      </c>
      <c r="BI139" t="s">
        <v>74</v>
      </c>
      <c r="BJ139" t="s">
        <v>74</v>
      </c>
      <c r="BK139" t="s">
        <v>74</v>
      </c>
      <c r="BL139" t="s">
        <v>74</v>
      </c>
      <c r="BM139" t="s">
        <v>74</v>
      </c>
      <c r="BN139">
        <v>39491025</v>
      </c>
      <c r="BO139" t="s">
        <v>74</v>
      </c>
      <c r="BP139" t="s">
        <v>74</v>
      </c>
      <c r="BQ139" t="s">
        <v>74</v>
      </c>
      <c r="BR139" t="s">
        <v>74</v>
      </c>
      <c r="BS139" t="s">
        <v>1366</v>
      </c>
      <c r="BT139" t="str">
        <f>HYPERLINK("https%3A%2F%2Fwww.webofscience.com%2Fwos%2Fwoscc%2Ffull-record%2FWOS:001357989400001","View Full Record in Web of Science")</f>
        <v>View Full Record in Web of Science</v>
      </c>
    </row>
    <row r="140" spans="1:72" x14ac:dyDescent="0.2">
      <c r="A140" t="s">
        <v>72</v>
      </c>
      <c r="B140" t="s">
        <v>1367</v>
      </c>
      <c r="C140" t="s">
        <v>74</v>
      </c>
      <c r="D140" t="s">
        <v>74</v>
      </c>
      <c r="E140" t="s">
        <v>74</v>
      </c>
      <c r="F140" t="s">
        <v>1368</v>
      </c>
      <c r="G140" t="s">
        <v>74</v>
      </c>
      <c r="H140" t="s">
        <v>74</v>
      </c>
      <c r="I140" t="s">
        <v>1369</v>
      </c>
      <c r="J140" t="s">
        <v>1370</v>
      </c>
      <c r="K140" t="s">
        <v>74</v>
      </c>
      <c r="L140" t="s">
        <v>74</v>
      </c>
      <c r="M140" t="s">
        <v>74</v>
      </c>
      <c r="N140" t="s">
        <v>74</v>
      </c>
      <c r="O140" t="s">
        <v>74</v>
      </c>
      <c r="P140" t="s">
        <v>74</v>
      </c>
      <c r="Q140" t="s">
        <v>74</v>
      </c>
      <c r="R140" t="s">
        <v>74</v>
      </c>
      <c r="S140" t="s">
        <v>74</v>
      </c>
      <c r="T140" t="s">
        <v>74</v>
      </c>
      <c r="U140" t="s">
        <v>74</v>
      </c>
      <c r="V140" t="s">
        <v>1371</v>
      </c>
      <c r="W140" t="s">
        <v>74</v>
      </c>
      <c r="X140" t="s">
        <v>74</v>
      </c>
      <c r="Y140" t="s">
        <v>74</v>
      </c>
      <c r="Z140" t="s">
        <v>74</v>
      </c>
      <c r="AA140" t="s">
        <v>1372</v>
      </c>
      <c r="AB140" t="s">
        <v>1373</v>
      </c>
      <c r="AC140" t="s">
        <v>74</v>
      </c>
      <c r="AD140" t="s">
        <v>74</v>
      </c>
      <c r="AE140" t="s">
        <v>74</v>
      </c>
      <c r="AF140" t="s">
        <v>74</v>
      </c>
      <c r="AG140" t="s">
        <v>74</v>
      </c>
      <c r="AH140" t="s">
        <v>74</v>
      </c>
      <c r="AI140" t="s">
        <v>74</v>
      </c>
      <c r="AJ140" t="s">
        <v>74</v>
      </c>
      <c r="AK140" t="s">
        <v>74</v>
      </c>
      <c r="AL140" t="s">
        <v>74</v>
      </c>
      <c r="AM140" t="s">
        <v>74</v>
      </c>
      <c r="AN140" t="s">
        <v>74</v>
      </c>
      <c r="AO140" t="s">
        <v>1374</v>
      </c>
      <c r="AP140" t="s">
        <v>1375</v>
      </c>
      <c r="AQ140" t="s">
        <v>74</v>
      </c>
      <c r="AR140" t="s">
        <v>74</v>
      </c>
      <c r="AS140" t="s">
        <v>74</v>
      </c>
      <c r="AT140" t="s">
        <v>1376</v>
      </c>
      <c r="AU140">
        <v>2024</v>
      </c>
      <c r="AV140">
        <v>35</v>
      </c>
      <c r="AW140">
        <v>47</v>
      </c>
      <c r="AX140" t="s">
        <v>74</v>
      </c>
      <c r="AY140" t="s">
        <v>74</v>
      </c>
      <c r="AZ140" t="s">
        <v>74</v>
      </c>
      <c r="BA140" t="s">
        <v>74</v>
      </c>
      <c r="BB140" t="s">
        <v>74</v>
      </c>
      <c r="BC140" t="s">
        <v>74</v>
      </c>
      <c r="BD140">
        <v>475403</v>
      </c>
      <c r="BE140" t="s">
        <v>1377</v>
      </c>
      <c r="BF140" t="str">
        <f>HYPERLINK("http://dx.doi.org/10.1088/1361-6528/ad7145","http://dx.doi.org/10.1088/1361-6528/ad7145")</f>
        <v>http://dx.doi.org/10.1088/1361-6528/ad7145</v>
      </c>
      <c r="BG140" t="s">
        <v>74</v>
      </c>
      <c r="BH140" t="s">
        <v>74</v>
      </c>
      <c r="BI140" t="s">
        <v>74</v>
      </c>
      <c r="BJ140" t="s">
        <v>74</v>
      </c>
      <c r="BK140" t="s">
        <v>74</v>
      </c>
      <c r="BL140" t="s">
        <v>74</v>
      </c>
      <c r="BM140" t="s">
        <v>74</v>
      </c>
      <c r="BN140">
        <v>39163875</v>
      </c>
      <c r="BO140" t="s">
        <v>74</v>
      </c>
      <c r="BP140" t="s">
        <v>74</v>
      </c>
      <c r="BQ140" t="s">
        <v>74</v>
      </c>
      <c r="BR140" t="s">
        <v>74</v>
      </c>
      <c r="BS140" t="s">
        <v>1378</v>
      </c>
      <c r="BT140" t="str">
        <f>HYPERLINK("https%3A%2F%2Fwww.webofscience.com%2Fwos%2Fwoscc%2Ffull-record%2FWOS:001304419200001","View Full Record in Web of Science")</f>
        <v>View Full Record in Web of Science</v>
      </c>
    </row>
    <row r="141" spans="1:72" x14ac:dyDescent="0.2">
      <c r="A141" t="s">
        <v>72</v>
      </c>
      <c r="B141" t="s">
        <v>1379</v>
      </c>
      <c r="C141" t="s">
        <v>74</v>
      </c>
      <c r="D141" t="s">
        <v>74</v>
      </c>
      <c r="E141" t="s">
        <v>74</v>
      </c>
      <c r="F141" t="s">
        <v>1380</v>
      </c>
      <c r="G141" t="s">
        <v>74</v>
      </c>
      <c r="H141" t="s">
        <v>74</v>
      </c>
      <c r="I141" t="s">
        <v>1381</v>
      </c>
      <c r="J141" t="s">
        <v>267</v>
      </c>
      <c r="K141" t="s">
        <v>74</v>
      </c>
      <c r="L141" t="s">
        <v>74</v>
      </c>
      <c r="M141" t="s">
        <v>74</v>
      </c>
      <c r="N141" t="s">
        <v>74</v>
      </c>
      <c r="O141" t="s">
        <v>74</v>
      </c>
      <c r="P141" t="s">
        <v>74</v>
      </c>
      <c r="Q141" t="s">
        <v>74</v>
      </c>
      <c r="R141" t="s">
        <v>74</v>
      </c>
      <c r="S141" t="s">
        <v>74</v>
      </c>
      <c r="T141" t="s">
        <v>74</v>
      </c>
      <c r="U141" t="s">
        <v>74</v>
      </c>
      <c r="V141" t="s">
        <v>1382</v>
      </c>
      <c r="W141" t="s">
        <v>74</v>
      </c>
      <c r="X141" t="s">
        <v>74</v>
      </c>
      <c r="Y141" t="s">
        <v>74</v>
      </c>
      <c r="Z141" t="s">
        <v>74</v>
      </c>
      <c r="AA141" t="s">
        <v>1383</v>
      </c>
      <c r="AB141" t="s">
        <v>74</v>
      </c>
      <c r="AC141" t="s">
        <v>74</v>
      </c>
      <c r="AD141" t="s">
        <v>74</v>
      </c>
      <c r="AE141" t="s">
        <v>74</v>
      </c>
      <c r="AF141" t="s">
        <v>74</v>
      </c>
      <c r="AG141" t="s">
        <v>74</v>
      </c>
      <c r="AH141" t="s">
        <v>74</v>
      </c>
      <c r="AI141" t="s">
        <v>74</v>
      </c>
      <c r="AJ141" t="s">
        <v>74</v>
      </c>
      <c r="AK141" t="s">
        <v>74</v>
      </c>
      <c r="AL141" t="s">
        <v>74</v>
      </c>
      <c r="AM141" t="s">
        <v>74</v>
      </c>
      <c r="AN141" t="s">
        <v>74</v>
      </c>
      <c r="AO141" t="s">
        <v>270</v>
      </c>
      <c r="AP141" t="s">
        <v>271</v>
      </c>
      <c r="AQ141" t="s">
        <v>74</v>
      </c>
      <c r="AR141" t="s">
        <v>74</v>
      </c>
      <c r="AS141" t="s">
        <v>74</v>
      </c>
      <c r="AT141" t="s">
        <v>954</v>
      </c>
      <c r="AU141">
        <v>2025</v>
      </c>
      <c r="AV141">
        <v>35</v>
      </c>
      <c r="AW141">
        <v>10</v>
      </c>
      <c r="AX141" t="s">
        <v>74</v>
      </c>
      <c r="AY141" t="s">
        <v>74</v>
      </c>
      <c r="AZ141" t="s">
        <v>74</v>
      </c>
      <c r="BA141" t="s">
        <v>74</v>
      </c>
      <c r="BB141" t="s">
        <v>74</v>
      </c>
      <c r="BC141" t="s">
        <v>74</v>
      </c>
      <c r="BD141" t="s">
        <v>74</v>
      </c>
      <c r="BE141" t="s">
        <v>1384</v>
      </c>
      <c r="BF141" t="str">
        <f>HYPERLINK("http://dx.doi.org/10.1002/adfm.202416634","http://dx.doi.org/10.1002/adfm.202416634")</f>
        <v>http://dx.doi.org/10.1002/adfm.202416634</v>
      </c>
      <c r="BG141" t="s">
        <v>74</v>
      </c>
      <c r="BH141" t="s">
        <v>1340</v>
      </c>
      <c r="BI141" t="s">
        <v>74</v>
      </c>
      <c r="BJ141" t="s">
        <v>74</v>
      </c>
      <c r="BK141" t="s">
        <v>74</v>
      </c>
      <c r="BL141" t="s">
        <v>74</v>
      </c>
      <c r="BM141" t="s">
        <v>74</v>
      </c>
      <c r="BN141" t="s">
        <v>74</v>
      </c>
      <c r="BO141" t="s">
        <v>74</v>
      </c>
      <c r="BP141" t="s">
        <v>74</v>
      </c>
      <c r="BQ141" t="s">
        <v>74</v>
      </c>
      <c r="BR141" t="s">
        <v>74</v>
      </c>
      <c r="BS141" t="s">
        <v>1385</v>
      </c>
      <c r="BT141" t="str">
        <f>HYPERLINK("https%3A%2F%2Fwww.webofscience.com%2Fwos%2Fwoscc%2Ffull-record%2FWOS:001357036100001","View Full Record in Web of Science")</f>
        <v>View Full Record in Web of Science</v>
      </c>
    </row>
    <row r="142" spans="1:72" x14ac:dyDescent="0.2">
      <c r="A142" t="s">
        <v>72</v>
      </c>
      <c r="B142" t="s">
        <v>1386</v>
      </c>
      <c r="C142" t="s">
        <v>74</v>
      </c>
      <c r="D142" t="s">
        <v>74</v>
      </c>
      <c r="E142" t="s">
        <v>74</v>
      </c>
      <c r="F142" t="s">
        <v>1387</v>
      </c>
      <c r="G142" t="s">
        <v>74</v>
      </c>
      <c r="H142" t="s">
        <v>74</v>
      </c>
      <c r="I142" t="s">
        <v>1388</v>
      </c>
      <c r="J142" t="s">
        <v>161</v>
      </c>
      <c r="K142" t="s">
        <v>74</v>
      </c>
      <c r="L142" t="s">
        <v>74</v>
      </c>
      <c r="M142" t="s">
        <v>74</v>
      </c>
      <c r="N142" t="s">
        <v>74</v>
      </c>
      <c r="O142" t="s">
        <v>74</v>
      </c>
      <c r="P142" t="s">
        <v>74</v>
      </c>
      <c r="Q142" t="s">
        <v>74</v>
      </c>
      <c r="R142" t="s">
        <v>74</v>
      </c>
      <c r="S142" t="s">
        <v>74</v>
      </c>
      <c r="T142" t="s">
        <v>74</v>
      </c>
      <c r="U142" t="s">
        <v>74</v>
      </c>
      <c r="V142" t="s">
        <v>1389</v>
      </c>
      <c r="W142" t="s">
        <v>74</v>
      </c>
      <c r="X142" t="s">
        <v>74</v>
      </c>
      <c r="Y142" t="s">
        <v>74</v>
      </c>
      <c r="Z142" t="s">
        <v>74</v>
      </c>
      <c r="AA142" t="s">
        <v>1390</v>
      </c>
      <c r="AB142" t="s">
        <v>74</v>
      </c>
      <c r="AC142" t="s">
        <v>74</v>
      </c>
      <c r="AD142" t="s">
        <v>74</v>
      </c>
      <c r="AE142" t="s">
        <v>74</v>
      </c>
      <c r="AF142" t="s">
        <v>74</v>
      </c>
      <c r="AG142" t="s">
        <v>74</v>
      </c>
      <c r="AH142" t="s">
        <v>74</v>
      </c>
      <c r="AI142" t="s">
        <v>74</v>
      </c>
      <c r="AJ142" t="s">
        <v>74</v>
      </c>
      <c r="AK142" t="s">
        <v>74</v>
      </c>
      <c r="AL142" t="s">
        <v>74</v>
      </c>
      <c r="AM142" t="s">
        <v>74</v>
      </c>
      <c r="AN142" t="s">
        <v>74</v>
      </c>
      <c r="AO142" t="s">
        <v>163</v>
      </c>
      <c r="AP142" t="s">
        <v>164</v>
      </c>
      <c r="AQ142" t="s">
        <v>74</v>
      </c>
      <c r="AR142" t="s">
        <v>74</v>
      </c>
      <c r="AS142" t="s">
        <v>74</v>
      </c>
      <c r="AT142" t="s">
        <v>1391</v>
      </c>
      <c r="AU142">
        <v>2024</v>
      </c>
      <c r="AV142">
        <v>500</v>
      </c>
      <c r="AW142" t="s">
        <v>74</v>
      </c>
      <c r="AX142" t="s">
        <v>74</v>
      </c>
      <c r="AY142" t="s">
        <v>74</v>
      </c>
      <c r="AZ142" t="s">
        <v>74</v>
      </c>
      <c r="BA142" t="s">
        <v>74</v>
      </c>
      <c r="BB142" t="s">
        <v>74</v>
      </c>
      <c r="BC142" t="s">
        <v>74</v>
      </c>
      <c r="BD142">
        <v>157564</v>
      </c>
      <c r="BE142" t="s">
        <v>1392</v>
      </c>
      <c r="BF142" t="str">
        <f>HYPERLINK("http://dx.doi.org/10.1016/j.cej.2024.157564","http://dx.doi.org/10.1016/j.cej.2024.157564")</f>
        <v>http://dx.doi.org/10.1016/j.cej.2024.157564</v>
      </c>
      <c r="BG142" t="s">
        <v>74</v>
      </c>
      <c r="BH142" t="s">
        <v>1340</v>
      </c>
      <c r="BI142" t="s">
        <v>74</v>
      </c>
      <c r="BJ142" t="s">
        <v>74</v>
      </c>
      <c r="BK142" t="s">
        <v>74</v>
      </c>
      <c r="BL142" t="s">
        <v>74</v>
      </c>
      <c r="BM142" t="s">
        <v>74</v>
      </c>
      <c r="BN142" t="s">
        <v>74</v>
      </c>
      <c r="BO142" t="s">
        <v>74</v>
      </c>
      <c r="BP142" t="s">
        <v>74</v>
      </c>
      <c r="BQ142" t="s">
        <v>74</v>
      </c>
      <c r="BR142" t="s">
        <v>74</v>
      </c>
      <c r="BS142" t="s">
        <v>1393</v>
      </c>
      <c r="BT142" t="str">
        <f>HYPERLINK("https%3A%2F%2Fwww.webofscience.com%2Fwos%2Fwoscc%2Ffull-record%2FWOS:001357529200001","View Full Record in Web of Science")</f>
        <v>View Full Record in Web of Science</v>
      </c>
    </row>
    <row r="143" spans="1:72" x14ac:dyDescent="0.2">
      <c r="A143" t="s">
        <v>72</v>
      </c>
      <c r="B143" t="s">
        <v>1394</v>
      </c>
      <c r="C143" t="s">
        <v>74</v>
      </c>
      <c r="D143" t="s">
        <v>74</v>
      </c>
      <c r="E143" t="s">
        <v>74</v>
      </c>
      <c r="F143" t="s">
        <v>1395</v>
      </c>
      <c r="G143" t="s">
        <v>74</v>
      </c>
      <c r="H143" t="s">
        <v>74</v>
      </c>
      <c r="I143" t="s">
        <v>1396</v>
      </c>
      <c r="J143" t="s">
        <v>1397</v>
      </c>
      <c r="K143" t="s">
        <v>74</v>
      </c>
      <c r="L143" t="s">
        <v>74</v>
      </c>
      <c r="M143" t="s">
        <v>74</v>
      </c>
      <c r="N143" t="s">
        <v>74</v>
      </c>
      <c r="O143" t="s">
        <v>74</v>
      </c>
      <c r="P143" t="s">
        <v>74</v>
      </c>
      <c r="Q143" t="s">
        <v>74</v>
      </c>
      <c r="R143" t="s">
        <v>74</v>
      </c>
      <c r="S143" t="s">
        <v>74</v>
      </c>
      <c r="T143" t="s">
        <v>74</v>
      </c>
      <c r="U143" t="s">
        <v>74</v>
      </c>
      <c r="V143" t="s">
        <v>1398</v>
      </c>
      <c r="W143" t="s">
        <v>74</v>
      </c>
      <c r="X143" t="s">
        <v>74</v>
      </c>
      <c r="Y143" t="s">
        <v>74</v>
      </c>
      <c r="Z143" t="s">
        <v>74</v>
      </c>
      <c r="AA143" t="s">
        <v>1399</v>
      </c>
      <c r="AB143" t="s">
        <v>1400</v>
      </c>
      <c r="AC143" t="s">
        <v>74</v>
      </c>
      <c r="AD143" t="s">
        <v>74</v>
      </c>
      <c r="AE143" t="s">
        <v>74</v>
      </c>
      <c r="AF143" t="s">
        <v>74</v>
      </c>
      <c r="AG143" t="s">
        <v>74</v>
      </c>
      <c r="AH143" t="s">
        <v>74</v>
      </c>
      <c r="AI143" t="s">
        <v>74</v>
      </c>
      <c r="AJ143" t="s">
        <v>74</v>
      </c>
      <c r="AK143" t="s">
        <v>74</v>
      </c>
      <c r="AL143" t="s">
        <v>74</v>
      </c>
      <c r="AM143" t="s">
        <v>74</v>
      </c>
      <c r="AN143" t="s">
        <v>74</v>
      </c>
      <c r="AO143" t="s">
        <v>1401</v>
      </c>
      <c r="AP143" t="s">
        <v>1402</v>
      </c>
      <c r="AQ143" t="s">
        <v>74</v>
      </c>
      <c r="AR143" t="s">
        <v>74</v>
      </c>
      <c r="AS143" t="s">
        <v>74</v>
      </c>
      <c r="AT143" t="s">
        <v>1403</v>
      </c>
      <c r="AU143">
        <v>2024</v>
      </c>
      <c r="AV143">
        <v>315</v>
      </c>
      <c r="AW143" t="s">
        <v>74</v>
      </c>
      <c r="AX143" t="s">
        <v>74</v>
      </c>
      <c r="AY143" t="s">
        <v>74</v>
      </c>
      <c r="AZ143" t="s">
        <v>74</v>
      </c>
      <c r="BA143" t="s">
        <v>74</v>
      </c>
      <c r="BB143" t="s">
        <v>74</v>
      </c>
      <c r="BC143" t="s">
        <v>74</v>
      </c>
      <c r="BD143">
        <v>127798</v>
      </c>
      <c r="BE143" t="s">
        <v>1404</v>
      </c>
      <c r="BF143" t="str">
        <f>HYPERLINK("http://dx.doi.org/10.1016/j.polymer.2024.127798","http://dx.doi.org/10.1016/j.polymer.2024.127798")</f>
        <v>http://dx.doi.org/10.1016/j.polymer.2024.127798</v>
      </c>
      <c r="BG143" t="s">
        <v>74</v>
      </c>
      <c r="BH143" t="s">
        <v>1340</v>
      </c>
      <c r="BI143" t="s">
        <v>74</v>
      </c>
      <c r="BJ143" t="s">
        <v>74</v>
      </c>
      <c r="BK143" t="s">
        <v>74</v>
      </c>
      <c r="BL143" t="s">
        <v>74</v>
      </c>
      <c r="BM143" t="s">
        <v>74</v>
      </c>
      <c r="BN143" t="s">
        <v>74</v>
      </c>
      <c r="BO143" t="s">
        <v>74</v>
      </c>
      <c r="BP143" t="s">
        <v>74</v>
      </c>
      <c r="BQ143" t="s">
        <v>74</v>
      </c>
      <c r="BR143" t="s">
        <v>74</v>
      </c>
      <c r="BS143" t="s">
        <v>1405</v>
      </c>
      <c r="BT143" t="str">
        <f>HYPERLINK("https%3A%2F%2Fwww.webofscience.com%2Fwos%2Fwoscc%2Ffull-record%2FWOS:001356060900001","View Full Record in Web of Science")</f>
        <v>View Full Record in Web of Science</v>
      </c>
    </row>
    <row r="144" spans="1:72" x14ac:dyDescent="0.2">
      <c r="A144" t="s">
        <v>72</v>
      </c>
      <c r="B144" t="s">
        <v>1406</v>
      </c>
      <c r="C144" t="s">
        <v>74</v>
      </c>
      <c r="D144" t="s">
        <v>74</v>
      </c>
      <c r="E144" t="s">
        <v>74</v>
      </c>
      <c r="F144" t="s">
        <v>1407</v>
      </c>
      <c r="G144" t="s">
        <v>74</v>
      </c>
      <c r="H144" t="s">
        <v>74</v>
      </c>
      <c r="I144" t="s">
        <v>1408</v>
      </c>
      <c r="J144" t="s">
        <v>267</v>
      </c>
      <c r="K144" t="s">
        <v>74</v>
      </c>
      <c r="L144" t="s">
        <v>74</v>
      </c>
      <c r="M144" t="s">
        <v>74</v>
      </c>
      <c r="N144" t="s">
        <v>74</v>
      </c>
      <c r="O144" t="s">
        <v>74</v>
      </c>
      <c r="P144" t="s">
        <v>74</v>
      </c>
      <c r="Q144" t="s">
        <v>74</v>
      </c>
      <c r="R144" t="s">
        <v>74</v>
      </c>
      <c r="S144" t="s">
        <v>74</v>
      </c>
      <c r="T144" t="s">
        <v>74</v>
      </c>
      <c r="U144" t="s">
        <v>74</v>
      </c>
      <c r="V144" t="s">
        <v>1409</v>
      </c>
      <c r="W144" t="s">
        <v>74</v>
      </c>
      <c r="X144" t="s">
        <v>74</v>
      </c>
      <c r="Y144" t="s">
        <v>74</v>
      </c>
      <c r="Z144" t="s">
        <v>74</v>
      </c>
      <c r="AA144" t="s">
        <v>1410</v>
      </c>
      <c r="AB144" t="s">
        <v>1411</v>
      </c>
      <c r="AC144" t="s">
        <v>74</v>
      </c>
      <c r="AD144" t="s">
        <v>74</v>
      </c>
      <c r="AE144" t="s">
        <v>74</v>
      </c>
      <c r="AF144" t="s">
        <v>74</v>
      </c>
      <c r="AG144" t="s">
        <v>74</v>
      </c>
      <c r="AH144" t="s">
        <v>74</v>
      </c>
      <c r="AI144" t="s">
        <v>74</v>
      </c>
      <c r="AJ144" t="s">
        <v>74</v>
      </c>
      <c r="AK144" t="s">
        <v>74</v>
      </c>
      <c r="AL144" t="s">
        <v>74</v>
      </c>
      <c r="AM144" t="s">
        <v>74</v>
      </c>
      <c r="AN144" t="s">
        <v>74</v>
      </c>
      <c r="AO144" t="s">
        <v>270</v>
      </c>
      <c r="AP144" t="s">
        <v>271</v>
      </c>
      <c r="AQ144" t="s">
        <v>74</v>
      </c>
      <c r="AR144" t="s">
        <v>74</v>
      </c>
      <c r="AS144" t="s">
        <v>74</v>
      </c>
      <c r="AT144" t="s">
        <v>954</v>
      </c>
      <c r="AU144">
        <v>2025</v>
      </c>
      <c r="AV144">
        <v>35</v>
      </c>
      <c r="AW144">
        <v>12</v>
      </c>
      <c r="AX144" t="s">
        <v>74</v>
      </c>
      <c r="AY144" t="s">
        <v>74</v>
      </c>
      <c r="AZ144" t="s">
        <v>74</v>
      </c>
      <c r="BA144" t="s">
        <v>74</v>
      </c>
      <c r="BB144" t="s">
        <v>74</v>
      </c>
      <c r="BC144" t="s">
        <v>74</v>
      </c>
      <c r="BD144" t="s">
        <v>74</v>
      </c>
      <c r="BE144" t="s">
        <v>1412</v>
      </c>
      <c r="BF144" t="str">
        <f>HYPERLINK("http://dx.doi.org/10.1002/adfm.202417457","http://dx.doi.org/10.1002/adfm.202417457")</f>
        <v>http://dx.doi.org/10.1002/adfm.202417457</v>
      </c>
      <c r="BG144" t="s">
        <v>74</v>
      </c>
      <c r="BH144" t="s">
        <v>1340</v>
      </c>
      <c r="BI144" t="s">
        <v>74</v>
      </c>
      <c r="BJ144" t="s">
        <v>74</v>
      </c>
      <c r="BK144" t="s">
        <v>74</v>
      </c>
      <c r="BL144" t="s">
        <v>74</v>
      </c>
      <c r="BM144" t="s">
        <v>74</v>
      </c>
      <c r="BN144" t="s">
        <v>74</v>
      </c>
      <c r="BO144" t="s">
        <v>74</v>
      </c>
      <c r="BP144" t="s">
        <v>74</v>
      </c>
      <c r="BQ144" t="s">
        <v>74</v>
      </c>
      <c r="BR144" t="s">
        <v>74</v>
      </c>
      <c r="BS144" t="s">
        <v>1413</v>
      </c>
      <c r="BT144" t="str">
        <f>HYPERLINK("https%3A%2F%2Fwww.webofscience.com%2Fwos%2Fwoscc%2Ffull-record%2FWOS:001355339500001","View Full Record in Web of Science")</f>
        <v>View Full Record in Web of Science</v>
      </c>
    </row>
    <row r="145" spans="1:72" x14ac:dyDescent="0.2">
      <c r="A145" t="s">
        <v>72</v>
      </c>
      <c r="B145" t="s">
        <v>1414</v>
      </c>
      <c r="C145" t="s">
        <v>74</v>
      </c>
      <c r="D145" t="s">
        <v>74</v>
      </c>
      <c r="E145" t="s">
        <v>74</v>
      </c>
      <c r="F145" t="s">
        <v>1415</v>
      </c>
      <c r="G145" t="s">
        <v>74</v>
      </c>
      <c r="H145" t="s">
        <v>74</v>
      </c>
      <c r="I145" t="s">
        <v>1416</v>
      </c>
      <c r="J145" t="s">
        <v>231</v>
      </c>
      <c r="K145" t="s">
        <v>74</v>
      </c>
      <c r="L145" t="s">
        <v>74</v>
      </c>
      <c r="M145" t="s">
        <v>74</v>
      </c>
      <c r="N145" t="s">
        <v>74</v>
      </c>
      <c r="O145" t="s">
        <v>74</v>
      </c>
      <c r="P145" t="s">
        <v>74</v>
      </c>
      <c r="Q145" t="s">
        <v>74</v>
      </c>
      <c r="R145" t="s">
        <v>74</v>
      </c>
      <c r="S145" t="s">
        <v>74</v>
      </c>
      <c r="T145" t="s">
        <v>74</v>
      </c>
      <c r="U145" t="s">
        <v>74</v>
      </c>
      <c r="V145" t="s">
        <v>1417</v>
      </c>
      <c r="W145" t="s">
        <v>74</v>
      </c>
      <c r="X145" t="s">
        <v>74</v>
      </c>
      <c r="Y145" t="s">
        <v>74</v>
      </c>
      <c r="Z145" t="s">
        <v>74</v>
      </c>
      <c r="AA145" t="s">
        <v>1418</v>
      </c>
      <c r="AB145" t="s">
        <v>1419</v>
      </c>
      <c r="AC145" t="s">
        <v>74</v>
      </c>
      <c r="AD145" t="s">
        <v>74</v>
      </c>
      <c r="AE145" t="s">
        <v>74</v>
      </c>
      <c r="AF145" t="s">
        <v>74</v>
      </c>
      <c r="AG145" t="s">
        <v>74</v>
      </c>
      <c r="AH145" t="s">
        <v>74</v>
      </c>
      <c r="AI145" t="s">
        <v>74</v>
      </c>
      <c r="AJ145" t="s">
        <v>74</v>
      </c>
      <c r="AK145" t="s">
        <v>74</v>
      </c>
      <c r="AL145" t="s">
        <v>74</v>
      </c>
      <c r="AM145" t="s">
        <v>74</v>
      </c>
      <c r="AN145" t="s">
        <v>74</v>
      </c>
      <c r="AO145" t="s">
        <v>74</v>
      </c>
      <c r="AP145" t="s">
        <v>234</v>
      </c>
      <c r="AQ145" t="s">
        <v>74</v>
      </c>
      <c r="AR145" t="s">
        <v>74</v>
      </c>
      <c r="AS145" t="s">
        <v>74</v>
      </c>
      <c r="AT145" t="s">
        <v>1420</v>
      </c>
      <c r="AU145">
        <v>2025</v>
      </c>
      <c r="AV145">
        <v>64</v>
      </c>
      <c r="AW145">
        <v>3</v>
      </c>
      <c r="AX145" t="s">
        <v>74</v>
      </c>
      <c r="AY145" t="s">
        <v>74</v>
      </c>
      <c r="AZ145" t="s">
        <v>74</v>
      </c>
      <c r="BA145" t="s">
        <v>74</v>
      </c>
      <c r="BB145" t="s">
        <v>74</v>
      </c>
      <c r="BC145" t="s">
        <v>74</v>
      </c>
      <c r="BD145" t="s">
        <v>74</v>
      </c>
      <c r="BE145" t="s">
        <v>1421</v>
      </c>
      <c r="BF145" t="str">
        <f>HYPERLINK("http://dx.doi.org/10.1002/anie.202415644","http://dx.doi.org/10.1002/anie.202415644")</f>
        <v>http://dx.doi.org/10.1002/anie.202415644</v>
      </c>
      <c r="BG145" t="s">
        <v>74</v>
      </c>
      <c r="BH145" t="s">
        <v>1340</v>
      </c>
      <c r="BI145" t="s">
        <v>74</v>
      </c>
      <c r="BJ145" t="s">
        <v>74</v>
      </c>
      <c r="BK145" t="s">
        <v>74</v>
      </c>
      <c r="BL145" t="s">
        <v>74</v>
      </c>
      <c r="BM145" t="s">
        <v>74</v>
      </c>
      <c r="BN145">
        <v>39363723</v>
      </c>
      <c r="BO145" t="s">
        <v>74</v>
      </c>
      <c r="BP145" t="s">
        <v>74</v>
      </c>
      <c r="BQ145" t="s">
        <v>74</v>
      </c>
      <c r="BR145" t="s">
        <v>74</v>
      </c>
      <c r="BS145" t="s">
        <v>1422</v>
      </c>
      <c r="BT145" t="str">
        <f>HYPERLINK("https%3A%2F%2Fwww.webofscience.com%2Fwos%2Fwoscc%2Ffull-record%2FWOS:001357653000001","View Full Record in Web of Science")</f>
        <v>View Full Record in Web of Science</v>
      </c>
    </row>
    <row r="146" spans="1:72" x14ac:dyDescent="0.2">
      <c r="A146" t="s">
        <v>72</v>
      </c>
      <c r="B146" t="s">
        <v>1423</v>
      </c>
      <c r="C146" t="s">
        <v>74</v>
      </c>
      <c r="D146" t="s">
        <v>74</v>
      </c>
      <c r="E146" t="s">
        <v>74</v>
      </c>
      <c r="F146" t="s">
        <v>1424</v>
      </c>
      <c r="G146" t="s">
        <v>74</v>
      </c>
      <c r="H146" t="s">
        <v>74</v>
      </c>
      <c r="I146" t="s">
        <v>1425</v>
      </c>
      <c r="J146" t="s">
        <v>98</v>
      </c>
      <c r="K146" t="s">
        <v>74</v>
      </c>
      <c r="L146" t="s">
        <v>74</v>
      </c>
      <c r="M146" t="s">
        <v>74</v>
      </c>
      <c r="N146" t="s">
        <v>74</v>
      </c>
      <c r="O146" t="s">
        <v>74</v>
      </c>
      <c r="P146" t="s">
        <v>74</v>
      </c>
      <c r="Q146" t="s">
        <v>74</v>
      </c>
      <c r="R146" t="s">
        <v>74</v>
      </c>
      <c r="S146" t="s">
        <v>74</v>
      </c>
      <c r="T146" t="s">
        <v>74</v>
      </c>
      <c r="U146" t="s">
        <v>74</v>
      </c>
      <c r="V146" t="s">
        <v>1426</v>
      </c>
      <c r="W146" t="s">
        <v>74</v>
      </c>
      <c r="X146" t="s">
        <v>74</v>
      </c>
      <c r="Y146" t="s">
        <v>74</v>
      </c>
      <c r="Z146" t="s">
        <v>74</v>
      </c>
      <c r="AA146" t="s">
        <v>1427</v>
      </c>
      <c r="AB146" t="s">
        <v>1428</v>
      </c>
      <c r="AC146" t="s">
        <v>74</v>
      </c>
      <c r="AD146" t="s">
        <v>74</v>
      </c>
      <c r="AE146" t="s">
        <v>74</v>
      </c>
      <c r="AF146" t="s">
        <v>74</v>
      </c>
      <c r="AG146" t="s">
        <v>74</v>
      </c>
      <c r="AH146" t="s">
        <v>74</v>
      </c>
      <c r="AI146" t="s">
        <v>74</v>
      </c>
      <c r="AJ146" t="s">
        <v>74</v>
      </c>
      <c r="AK146" t="s">
        <v>74</v>
      </c>
      <c r="AL146" t="s">
        <v>74</v>
      </c>
      <c r="AM146" t="s">
        <v>74</v>
      </c>
      <c r="AN146" t="s">
        <v>74</v>
      </c>
      <c r="AO146" t="s">
        <v>101</v>
      </c>
      <c r="AP146" t="s">
        <v>102</v>
      </c>
      <c r="AQ146" t="s">
        <v>74</v>
      </c>
      <c r="AR146" t="s">
        <v>74</v>
      </c>
      <c r="AS146" t="s">
        <v>74</v>
      </c>
      <c r="AT146" t="s">
        <v>1420</v>
      </c>
      <c r="AU146">
        <v>2025</v>
      </c>
      <c r="AV146">
        <v>626</v>
      </c>
      <c r="AW146" t="s">
        <v>74</v>
      </c>
      <c r="AX146" t="s">
        <v>74</v>
      </c>
      <c r="AY146" t="s">
        <v>74</v>
      </c>
      <c r="AZ146" t="s">
        <v>74</v>
      </c>
      <c r="BA146" t="s">
        <v>74</v>
      </c>
      <c r="BB146" t="s">
        <v>74</v>
      </c>
      <c r="BC146" t="s">
        <v>74</v>
      </c>
      <c r="BD146">
        <v>235711</v>
      </c>
      <c r="BE146" t="s">
        <v>1429</v>
      </c>
      <c r="BF146" t="str">
        <f>HYPERLINK("http://dx.doi.org/10.1016/j.jpowsour.2024.235711","http://dx.doi.org/10.1016/j.jpowsour.2024.235711")</f>
        <v>http://dx.doi.org/10.1016/j.jpowsour.2024.235711</v>
      </c>
      <c r="BG146" t="s">
        <v>74</v>
      </c>
      <c r="BH146" t="s">
        <v>1340</v>
      </c>
      <c r="BI146" t="s">
        <v>74</v>
      </c>
      <c r="BJ146" t="s">
        <v>74</v>
      </c>
      <c r="BK146" t="s">
        <v>74</v>
      </c>
      <c r="BL146" t="s">
        <v>74</v>
      </c>
      <c r="BM146" t="s">
        <v>74</v>
      </c>
      <c r="BN146" t="s">
        <v>74</v>
      </c>
      <c r="BO146" t="s">
        <v>74</v>
      </c>
      <c r="BP146" t="s">
        <v>74</v>
      </c>
      <c r="BQ146" t="s">
        <v>74</v>
      </c>
      <c r="BR146" t="s">
        <v>74</v>
      </c>
      <c r="BS146" t="s">
        <v>1430</v>
      </c>
      <c r="BT146" t="str">
        <f>HYPERLINK("https%3A%2F%2Fwww.webofscience.com%2Fwos%2Fwoscc%2Ffull-record%2FWOS:001353515600001","View Full Record in Web of Science")</f>
        <v>View Full Record in Web of Science</v>
      </c>
    </row>
    <row r="147" spans="1:72" x14ac:dyDescent="0.2">
      <c r="A147" t="s">
        <v>72</v>
      </c>
      <c r="B147" t="s">
        <v>1431</v>
      </c>
      <c r="C147" t="s">
        <v>74</v>
      </c>
      <c r="D147" t="s">
        <v>74</v>
      </c>
      <c r="E147" t="s">
        <v>74</v>
      </c>
      <c r="F147" t="s">
        <v>1432</v>
      </c>
      <c r="G147" t="s">
        <v>74</v>
      </c>
      <c r="H147" t="s">
        <v>74</v>
      </c>
      <c r="I147" t="s">
        <v>1433</v>
      </c>
      <c r="J147" t="s">
        <v>161</v>
      </c>
      <c r="K147" t="s">
        <v>74</v>
      </c>
      <c r="L147" t="s">
        <v>74</v>
      </c>
      <c r="M147" t="s">
        <v>74</v>
      </c>
      <c r="N147" t="s">
        <v>74</v>
      </c>
      <c r="O147" t="s">
        <v>74</v>
      </c>
      <c r="P147" t="s">
        <v>74</v>
      </c>
      <c r="Q147" t="s">
        <v>74</v>
      </c>
      <c r="R147" t="s">
        <v>74</v>
      </c>
      <c r="S147" t="s">
        <v>74</v>
      </c>
      <c r="T147" t="s">
        <v>74</v>
      </c>
      <c r="U147" t="s">
        <v>74</v>
      </c>
      <c r="V147" t="s">
        <v>1434</v>
      </c>
      <c r="W147" t="s">
        <v>74</v>
      </c>
      <c r="X147" t="s">
        <v>74</v>
      </c>
      <c r="Y147" t="s">
        <v>74</v>
      </c>
      <c r="Z147" t="s">
        <v>74</v>
      </c>
      <c r="AA147" t="s">
        <v>1435</v>
      </c>
      <c r="AB147" t="s">
        <v>74</v>
      </c>
      <c r="AC147" t="s">
        <v>74</v>
      </c>
      <c r="AD147" t="s">
        <v>74</v>
      </c>
      <c r="AE147" t="s">
        <v>74</v>
      </c>
      <c r="AF147" t="s">
        <v>74</v>
      </c>
      <c r="AG147" t="s">
        <v>74</v>
      </c>
      <c r="AH147" t="s">
        <v>74</v>
      </c>
      <c r="AI147" t="s">
        <v>74</v>
      </c>
      <c r="AJ147" t="s">
        <v>74</v>
      </c>
      <c r="AK147" t="s">
        <v>74</v>
      </c>
      <c r="AL147" t="s">
        <v>74</v>
      </c>
      <c r="AM147" t="s">
        <v>74</v>
      </c>
      <c r="AN147" t="s">
        <v>74</v>
      </c>
      <c r="AO147" t="s">
        <v>163</v>
      </c>
      <c r="AP147" t="s">
        <v>164</v>
      </c>
      <c r="AQ147" t="s">
        <v>74</v>
      </c>
      <c r="AR147" t="s">
        <v>74</v>
      </c>
      <c r="AS147" t="s">
        <v>74</v>
      </c>
      <c r="AT147" t="s">
        <v>1391</v>
      </c>
      <c r="AU147">
        <v>2024</v>
      </c>
      <c r="AV147">
        <v>500</v>
      </c>
      <c r="AW147" t="s">
        <v>74</v>
      </c>
      <c r="AX147" t="s">
        <v>74</v>
      </c>
      <c r="AY147" t="s">
        <v>74</v>
      </c>
      <c r="AZ147" t="s">
        <v>74</v>
      </c>
      <c r="BA147" t="s">
        <v>74</v>
      </c>
      <c r="BB147" t="s">
        <v>74</v>
      </c>
      <c r="BC147" t="s">
        <v>74</v>
      </c>
      <c r="BD147">
        <v>156790</v>
      </c>
      <c r="BE147" t="s">
        <v>1436</v>
      </c>
      <c r="BF147" t="str">
        <f>HYPERLINK("http://dx.doi.org/10.1016/j.cej.2024.156790","http://dx.doi.org/10.1016/j.cej.2024.156790")</f>
        <v>http://dx.doi.org/10.1016/j.cej.2024.156790</v>
      </c>
      <c r="BG147" t="s">
        <v>74</v>
      </c>
      <c r="BH147" t="s">
        <v>1340</v>
      </c>
      <c r="BI147" t="s">
        <v>74</v>
      </c>
      <c r="BJ147" t="s">
        <v>74</v>
      </c>
      <c r="BK147" t="s">
        <v>74</v>
      </c>
      <c r="BL147" t="s">
        <v>74</v>
      </c>
      <c r="BM147" t="s">
        <v>74</v>
      </c>
      <c r="BN147" t="s">
        <v>74</v>
      </c>
      <c r="BO147" t="s">
        <v>74</v>
      </c>
      <c r="BP147" t="s">
        <v>74</v>
      </c>
      <c r="BQ147" t="s">
        <v>74</v>
      </c>
      <c r="BR147" t="s">
        <v>74</v>
      </c>
      <c r="BS147" t="s">
        <v>1437</v>
      </c>
      <c r="BT147" t="str">
        <f>HYPERLINK("https%3A%2F%2Fwww.webofscience.com%2Fwos%2Fwoscc%2Ffull-record%2FWOS:001351326300001","View Full Record in Web of Science")</f>
        <v>View Full Record in Web of Science</v>
      </c>
    </row>
    <row r="148" spans="1:72" x14ac:dyDescent="0.2">
      <c r="A148" t="s">
        <v>72</v>
      </c>
      <c r="B148" t="s">
        <v>1438</v>
      </c>
      <c r="C148" t="s">
        <v>74</v>
      </c>
      <c r="D148" t="s">
        <v>74</v>
      </c>
      <c r="E148" t="s">
        <v>74</v>
      </c>
      <c r="F148" t="s">
        <v>1439</v>
      </c>
      <c r="G148" t="s">
        <v>74</v>
      </c>
      <c r="H148" t="s">
        <v>74</v>
      </c>
      <c r="I148" t="s">
        <v>1440</v>
      </c>
      <c r="J148" t="s">
        <v>1441</v>
      </c>
      <c r="K148" t="s">
        <v>74</v>
      </c>
      <c r="L148" t="s">
        <v>74</v>
      </c>
      <c r="M148" t="s">
        <v>74</v>
      </c>
      <c r="N148" t="s">
        <v>74</v>
      </c>
      <c r="O148" t="s">
        <v>74</v>
      </c>
      <c r="P148" t="s">
        <v>74</v>
      </c>
      <c r="Q148" t="s">
        <v>74</v>
      </c>
      <c r="R148" t="s">
        <v>74</v>
      </c>
      <c r="S148" t="s">
        <v>74</v>
      </c>
      <c r="T148" t="s">
        <v>74</v>
      </c>
      <c r="U148" t="s">
        <v>74</v>
      </c>
      <c r="V148" t="s">
        <v>1442</v>
      </c>
      <c r="W148" t="s">
        <v>74</v>
      </c>
      <c r="X148" t="s">
        <v>74</v>
      </c>
      <c r="Y148" t="s">
        <v>74</v>
      </c>
      <c r="Z148" t="s">
        <v>74</v>
      </c>
      <c r="AA148" t="s">
        <v>1443</v>
      </c>
      <c r="AB148" t="s">
        <v>74</v>
      </c>
      <c r="AC148" t="s">
        <v>74</v>
      </c>
      <c r="AD148" t="s">
        <v>74</v>
      </c>
      <c r="AE148" t="s">
        <v>74</v>
      </c>
      <c r="AF148" t="s">
        <v>74</v>
      </c>
      <c r="AG148" t="s">
        <v>74</v>
      </c>
      <c r="AH148" t="s">
        <v>74</v>
      </c>
      <c r="AI148" t="s">
        <v>74</v>
      </c>
      <c r="AJ148" t="s">
        <v>74</v>
      </c>
      <c r="AK148" t="s">
        <v>74</v>
      </c>
      <c r="AL148" t="s">
        <v>74</v>
      </c>
      <c r="AM148" t="s">
        <v>74</v>
      </c>
      <c r="AN148" t="s">
        <v>74</v>
      </c>
      <c r="AO148" t="s">
        <v>1444</v>
      </c>
      <c r="AP148" t="s">
        <v>74</v>
      </c>
      <c r="AQ148" t="s">
        <v>74</v>
      </c>
      <c r="AR148" t="s">
        <v>74</v>
      </c>
      <c r="AS148" t="s">
        <v>74</v>
      </c>
      <c r="AT148" t="s">
        <v>1299</v>
      </c>
      <c r="AU148">
        <v>2024</v>
      </c>
      <c r="AV148">
        <v>11</v>
      </c>
      <c r="AW148">
        <v>24</v>
      </c>
      <c r="AX148" t="s">
        <v>74</v>
      </c>
      <c r="AY148" t="s">
        <v>74</v>
      </c>
      <c r="AZ148" t="s">
        <v>74</v>
      </c>
      <c r="BA148" t="s">
        <v>74</v>
      </c>
      <c r="BB148">
        <v>8715</v>
      </c>
      <c r="BC148">
        <v>8724</v>
      </c>
      <c r="BD148" t="s">
        <v>74</v>
      </c>
      <c r="BE148" t="s">
        <v>1445</v>
      </c>
      <c r="BF148" t="str">
        <f>HYPERLINK("http://dx.doi.org/10.1039/d4qi02372b","http://dx.doi.org/10.1039/d4qi02372b")</f>
        <v>http://dx.doi.org/10.1039/d4qi02372b</v>
      </c>
      <c r="BG148" t="s">
        <v>74</v>
      </c>
      <c r="BH148" t="s">
        <v>1340</v>
      </c>
      <c r="BI148" t="s">
        <v>74</v>
      </c>
      <c r="BJ148" t="s">
        <v>74</v>
      </c>
      <c r="BK148" t="s">
        <v>74</v>
      </c>
      <c r="BL148" t="s">
        <v>74</v>
      </c>
      <c r="BM148" t="s">
        <v>74</v>
      </c>
      <c r="BN148" t="s">
        <v>74</v>
      </c>
      <c r="BO148" t="s">
        <v>74</v>
      </c>
      <c r="BP148" t="s">
        <v>74</v>
      </c>
      <c r="BQ148" t="s">
        <v>74</v>
      </c>
      <c r="BR148" t="s">
        <v>74</v>
      </c>
      <c r="BS148" t="s">
        <v>1446</v>
      </c>
      <c r="BT148" t="str">
        <f>HYPERLINK("https%3A%2F%2Fwww.webofscience.com%2Fwos%2Fwoscc%2Ffull-record%2FWOS:001354663800001","View Full Record in Web of Science")</f>
        <v>View Full Record in Web of Science</v>
      </c>
    </row>
    <row r="149" spans="1:72" x14ac:dyDescent="0.2">
      <c r="A149" t="s">
        <v>72</v>
      </c>
      <c r="B149" t="s">
        <v>1447</v>
      </c>
      <c r="C149" t="s">
        <v>74</v>
      </c>
      <c r="D149" t="s">
        <v>74</v>
      </c>
      <c r="E149" t="s">
        <v>74</v>
      </c>
      <c r="F149" t="s">
        <v>1448</v>
      </c>
      <c r="G149" t="s">
        <v>74</v>
      </c>
      <c r="H149" t="s">
        <v>74</v>
      </c>
      <c r="I149" t="s">
        <v>1449</v>
      </c>
      <c r="J149" t="s">
        <v>161</v>
      </c>
      <c r="K149" t="s">
        <v>74</v>
      </c>
      <c r="L149" t="s">
        <v>74</v>
      </c>
      <c r="M149" t="s">
        <v>74</v>
      </c>
      <c r="N149" t="s">
        <v>74</v>
      </c>
      <c r="O149" t="s">
        <v>74</v>
      </c>
      <c r="P149" t="s">
        <v>74</v>
      </c>
      <c r="Q149" t="s">
        <v>74</v>
      </c>
      <c r="R149" t="s">
        <v>74</v>
      </c>
      <c r="S149" t="s">
        <v>74</v>
      </c>
      <c r="T149" t="s">
        <v>74</v>
      </c>
      <c r="U149" t="s">
        <v>74</v>
      </c>
      <c r="V149" t="s">
        <v>1450</v>
      </c>
      <c r="W149" t="s">
        <v>74</v>
      </c>
      <c r="X149" t="s">
        <v>74</v>
      </c>
      <c r="Y149" t="s">
        <v>74</v>
      </c>
      <c r="Z149" t="s">
        <v>74</v>
      </c>
      <c r="AA149" t="s">
        <v>1451</v>
      </c>
      <c r="AB149" t="s">
        <v>74</v>
      </c>
      <c r="AC149" t="s">
        <v>74</v>
      </c>
      <c r="AD149" t="s">
        <v>74</v>
      </c>
      <c r="AE149" t="s">
        <v>74</v>
      </c>
      <c r="AF149" t="s">
        <v>74</v>
      </c>
      <c r="AG149" t="s">
        <v>74</v>
      </c>
      <c r="AH149" t="s">
        <v>74</v>
      </c>
      <c r="AI149" t="s">
        <v>74</v>
      </c>
      <c r="AJ149" t="s">
        <v>74</v>
      </c>
      <c r="AK149" t="s">
        <v>74</v>
      </c>
      <c r="AL149" t="s">
        <v>74</v>
      </c>
      <c r="AM149" t="s">
        <v>74</v>
      </c>
      <c r="AN149" t="s">
        <v>74</v>
      </c>
      <c r="AO149" t="s">
        <v>163</v>
      </c>
      <c r="AP149" t="s">
        <v>164</v>
      </c>
      <c r="AQ149" t="s">
        <v>74</v>
      </c>
      <c r="AR149" t="s">
        <v>74</v>
      </c>
      <c r="AS149" t="s">
        <v>74</v>
      </c>
      <c r="AT149" t="s">
        <v>1391</v>
      </c>
      <c r="AU149">
        <v>2024</v>
      </c>
      <c r="AV149">
        <v>500</v>
      </c>
      <c r="AW149" t="s">
        <v>74</v>
      </c>
      <c r="AX149" t="s">
        <v>74</v>
      </c>
      <c r="AY149" t="s">
        <v>74</v>
      </c>
      <c r="AZ149" t="s">
        <v>74</v>
      </c>
      <c r="BA149" t="s">
        <v>74</v>
      </c>
      <c r="BB149" t="s">
        <v>74</v>
      </c>
      <c r="BC149" t="s">
        <v>74</v>
      </c>
      <c r="BD149">
        <v>157218</v>
      </c>
      <c r="BE149" t="s">
        <v>1452</v>
      </c>
      <c r="BF149" t="str">
        <f>HYPERLINK("http://dx.doi.org/10.1016/j.cej.2024.157218","http://dx.doi.org/10.1016/j.cej.2024.157218")</f>
        <v>http://dx.doi.org/10.1016/j.cej.2024.157218</v>
      </c>
      <c r="BG149" t="s">
        <v>74</v>
      </c>
      <c r="BH149" t="s">
        <v>1340</v>
      </c>
      <c r="BI149" t="s">
        <v>74</v>
      </c>
      <c r="BJ149" t="s">
        <v>74</v>
      </c>
      <c r="BK149" t="s">
        <v>74</v>
      </c>
      <c r="BL149" t="s">
        <v>74</v>
      </c>
      <c r="BM149" t="s">
        <v>74</v>
      </c>
      <c r="BN149" t="s">
        <v>74</v>
      </c>
      <c r="BO149" t="s">
        <v>74</v>
      </c>
      <c r="BP149" t="s">
        <v>74</v>
      </c>
      <c r="BQ149" t="s">
        <v>74</v>
      </c>
      <c r="BR149" t="s">
        <v>74</v>
      </c>
      <c r="BS149" t="s">
        <v>1453</v>
      </c>
      <c r="BT149" t="str">
        <f>HYPERLINK("https%3A%2F%2Fwww.webofscience.com%2Fwos%2Fwoscc%2Ffull-record%2FWOS:001350440400001","View Full Record in Web of Science")</f>
        <v>View Full Record in Web of Science</v>
      </c>
    </row>
    <row r="150" spans="1:72" x14ac:dyDescent="0.2">
      <c r="A150" t="s">
        <v>72</v>
      </c>
      <c r="B150" t="s">
        <v>1454</v>
      </c>
      <c r="C150" t="s">
        <v>74</v>
      </c>
      <c r="D150" t="s">
        <v>74</v>
      </c>
      <c r="E150" t="s">
        <v>74</v>
      </c>
      <c r="F150" t="s">
        <v>1455</v>
      </c>
      <c r="G150" t="s">
        <v>74</v>
      </c>
      <c r="H150" t="s">
        <v>74</v>
      </c>
      <c r="I150" t="s">
        <v>1456</v>
      </c>
      <c r="J150" t="s">
        <v>1457</v>
      </c>
      <c r="K150" t="s">
        <v>74</v>
      </c>
      <c r="L150" t="s">
        <v>74</v>
      </c>
      <c r="M150" t="s">
        <v>74</v>
      </c>
      <c r="N150" t="s">
        <v>74</v>
      </c>
      <c r="O150" t="s">
        <v>74</v>
      </c>
      <c r="P150" t="s">
        <v>74</v>
      </c>
      <c r="Q150" t="s">
        <v>74</v>
      </c>
      <c r="R150" t="s">
        <v>74</v>
      </c>
      <c r="S150" t="s">
        <v>74</v>
      </c>
      <c r="T150" t="s">
        <v>74</v>
      </c>
      <c r="U150" t="s">
        <v>74</v>
      </c>
      <c r="V150" t="s">
        <v>1458</v>
      </c>
      <c r="W150" t="s">
        <v>74</v>
      </c>
      <c r="X150" t="s">
        <v>74</v>
      </c>
      <c r="Y150" t="s">
        <v>74</v>
      </c>
      <c r="Z150" t="s">
        <v>74</v>
      </c>
      <c r="AA150" t="s">
        <v>1459</v>
      </c>
      <c r="AB150" t="s">
        <v>1460</v>
      </c>
      <c r="AC150" t="s">
        <v>74</v>
      </c>
      <c r="AD150" t="s">
        <v>74</v>
      </c>
      <c r="AE150" t="s">
        <v>74</v>
      </c>
      <c r="AF150" t="s">
        <v>74</v>
      </c>
      <c r="AG150" t="s">
        <v>74</v>
      </c>
      <c r="AH150" t="s">
        <v>74</v>
      </c>
      <c r="AI150" t="s">
        <v>74</v>
      </c>
      <c r="AJ150" t="s">
        <v>74</v>
      </c>
      <c r="AK150" t="s">
        <v>74</v>
      </c>
      <c r="AL150" t="s">
        <v>74</v>
      </c>
      <c r="AM150" t="s">
        <v>74</v>
      </c>
      <c r="AN150" t="s">
        <v>74</v>
      </c>
      <c r="AO150" t="s">
        <v>1461</v>
      </c>
      <c r="AP150" t="s">
        <v>1462</v>
      </c>
      <c r="AQ150" t="s">
        <v>74</v>
      </c>
      <c r="AR150" t="s">
        <v>74</v>
      </c>
      <c r="AS150" t="s">
        <v>74</v>
      </c>
      <c r="AT150" t="s">
        <v>1463</v>
      </c>
      <c r="AU150">
        <v>2025</v>
      </c>
      <c r="AV150">
        <v>682</v>
      </c>
      <c r="AW150" t="s">
        <v>74</v>
      </c>
      <c r="AX150" t="s">
        <v>74</v>
      </c>
      <c r="AY150" t="s">
        <v>74</v>
      </c>
      <c r="AZ150" t="s">
        <v>74</v>
      </c>
      <c r="BA150" t="s">
        <v>74</v>
      </c>
      <c r="BB150" t="s">
        <v>74</v>
      </c>
      <c r="BC150" t="s">
        <v>74</v>
      </c>
      <c r="BD150">
        <v>161636</v>
      </c>
      <c r="BE150" t="s">
        <v>1464</v>
      </c>
      <c r="BF150" t="str">
        <f>HYPERLINK("http://dx.doi.org/10.1016/j.apsusc.2024.161636","http://dx.doi.org/10.1016/j.apsusc.2024.161636")</f>
        <v>http://dx.doi.org/10.1016/j.apsusc.2024.161636</v>
      </c>
      <c r="BG150" t="s">
        <v>74</v>
      </c>
      <c r="BH150" t="s">
        <v>1340</v>
      </c>
      <c r="BI150" t="s">
        <v>74</v>
      </c>
      <c r="BJ150" t="s">
        <v>74</v>
      </c>
      <c r="BK150" t="s">
        <v>74</v>
      </c>
      <c r="BL150" t="s">
        <v>74</v>
      </c>
      <c r="BM150" t="s">
        <v>74</v>
      </c>
      <c r="BN150" t="s">
        <v>74</v>
      </c>
      <c r="BO150" t="s">
        <v>74</v>
      </c>
      <c r="BP150" t="s">
        <v>74</v>
      </c>
      <c r="BQ150" t="s">
        <v>74</v>
      </c>
      <c r="BR150" t="s">
        <v>74</v>
      </c>
      <c r="BS150" t="s">
        <v>1465</v>
      </c>
      <c r="BT150" t="str">
        <f>HYPERLINK("https%3A%2F%2Fwww.webofscience.com%2Fwos%2Fwoscc%2Ffull-record%2FWOS:001350490200001","View Full Record in Web of Science")</f>
        <v>View Full Record in Web of Science</v>
      </c>
    </row>
    <row r="151" spans="1:72" x14ac:dyDescent="0.2">
      <c r="A151" t="s">
        <v>72</v>
      </c>
      <c r="B151" t="s">
        <v>1466</v>
      </c>
      <c r="C151" t="s">
        <v>74</v>
      </c>
      <c r="D151" t="s">
        <v>74</v>
      </c>
      <c r="E151" t="s">
        <v>74</v>
      </c>
      <c r="F151" t="s">
        <v>1467</v>
      </c>
      <c r="G151" t="s">
        <v>74</v>
      </c>
      <c r="H151" t="s">
        <v>74</v>
      </c>
      <c r="I151" t="s">
        <v>1468</v>
      </c>
      <c r="J151" t="s">
        <v>598</v>
      </c>
      <c r="K151" t="s">
        <v>74</v>
      </c>
      <c r="L151" t="s">
        <v>74</v>
      </c>
      <c r="M151" t="s">
        <v>74</v>
      </c>
      <c r="N151" t="s">
        <v>74</v>
      </c>
      <c r="O151" t="s">
        <v>74</v>
      </c>
      <c r="P151" t="s">
        <v>74</v>
      </c>
      <c r="Q151" t="s">
        <v>74</v>
      </c>
      <c r="R151" t="s">
        <v>74</v>
      </c>
      <c r="S151" t="s">
        <v>74</v>
      </c>
      <c r="T151" t="s">
        <v>74</v>
      </c>
      <c r="U151" t="s">
        <v>74</v>
      </c>
      <c r="V151" t="s">
        <v>1469</v>
      </c>
      <c r="W151" t="s">
        <v>74</v>
      </c>
      <c r="X151" t="s">
        <v>74</v>
      </c>
      <c r="Y151" t="s">
        <v>74</v>
      </c>
      <c r="Z151" t="s">
        <v>74</v>
      </c>
      <c r="AA151" t="s">
        <v>1470</v>
      </c>
      <c r="AB151" t="s">
        <v>1471</v>
      </c>
      <c r="AC151" t="s">
        <v>74</v>
      </c>
      <c r="AD151" t="s">
        <v>74</v>
      </c>
      <c r="AE151" t="s">
        <v>74</v>
      </c>
      <c r="AF151" t="s">
        <v>74</v>
      </c>
      <c r="AG151" t="s">
        <v>74</v>
      </c>
      <c r="AH151" t="s">
        <v>74</v>
      </c>
      <c r="AI151" t="s">
        <v>74</v>
      </c>
      <c r="AJ151" t="s">
        <v>74</v>
      </c>
      <c r="AK151" t="s">
        <v>74</v>
      </c>
      <c r="AL151" t="s">
        <v>74</v>
      </c>
      <c r="AM151" t="s">
        <v>74</v>
      </c>
      <c r="AN151" t="s">
        <v>74</v>
      </c>
      <c r="AO151" t="s">
        <v>601</v>
      </c>
      <c r="AP151" t="s">
        <v>602</v>
      </c>
      <c r="AQ151" t="s">
        <v>74</v>
      </c>
      <c r="AR151" t="s">
        <v>74</v>
      </c>
      <c r="AS151" t="s">
        <v>74</v>
      </c>
      <c r="AT151" t="s">
        <v>1154</v>
      </c>
      <c r="AU151">
        <v>2025</v>
      </c>
      <c r="AV151">
        <v>18</v>
      </c>
      <c r="AW151">
        <v>3</v>
      </c>
      <c r="AX151" t="s">
        <v>74</v>
      </c>
      <c r="AY151" t="s">
        <v>74</v>
      </c>
      <c r="AZ151" t="s">
        <v>74</v>
      </c>
      <c r="BA151" t="s">
        <v>74</v>
      </c>
      <c r="BB151" t="s">
        <v>74</v>
      </c>
      <c r="BC151" t="s">
        <v>74</v>
      </c>
      <c r="BD151" t="s">
        <v>74</v>
      </c>
      <c r="BE151" t="s">
        <v>1472</v>
      </c>
      <c r="BF151" t="str">
        <f>HYPERLINK("http://dx.doi.org/10.1002/cssc.202401304","http://dx.doi.org/10.1002/cssc.202401304")</f>
        <v>http://dx.doi.org/10.1002/cssc.202401304</v>
      </c>
      <c r="BG151" t="s">
        <v>74</v>
      </c>
      <c r="BH151" t="s">
        <v>1340</v>
      </c>
      <c r="BI151" t="s">
        <v>74</v>
      </c>
      <c r="BJ151" t="s">
        <v>74</v>
      </c>
      <c r="BK151" t="s">
        <v>74</v>
      </c>
      <c r="BL151" t="s">
        <v>74</v>
      </c>
      <c r="BM151" t="s">
        <v>74</v>
      </c>
      <c r="BN151">
        <v>39265054</v>
      </c>
      <c r="BO151" t="s">
        <v>74</v>
      </c>
      <c r="BP151" t="s">
        <v>74</v>
      </c>
      <c r="BQ151" t="s">
        <v>74</v>
      </c>
      <c r="BR151" t="s">
        <v>74</v>
      </c>
      <c r="BS151" t="s">
        <v>1473</v>
      </c>
      <c r="BT151" t="str">
        <f>HYPERLINK("https%3A%2F%2Fwww.webofscience.com%2Fwos%2Fwoscc%2Ffull-record%2FWOS:001357234500001","View Full Record in Web of Science")</f>
        <v>View Full Record in Web of Science</v>
      </c>
    </row>
    <row r="152" spans="1:72" x14ac:dyDescent="0.2">
      <c r="A152" t="s">
        <v>72</v>
      </c>
      <c r="B152" t="s">
        <v>1474</v>
      </c>
      <c r="C152" t="s">
        <v>74</v>
      </c>
      <c r="D152" t="s">
        <v>74</v>
      </c>
      <c r="E152" t="s">
        <v>74</v>
      </c>
      <c r="F152" t="s">
        <v>1475</v>
      </c>
      <c r="G152" t="s">
        <v>74</v>
      </c>
      <c r="H152" t="s">
        <v>74</v>
      </c>
      <c r="I152" t="s">
        <v>1476</v>
      </c>
      <c r="J152" t="s">
        <v>1477</v>
      </c>
      <c r="K152" t="s">
        <v>74</v>
      </c>
      <c r="L152" t="s">
        <v>74</v>
      </c>
      <c r="M152" t="s">
        <v>74</v>
      </c>
      <c r="N152" t="s">
        <v>74</v>
      </c>
      <c r="O152" t="s">
        <v>74</v>
      </c>
      <c r="P152" t="s">
        <v>74</v>
      </c>
      <c r="Q152" t="s">
        <v>74</v>
      </c>
      <c r="R152" t="s">
        <v>74</v>
      </c>
      <c r="S152" t="s">
        <v>74</v>
      </c>
      <c r="T152" t="s">
        <v>74</v>
      </c>
      <c r="U152" t="s">
        <v>74</v>
      </c>
      <c r="V152" t="s">
        <v>1478</v>
      </c>
      <c r="W152" t="s">
        <v>74</v>
      </c>
      <c r="X152" t="s">
        <v>74</v>
      </c>
      <c r="Y152" t="s">
        <v>74</v>
      </c>
      <c r="Z152" t="s">
        <v>74</v>
      </c>
      <c r="AA152" t="s">
        <v>74</v>
      </c>
      <c r="AB152" t="s">
        <v>74</v>
      </c>
      <c r="AC152" t="s">
        <v>74</v>
      </c>
      <c r="AD152" t="s">
        <v>74</v>
      </c>
      <c r="AE152" t="s">
        <v>74</v>
      </c>
      <c r="AF152" t="s">
        <v>74</v>
      </c>
      <c r="AG152" t="s">
        <v>74</v>
      </c>
      <c r="AH152" t="s">
        <v>74</v>
      </c>
      <c r="AI152" t="s">
        <v>74</v>
      </c>
      <c r="AJ152" t="s">
        <v>74</v>
      </c>
      <c r="AK152" t="s">
        <v>74</v>
      </c>
      <c r="AL152" t="s">
        <v>74</v>
      </c>
      <c r="AM152" t="s">
        <v>74</v>
      </c>
      <c r="AN152" t="s">
        <v>74</v>
      </c>
      <c r="AO152" t="s">
        <v>1479</v>
      </c>
      <c r="AP152" t="s">
        <v>74</v>
      </c>
      <c r="AQ152" t="s">
        <v>74</v>
      </c>
      <c r="AR152" t="s">
        <v>74</v>
      </c>
      <c r="AS152" t="s">
        <v>74</v>
      </c>
      <c r="AT152" t="s">
        <v>92</v>
      </c>
      <c r="AU152">
        <v>2024</v>
      </c>
      <c r="AV152">
        <v>15</v>
      </c>
      <c r="AW152">
        <v>4</v>
      </c>
      <c r="AX152" t="s">
        <v>74</v>
      </c>
      <c r="AY152" t="s">
        <v>74</v>
      </c>
      <c r="AZ152" t="s">
        <v>74</v>
      </c>
      <c r="BA152" t="s">
        <v>74</v>
      </c>
      <c r="BB152">
        <v>530</v>
      </c>
      <c r="BC152">
        <v>540</v>
      </c>
      <c r="BD152" t="s">
        <v>74</v>
      </c>
      <c r="BE152" t="s">
        <v>1480</v>
      </c>
      <c r="BF152" t="str">
        <f>HYPERLINK("http://dx.doi.org/10.33961/jecst.2024.00591","http://dx.doi.org/10.33961/jecst.2024.00591")</f>
        <v>http://dx.doi.org/10.33961/jecst.2024.00591</v>
      </c>
      <c r="BG152" t="s">
        <v>74</v>
      </c>
      <c r="BH152" t="s">
        <v>74</v>
      </c>
      <c r="BI152" t="s">
        <v>74</v>
      </c>
      <c r="BJ152" t="s">
        <v>74</v>
      </c>
      <c r="BK152" t="s">
        <v>74</v>
      </c>
      <c r="BL152" t="s">
        <v>74</v>
      </c>
      <c r="BM152" t="s">
        <v>74</v>
      </c>
      <c r="BN152" t="s">
        <v>74</v>
      </c>
      <c r="BO152" t="s">
        <v>74</v>
      </c>
      <c r="BP152" t="s">
        <v>74</v>
      </c>
      <c r="BQ152" t="s">
        <v>74</v>
      </c>
      <c r="BR152" t="s">
        <v>74</v>
      </c>
      <c r="BS152" t="s">
        <v>1481</v>
      </c>
      <c r="BT152" t="str">
        <f>HYPERLINK("https%3A%2F%2Fwww.webofscience.com%2Fwos%2Fwoscc%2Ffull-record%2FWOS:001310198900009","View Full Record in Web of Science")</f>
        <v>View Full Record in Web of Science</v>
      </c>
    </row>
    <row r="153" spans="1:72" x14ac:dyDescent="0.2">
      <c r="A153" t="s">
        <v>72</v>
      </c>
      <c r="B153" t="s">
        <v>1482</v>
      </c>
      <c r="C153" t="s">
        <v>74</v>
      </c>
      <c r="D153" t="s">
        <v>74</v>
      </c>
      <c r="E153" t="s">
        <v>74</v>
      </c>
      <c r="F153" t="s">
        <v>1483</v>
      </c>
      <c r="G153" t="s">
        <v>74</v>
      </c>
      <c r="H153" t="s">
        <v>74</v>
      </c>
      <c r="I153" t="s">
        <v>1484</v>
      </c>
      <c r="J153" t="s">
        <v>1040</v>
      </c>
      <c r="K153" t="s">
        <v>74</v>
      </c>
      <c r="L153" t="s">
        <v>74</v>
      </c>
      <c r="M153" t="s">
        <v>74</v>
      </c>
      <c r="N153" t="s">
        <v>74</v>
      </c>
      <c r="O153" t="s">
        <v>74</v>
      </c>
      <c r="P153" t="s">
        <v>74</v>
      </c>
      <c r="Q153" t="s">
        <v>74</v>
      </c>
      <c r="R153" t="s">
        <v>74</v>
      </c>
      <c r="S153" t="s">
        <v>74</v>
      </c>
      <c r="T153" t="s">
        <v>74</v>
      </c>
      <c r="U153" t="s">
        <v>74</v>
      </c>
      <c r="V153" t="s">
        <v>1485</v>
      </c>
      <c r="W153" t="s">
        <v>74</v>
      </c>
      <c r="X153" t="s">
        <v>74</v>
      </c>
      <c r="Y153" t="s">
        <v>74</v>
      </c>
      <c r="Z153" t="s">
        <v>74</v>
      </c>
      <c r="AA153" t="s">
        <v>1486</v>
      </c>
      <c r="AB153" t="s">
        <v>1487</v>
      </c>
      <c r="AC153" t="s">
        <v>74</v>
      </c>
      <c r="AD153" t="s">
        <v>74</v>
      </c>
      <c r="AE153" t="s">
        <v>74</v>
      </c>
      <c r="AF153" t="s">
        <v>74</v>
      </c>
      <c r="AG153" t="s">
        <v>74</v>
      </c>
      <c r="AH153" t="s">
        <v>74</v>
      </c>
      <c r="AI153" t="s">
        <v>74</v>
      </c>
      <c r="AJ153" t="s">
        <v>74</v>
      </c>
      <c r="AK153" t="s">
        <v>74</v>
      </c>
      <c r="AL153" t="s">
        <v>74</v>
      </c>
      <c r="AM153" t="s">
        <v>74</v>
      </c>
      <c r="AN153" t="s">
        <v>74</v>
      </c>
      <c r="AO153" t="s">
        <v>1043</v>
      </c>
      <c r="AP153" t="s">
        <v>1044</v>
      </c>
      <c r="AQ153" t="s">
        <v>74</v>
      </c>
      <c r="AR153" t="s">
        <v>74</v>
      </c>
      <c r="AS153" t="s">
        <v>74</v>
      </c>
      <c r="AT153" t="s">
        <v>81</v>
      </c>
      <c r="AU153">
        <v>2024</v>
      </c>
      <c r="AV153">
        <v>26</v>
      </c>
      <c r="AW153">
        <v>45</v>
      </c>
      <c r="AX153" t="s">
        <v>74</v>
      </c>
      <c r="AY153" t="s">
        <v>74</v>
      </c>
      <c r="AZ153" t="s">
        <v>74</v>
      </c>
      <c r="BA153" t="s">
        <v>74</v>
      </c>
      <c r="BB153">
        <v>28495</v>
      </c>
      <c r="BC153">
        <v>28502</v>
      </c>
      <c r="BD153" t="s">
        <v>74</v>
      </c>
      <c r="BE153" t="s">
        <v>1488</v>
      </c>
      <c r="BF153" t="str">
        <f>HYPERLINK("http://dx.doi.org/10.1039/d4cp02296c","http://dx.doi.org/10.1039/d4cp02296c")</f>
        <v>http://dx.doi.org/10.1039/d4cp02296c</v>
      </c>
      <c r="BG153" t="s">
        <v>74</v>
      </c>
      <c r="BH153" t="s">
        <v>1340</v>
      </c>
      <c r="BI153" t="s">
        <v>74</v>
      </c>
      <c r="BJ153" t="s">
        <v>74</v>
      </c>
      <c r="BK153" t="s">
        <v>74</v>
      </c>
      <c r="BL153" t="s">
        <v>74</v>
      </c>
      <c r="BM153" t="s">
        <v>74</v>
      </c>
      <c r="BN153">
        <v>39512194</v>
      </c>
      <c r="BO153" t="s">
        <v>74</v>
      </c>
      <c r="BP153" t="s">
        <v>74</v>
      </c>
      <c r="BQ153" t="s">
        <v>74</v>
      </c>
      <c r="BR153" t="s">
        <v>74</v>
      </c>
      <c r="BS153" t="s">
        <v>1489</v>
      </c>
      <c r="BT153" t="str">
        <f>HYPERLINK("https%3A%2F%2Fwww.webofscience.com%2Fwos%2Fwoscc%2Ffull-record%2FWOS:001349902200001","View Full Record in Web of Science")</f>
        <v>View Full Record in Web of Science</v>
      </c>
    </row>
    <row r="154" spans="1:72" x14ac:dyDescent="0.2">
      <c r="A154" t="s">
        <v>72</v>
      </c>
      <c r="B154" t="s">
        <v>1490</v>
      </c>
      <c r="C154" t="s">
        <v>74</v>
      </c>
      <c r="D154" t="s">
        <v>74</v>
      </c>
      <c r="E154" t="s">
        <v>74</v>
      </c>
      <c r="F154" t="s">
        <v>1491</v>
      </c>
      <c r="G154" t="s">
        <v>74</v>
      </c>
      <c r="H154" t="s">
        <v>74</v>
      </c>
      <c r="I154" t="s">
        <v>1492</v>
      </c>
      <c r="J154" t="s">
        <v>1493</v>
      </c>
      <c r="K154" t="s">
        <v>74</v>
      </c>
      <c r="L154" t="s">
        <v>74</v>
      </c>
      <c r="M154" t="s">
        <v>74</v>
      </c>
      <c r="N154" t="s">
        <v>74</v>
      </c>
      <c r="O154" t="s">
        <v>74</v>
      </c>
      <c r="P154" t="s">
        <v>74</v>
      </c>
      <c r="Q154" t="s">
        <v>74</v>
      </c>
      <c r="R154" t="s">
        <v>74</v>
      </c>
      <c r="S154" t="s">
        <v>74</v>
      </c>
      <c r="T154" t="s">
        <v>74</v>
      </c>
      <c r="U154" t="s">
        <v>74</v>
      </c>
      <c r="V154" t="s">
        <v>1494</v>
      </c>
      <c r="W154" t="s">
        <v>74</v>
      </c>
      <c r="X154" t="s">
        <v>74</v>
      </c>
      <c r="Y154" t="s">
        <v>74</v>
      </c>
      <c r="Z154" t="s">
        <v>74</v>
      </c>
      <c r="AA154" t="s">
        <v>1495</v>
      </c>
      <c r="AB154" t="s">
        <v>1496</v>
      </c>
      <c r="AC154" t="s">
        <v>74</v>
      </c>
      <c r="AD154" t="s">
        <v>74</v>
      </c>
      <c r="AE154" t="s">
        <v>74</v>
      </c>
      <c r="AF154" t="s">
        <v>74</v>
      </c>
      <c r="AG154" t="s">
        <v>74</v>
      </c>
      <c r="AH154" t="s">
        <v>74</v>
      </c>
      <c r="AI154" t="s">
        <v>74</v>
      </c>
      <c r="AJ154" t="s">
        <v>74</v>
      </c>
      <c r="AK154" t="s">
        <v>74</v>
      </c>
      <c r="AL154" t="s">
        <v>74</v>
      </c>
      <c r="AM154" t="s">
        <v>74</v>
      </c>
      <c r="AN154" t="s">
        <v>74</v>
      </c>
      <c r="AO154" t="s">
        <v>74</v>
      </c>
      <c r="AP154" t="s">
        <v>1497</v>
      </c>
      <c r="AQ154" t="s">
        <v>74</v>
      </c>
      <c r="AR154" t="s">
        <v>74</v>
      </c>
      <c r="AS154" t="s">
        <v>74</v>
      </c>
      <c r="AT154" t="s">
        <v>92</v>
      </c>
      <c r="AU154">
        <v>2024</v>
      </c>
      <c r="AV154">
        <v>29</v>
      </c>
      <c r="AW154">
        <v>22</v>
      </c>
      <c r="AX154" t="s">
        <v>74</v>
      </c>
      <c r="AY154" t="s">
        <v>74</v>
      </c>
      <c r="AZ154" t="s">
        <v>74</v>
      </c>
      <c r="BA154" t="s">
        <v>74</v>
      </c>
      <c r="BB154" t="s">
        <v>74</v>
      </c>
      <c r="BC154" t="s">
        <v>74</v>
      </c>
      <c r="BD154">
        <v>5311</v>
      </c>
      <c r="BE154" t="s">
        <v>1498</v>
      </c>
      <c r="BF154" t="str">
        <f>HYPERLINK("http://dx.doi.org/10.3390/molecules29225311","http://dx.doi.org/10.3390/molecules29225311")</f>
        <v>http://dx.doi.org/10.3390/molecules29225311</v>
      </c>
      <c r="BG154" t="s">
        <v>74</v>
      </c>
      <c r="BH154" t="s">
        <v>74</v>
      </c>
      <c r="BI154" t="s">
        <v>74</v>
      </c>
      <c r="BJ154" t="s">
        <v>74</v>
      </c>
      <c r="BK154" t="s">
        <v>74</v>
      </c>
      <c r="BL154" t="s">
        <v>74</v>
      </c>
      <c r="BM154" t="s">
        <v>74</v>
      </c>
      <c r="BN154">
        <v>39598699</v>
      </c>
      <c r="BO154" t="s">
        <v>74</v>
      </c>
      <c r="BP154" t="s">
        <v>74</v>
      </c>
      <c r="BQ154" t="s">
        <v>74</v>
      </c>
      <c r="BR154" t="s">
        <v>74</v>
      </c>
      <c r="BS154" t="s">
        <v>1499</v>
      </c>
      <c r="BT154" t="str">
        <f>HYPERLINK("https%3A%2F%2Fwww.webofscience.com%2Fwos%2Fwoscc%2Ffull-record%2FWOS:001365522200001","View Full Record in Web of Science")</f>
        <v>View Full Record in Web of Science</v>
      </c>
    </row>
    <row r="155" spans="1:72" x14ac:dyDescent="0.2">
      <c r="A155" t="s">
        <v>72</v>
      </c>
      <c r="B155" t="s">
        <v>1500</v>
      </c>
      <c r="C155" t="s">
        <v>74</v>
      </c>
      <c r="D155" t="s">
        <v>74</v>
      </c>
      <c r="E155" t="s">
        <v>74</v>
      </c>
      <c r="F155" t="s">
        <v>1501</v>
      </c>
      <c r="G155" t="s">
        <v>74</v>
      </c>
      <c r="H155" t="s">
        <v>74</v>
      </c>
      <c r="I155" t="s">
        <v>1502</v>
      </c>
      <c r="J155" t="s">
        <v>231</v>
      </c>
      <c r="K155" t="s">
        <v>74</v>
      </c>
      <c r="L155" t="s">
        <v>74</v>
      </c>
      <c r="M155" t="s">
        <v>74</v>
      </c>
      <c r="N155" t="s">
        <v>74</v>
      </c>
      <c r="O155" t="s">
        <v>74</v>
      </c>
      <c r="P155" t="s">
        <v>74</v>
      </c>
      <c r="Q155" t="s">
        <v>74</v>
      </c>
      <c r="R155" t="s">
        <v>74</v>
      </c>
      <c r="S155" t="s">
        <v>74</v>
      </c>
      <c r="T155" t="s">
        <v>74</v>
      </c>
      <c r="U155" t="s">
        <v>74</v>
      </c>
      <c r="V155" t="s">
        <v>1503</v>
      </c>
      <c r="W155" t="s">
        <v>74</v>
      </c>
      <c r="X155" t="s">
        <v>74</v>
      </c>
      <c r="Y155" t="s">
        <v>74</v>
      </c>
      <c r="Z155" t="s">
        <v>74</v>
      </c>
      <c r="AA155" t="s">
        <v>1504</v>
      </c>
      <c r="AB155" t="s">
        <v>1505</v>
      </c>
      <c r="AC155" t="s">
        <v>74</v>
      </c>
      <c r="AD155" t="s">
        <v>74</v>
      </c>
      <c r="AE155" t="s">
        <v>74</v>
      </c>
      <c r="AF155" t="s">
        <v>74</v>
      </c>
      <c r="AG155" t="s">
        <v>74</v>
      </c>
      <c r="AH155" t="s">
        <v>74</v>
      </c>
      <c r="AI155" t="s">
        <v>74</v>
      </c>
      <c r="AJ155" t="s">
        <v>74</v>
      </c>
      <c r="AK155" t="s">
        <v>74</v>
      </c>
      <c r="AL155" t="s">
        <v>74</v>
      </c>
      <c r="AM155" t="s">
        <v>74</v>
      </c>
      <c r="AN155" t="s">
        <v>74</v>
      </c>
      <c r="AO155" t="s">
        <v>74</v>
      </c>
      <c r="AP155" t="s">
        <v>234</v>
      </c>
      <c r="AQ155" t="s">
        <v>74</v>
      </c>
      <c r="AR155" t="s">
        <v>74</v>
      </c>
      <c r="AS155" t="s">
        <v>74</v>
      </c>
      <c r="AT155" t="s">
        <v>1506</v>
      </c>
      <c r="AU155">
        <v>2025</v>
      </c>
      <c r="AV155">
        <v>64</v>
      </c>
      <c r="AW155">
        <v>1</v>
      </c>
      <c r="AX155" t="s">
        <v>74</v>
      </c>
      <c r="AY155" t="s">
        <v>74</v>
      </c>
      <c r="AZ155" t="s">
        <v>74</v>
      </c>
      <c r="BA155" t="s">
        <v>74</v>
      </c>
      <c r="BB155" t="s">
        <v>74</v>
      </c>
      <c r="BC155" t="s">
        <v>74</v>
      </c>
      <c r="BD155" t="s">
        <v>74</v>
      </c>
      <c r="BE155" t="s">
        <v>1507</v>
      </c>
      <c r="BF155" t="str">
        <f>HYPERLINK("http://dx.doi.org/10.1002/anie.202413416","http://dx.doi.org/10.1002/anie.202413416")</f>
        <v>http://dx.doi.org/10.1002/anie.202413416</v>
      </c>
      <c r="BG155" t="s">
        <v>74</v>
      </c>
      <c r="BH155" t="s">
        <v>1508</v>
      </c>
      <c r="BI155" t="s">
        <v>74</v>
      </c>
      <c r="BJ155" t="s">
        <v>74</v>
      </c>
      <c r="BK155" t="s">
        <v>74</v>
      </c>
      <c r="BL155" t="s">
        <v>74</v>
      </c>
      <c r="BM155" t="s">
        <v>74</v>
      </c>
      <c r="BN155">
        <v>39302071</v>
      </c>
      <c r="BO155" t="s">
        <v>74</v>
      </c>
      <c r="BP155" t="s">
        <v>74</v>
      </c>
      <c r="BQ155" t="s">
        <v>74</v>
      </c>
      <c r="BR155" t="s">
        <v>74</v>
      </c>
      <c r="BS155" t="s">
        <v>1509</v>
      </c>
      <c r="BT155" t="str">
        <f>HYPERLINK("https%3A%2F%2Fwww.webofscience.com%2Fwos%2Fwoscc%2Ffull-record%2FWOS:001346133800001","View Full Record in Web of Science")</f>
        <v>View Full Record in Web of Science</v>
      </c>
    </row>
    <row r="156" spans="1:72" x14ac:dyDescent="0.2">
      <c r="A156" t="s">
        <v>72</v>
      </c>
      <c r="B156" t="s">
        <v>1510</v>
      </c>
      <c r="C156" t="s">
        <v>74</v>
      </c>
      <c r="D156" t="s">
        <v>74</v>
      </c>
      <c r="E156" t="s">
        <v>74</v>
      </c>
      <c r="F156" t="s">
        <v>1511</v>
      </c>
      <c r="G156" t="s">
        <v>74</v>
      </c>
      <c r="H156" t="s">
        <v>74</v>
      </c>
      <c r="I156" t="s">
        <v>1512</v>
      </c>
      <c r="J156" t="s">
        <v>231</v>
      </c>
      <c r="K156" t="s">
        <v>74</v>
      </c>
      <c r="L156" t="s">
        <v>74</v>
      </c>
      <c r="M156" t="s">
        <v>74</v>
      </c>
      <c r="N156" t="s">
        <v>74</v>
      </c>
      <c r="O156" t="s">
        <v>74</v>
      </c>
      <c r="P156" t="s">
        <v>74</v>
      </c>
      <c r="Q156" t="s">
        <v>74</v>
      </c>
      <c r="R156" t="s">
        <v>74</v>
      </c>
      <c r="S156" t="s">
        <v>74</v>
      </c>
      <c r="T156" t="s">
        <v>74</v>
      </c>
      <c r="U156" t="s">
        <v>74</v>
      </c>
      <c r="V156" t="s">
        <v>1513</v>
      </c>
      <c r="W156" t="s">
        <v>74</v>
      </c>
      <c r="X156" t="s">
        <v>74</v>
      </c>
      <c r="Y156" t="s">
        <v>74</v>
      </c>
      <c r="Z156" t="s">
        <v>74</v>
      </c>
      <c r="AA156" t="s">
        <v>1514</v>
      </c>
      <c r="AB156" t="s">
        <v>1515</v>
      </c>
      <c r="AC156" t="s">
        <v>74</v>
      </c>
      <c r="AD156" t="s">
        <v>74</v>
      </c>
      <c r="AE156" t="s">
        <v>74</v>
      </c>
      <c r="AF156" t="s">
        <v>74</v>
      </c>
      <c r="AG156" t="s">
        <v>74</v>
      </c>
      <c r="AH156" t="s">
        <v>74</v>
      </c>
      <c r="AI156" t="s">
        <v>74</v>
      </c>
      <c r="AJ156" t="s">
        <v>74</v>
      </c>
      <c r="AK156" t="s">
        <v>74</v>
      </c>
      <c r="AL156" t="s">
        <v>74</v>
      </c>
      <c r="AM156" t="s">
        <v>74</v>
      </c>
      <c r="AN156" t="s">
        <v>74</v>
      </c>
      <c r="AO156" t="s">
        <v>1363</v>
      </c>
      <c r="AP156" t="s">
        <v>234</v>
      </c>
      <c r="AQ156" t="s">
        <v>74</v>
      </c>
      <c r="AR156" t="s">
        <v>74</v>
      </c>
      <c r="AS156" t="s">
        <v>74</v>
      </c>
      <c r="AT156" t="s">
        <v>1516</v>
      </c>
      <c r="AU156">
        <v>2024</v>
      </c>
      <c r="AV156">
        <v>63</v>
      </c>
      <c r="AW156">
        <v>51</v>
      </c>
      <c r="AX156" t="s">
        <v>74</v>
      </c>
      <c r="AY156" t="s">
        <v>74</v>
      </c>
      <c r="AZ156" t="s">
        <v>74</v>
      </c>
      <c r="BA156" t="s">
        <v>74</v>
      </c>
      <c r="BB156" t="s">
        <v>74</v>
      </c>
      <c r="BC156" t="s">
        <v>74</v>
      </c>
      <c r="BD156" t="s">
        <v>74</v>
      </c>
      <c r="BE156" t="s">
        <v>1517</v>
      </c>
      <c r="BF156" t="str">
        <f>HYPERLINK("http://dx.doi.org/10.1002/anie.202412401","http://dx.doi.org/10.1002/anie.202412401")</f>
        <v>http://dx.doi.org/10.1002/anie.202412401</v>
      </c>
      <c r="BG156" t="s">
        <v>74</v>
      </c>
      <c r="BH156" t="s">
        <v>1508</v>
      </c>
      <c r="BI156" t="s">
        <v>74</v>
      </c>
      <c r="BJ156" t="s">
        <v>74</v>
      </c>
      <c r="BK156" t="s">
        <v>74</v>
      </c>
      <c r="BL156" t="s">
        <v>74</v>
      </c>
      <c r="BM156" t="s">
        <v>74</v>
      </c>
      <c r="BN156">
        <v>39243107</v>
      </c>
      <c r="BO156" t="s">
        <v>74</v>
      </c>
      <c r="BP156" t="s">
        <v>74</v>
      </c>
      <c r="BQ156" t="s">
        <v>74</v>
      </c>
      <c r="BR156" t="s">
        <v>74</v>
      </c>
      <c r="BS156" t="s">
        <v>1518</v>
      </c>
      <c r="BT156" t="str">
        <f>HYPERLINK("https%3A%2F%2Fwww.webofscience.com%2Fwos%2Fwoscc%2Ffull-record%2FWOS:001344162000001","View Full Record in Web of Science")</f>
        <v>View Full Record in Web of Science</v>
      </c>
    </row>
    <row r="157" spans="1:72" x14ac:dyDescent="0.2">
      <c r="A157" t="s">
        <v>72</v>
      </c>
      <c r="B157" t="s">
        <v>1519</v>
      </c>
      <c r="C157" t="s">
        <v>74</v>
      </c>
      <c r="D157" t="s">
        <v>74</v>
      </c>
      <c r="E157" t="s">
        <v>74</v>
      </c>
      <c r="F157" t="s">
        <v>1520</v>
      </c>
      <c r="G157" t="s">
        <v>74</v>
      </c>
      <c r="H157" t="s">
        <v>74</v>
      </c>
      <c r="I157" t="s">
        <v>1521</v>
      </c>
      <c r="J157" t="s">
        <v>352</v>
      </c>
      <c r="K157" t="s">
        <v>74</v>
      </c>
      <c r="L157" t="s">
        <v>74</v>
      </c>
      <c r="M157" t="s">
        <v>74</v>
      </c>
      <c r="N157" t="s">
        <v>74</v>
      </c>
      <c r="O157" t="s">
        <v>74</v>
      </c>
      <c r="P157" t="s">
        <v>74</v>
      </c>
      <c r="Q157" t="s">
        <v>74</v>
      </c>
      <c r="R157" t="s">
        <v>74</v>
      </c>
      <c r="S157" t="s">
        <v>74</v>
      </c>
      <c r="T157" t="s">
        <v>74</v>
      </c>
      <c r="U157" t="s">
        <v>74</v>
      </c>
      <c r="V157" t="s">
        <v>1522</v>
      </c>
      <c r="W157" t="s">
        <v>74</v>
      </c>
      <c r="X157" t="s">
        <v>74</v>
      </c>
      <c r="Y157" t="s">
        <v>74</v>
      </c>
      <c r="Z157" t="s">
        <v>74</v>
      </c>
      <c r="AA157" t="s">
        <v>1523</v>
      </c>
      <c r="AB157" t="s">
        <v>1524</v>
      </c>
      <c r="AC157" t="s">
        <v>74</v>
      </c>
      <c r="AD157" t="s">
        <v>74</v>
      </c>
      <c r="AE157" t="s">
        <v>74</v>
      </c>
      <c r="AF157" t="s">
        <v>74</v>
      </c>
      <c r="AG157" t="s">
        <v>74</v>
      </c>
      <c r="AH157" t="s">
        <v>74</v>
      </c>
      <c r="AI157" t="s">
        <v>74</v>
      </c>
      <c r="AJ157" t="s">
        <v>74</v>
      </c>
      <c r="AK157" t="s">
        <v>74</v>
      </c>
      <c r="AL157" t="s">
        <v>74</v>
      </c>
      <c r="AM157" t="s">
        <v>74</v>
      </c>
      <c r="AN157" t="s">
        <v>74</v>
      </c>
      <c r="AO157" t="s">
        <v>354</v>
      </c>
      <c r="AP157" t="s">
        <v>355</v>
      </c>
      <c r="AQ157" t="s">
        <v>74</v>
      </c>
      <c r="AR157" t="s">
        <v>74</v>
      </c>
      <c r="AS157" t="s">
        <v>74</v>
      </c>
      <c r="AT157" t="s">
        <v>954</v>
      </c>
      <c r="AU157">
        <v>2025</v>
      </c>
      <c r="AV157">
        <v>15</v>
      </c>
      <c r="AW157">
        <v>9</v>
      </c>
      <c r="AX157" t="s">
        <v>74</v>
      </c>
      <c r="AY157" t="s">
        <v>74</v>
      </c>
      <c r="AZ157" t="s">
        <v>74</v>
      </c>
      <c r="BA157" t="s">
        <v>74</v>
      </c>
      <c r="BB157" t="s">
        <v>74</v>
      </c>
      <c r="BC157" t="s">
        <v>74</v>
      </c>
      <c r="BD157" t="s">
        <v>74</v>
      </c>
      <c r="BE157" t="s">
        <v>1525</v>
      </c>
      <c r="BF157" t="str">
        <f>HYPERLINK("http://dx.doi.org/10.1002/aenm.202403188","http://dx.doi.org/10.1002/aenm.202403188")</f>
        <v>http://dx.doi.org/10.1002/aenm.202403188</v>
      </c>
      <c r="BG157" t="s">
        <v>74</v>
      </c>
      <c r="BH157" t="s">
        <v>1508</v>
      </c>
      <c r="BI157" t="s">
        <v>74</v>
      </c>
      <c r="BJ157" t="s">
        <v>74</v>
      </c>
      <c r="BK157" t="s">
        <v>74</v>
      </c>
      <c r="BL157" t="s">
        <v>74</v>
      </c>
      <c r="BM157" t="s">
        <v>74</v>
      </c>
      <c r="BN157" t="s">
        <v>74</v>
      </c>
      <c r="BO157" t="s">
        <v>74</v>
      </c>
      <c r="BP157" t="s">
        <v>74</v>
      </c>
      <c r="BQ157" t="s">
        <v>74</v>
      </c>
      <c r="BR157" t="s">
        <v>74</v>
      </c>
      <c r="BS157" t="s">
        <v>1526</v>
      </c>
      <c r="BT157" t="str">
        <f>HYPERLINK("https%3A%2F%2Fwww.webofscience.com%2Fwos%2Fwoscc%2Ffull-record%2FWOS:001338257700001","View Full Record in Web of Science")</f>
        <v>View Full Record in Web of Science</v>
      </c>
    </row>
    <row r="158" spans="1:72" x14ac:dyDescent="0.2">
      <c r="A158" t="s">
        <v>72</v>
      </c>
      <c r="B158" t="s">
        <v>1527</v>
      </c>
      <c r="C158" t="s">
        <v>74</v>
      </c>
      <c r="D158" t="s">
        <v>74</v>
      </c>
      <c r="E158" t="s">
        <v>74</v>
      </c>
      <c r="F158" t="s">
        <v>1528</v>
      </c>
      <c r="G158" t="s">
        <v>74</v>
      </c>
      <c r="H158" t="s">
        <v>74</v>
      </c>
      <c r="I158" t="s">
        <v>1529</v>
      </c>
      <c r="J158" t="s">
        <v>1530</v>
      </c>
      <c r="K158" t="s">
        <v>74</v>
      </c>
      <c r="L158" t="s">
        <v>74</v>
      </c>
      <c r="M158" t="s">
        <v>74</v>
      </c>
      <c r="N158" t="s">
        <v>74</v>
      </c>
      <c r="O158" t="s">
        <v>74</v>
      </c>
      <c r="P158" t="s">
        <v>74</v>
      </c>
      <c r="Q158" t="s">
        <v>74</v>
      </c>
      <c r="R158" t="s">
        <v>74</v>
      </c>
      <c r="S158" t="s">
        <v>74</v>
      </c>
      <c r="T158" t="s">
        <v>74</v>
      </c>
      <c r="U158" t="s">
        <v>74</v>
      </c>
      <c r="V158" t="s">
        <v>1531</v>
      </c>
      <c r="W158" t="s">
        <v>74</v>
      </c>
      <c r="X158" t="s">
        <v>74</v>
      </c>
      <c r="Y158" t="s">
        <v>74</v>
      </c>
      <c r="Z158" t="s">
        <v>74</v>
      </c>
      <c r="AA158" t="s">
        <v>1532</v>
      </c>
      <c r="AB158" t="s">
        <v>74</v>
      </c>
      <c r="AC158" t="s">
        <v>74</v>
      </c>
      <c r="AD158" t="s">
        <v>74</v>
      </c>
      <c r="AE158" t="s">
        <v>74</v>
      </c>
      <c r="AF158" t="s">
        <v>74</v>
      </c>
      <c r="AG158" t="s">
        <v>74</v>
      </c>
      <c r="AH158" t="s">
        <v>74</v>
      </c>
      <c r="AI158" t="s">
        <v>74</v>
      </c>
      <c r="AJ158" t="s">
        <v>74</v>
      </c>
      <c r="AK158" t="s">
        <v>74</v>
      </c>
      <c r="AL158" t="s">
        <v>74</v>
      </c>
      <c r="AM158" t="s">
        <v>74</v>
      </c>
      <c r="AN158" t="s">
        <v>74</v>
      </c>
      <c r="AO158" t="s">
        <v>1533</v>
      </c>
      <c r="AP158" t="s">
        <v>1534</v>
      </c>
      <c r="AQ158" t="s">
        <v>74</v>
      </c>
      <c r="AR158" t="s">
        <v>74</v>
      </c>
      <c r="AS158" t="s">
        <v>74</v>
      </c>
      <c r="AT158" t="s">
        <v>901</v>
      </c>
      <c r="AU158">
        <v>2025</v>
      </c>
      <c r="AV158">
        <v>218</v>
      </c>
      <c r="AW158" t="s">
        <v>74</v>
      </c>
      <c r="AX158" t="s">
        <v>74</v>
      </c>
      <c r="AY158" t="s">
        <v>74</v>
      </c>
      <c r="AZ158" t="s">
        <v>74</v>
      </c>
      <c r="BA158" t="s">
        <v>74</v>
      </c>
      <c r="BB158">
        <v>170</v>
      </c>
      <c r="BC158">
        <v>179</v>
      </c>
      <c r="BD158" t="s">
        <v>74</v>
      </c>
      <c r="BE158" t="s">
        <v>1535</v>
      </c>
      <c r="BF158" t="str">
        <f>HYPERLINK("http://dx.doi.org/10.1016/j.jmst.2024.07.051","http://dx.doi.org/10.1016/j.jmst.2024.07.051")</f>
        <v>http://dx.doi.org/10.1016/j.jmst.2024.07.051</v>
      </c>
      <c r="BG158" t="s">
        <v>74</v>
      </c>
      <c r="BH158" t="s">
        <v>1508</v>
      </c>
      <c r="BI158" t="s">
        <v>74</v>
      </c>
      <c r="BJ158" t="s">
        <v>74</v>
      </c>
      <c r="BK158" t="s">
        <v>74</v>
      </c>
      <c r="BL158" t="s">
        <v>74</v>
      </c>
      <c r="BM158" t="s">
        <v>74</v>
      </c>
      <c r="BN158" t="s">
        <v>74</v>
      </c>
      <c r="BO158" t="s">
        <v>74</v>
      </c>
      <c r="BP158" t="s">
        <v>74</v>
      </c>
      <c r="BQ158" t="s">
        <v>74</v>
      </c>
      <c r="BR158" t="s">
        <v>74</v>
      </c>
      <c r="BS158" t="s">
        <v>1536</v>
      </c>
      <c r="BT158" t="str">
        <f>HYPERLINK("https%3A%2F%2Fwww.webofscience.com%2Fwos%2Fwoscc%2Ffull-record%2FWOS:001342542500001","View Full Record in Web of Science")</f>
        <v>View Full Record in Web of Science</v>
      </c>
    </row>
    <row r="159" spans="1:72" x14ac:dyDescent="0.2">
      <c r="A159" t="s">
        <v>72</v>
      </c>
      <c r="B159" t="s">
        <v>1537</v>
      </c>
      <c r="C159" t="s">
        <v>74</v>
      </c>
      <c r="D159" t="s">
        <v>74</v>
      </c>
      <c r="E159" t="s">
        <v>74</v>
      </c>
      <c r="F159" t="s">
        <v>1538</v>
      </c>
      <c r="G159" t="s">
        <v>74</v>
      </c>
      <c r="H159" t="s">
        <v>74</v>
      </c>
      <c r="I159" t="s">
        <v>1539</v>
      </c>
      <c r="J159" t="s">
        <v>267</v>
      </c>
      <c r="K159" t="s">
        <v>74</v>
      </c>
      <c r="L159" t="s">
        <v>74</v>
      </c>
      <c r="M159" t="s">
        <v>74</v>
      </c>
      <c r="N159" t="s">
        <v>74</v>
      </c>
      <c r="O159" t="s">
        <v>74</v>
      </c>
      <c r="P159" t="s">
        <v>74</v>
      </c>
      <c r="Q159" t="s">
        <v>74</v>
      </c>
      <c r="R159" t="s">
        <v>74</v>
      </c>
      <c r="S159" t="s">
        <v>74</v>
      </c>
      <c r="T159" t="s">
        <v>74</v>
      </c>
      <c r="U159" t="s">
        <v>74</v>
      </c>
      <c r="V159" t="s">
        <v>1540</v>
      </c>
      <c r="W159" t="s">
        <v>74</v>
      </c>
      <c r="X159" t="s">
        <v>74</v>
      </c>
      <c r="Y159" t="s">
        <v>74</v>
      </c>
      <c r="Z159" t="s">
        <v>74</v>
      </c>
      <c r="AA159" t="s">
        <v>1541</v>
      </c>
      <c r="AB159" t="s">
        <v>74</v>
      </c>
      <c r="AC159" t="s">
        <v>74</v>
      </c>
      <c r="AD159" t="s">
        <v>74</v>
      </c>
      <c r="AE159" t="s">
        <v>74</v>
      </c>
      <c r="AF159" t="s">
        <v>74</v>
      </c>
      <c r="AG159" t="s">
        <v>74</v>
      </c>
      <c r="AH159" t="s">
        <v>74</v>
      </c>
      <c r="AI159" t="s">
        <v>74</v>
      </c>
      <c r="AJ159" t="s">
        <v>74</v>
      </c>
      <c r="AK159" t="s">
        <v>74</v>
      </c>
      <c r="AL159" t="s">
        <v>74</v>
      </c>
      <c r="AM159" t="s">
        <v>74</v>
      </c>
      <c r="AN159" t="s">
        <v>74</v>
      </c>
      <c r="AO159" t="s">
        <v>270</v>
      </c>
      <c r="AP159" t="s">
        <v>271</v>
      </c>
      <c r="AQ159" t="s">
        <v>74</v>
      </c>
      <c r="AR159" t="s">
        <v>74</v>
      </c>
      <c r="AS159" t="s">
        <v>74</v>
      </c>
      <c r="AT159" t="s">
        <v>1026</v>
      </c>
      <c r="AU159">
        <v>2025</v>
      </c>
      <c r="AV159">
        <v>35</v>
      </c>
      <c r="AW159">
        <v>6</v>
      </c>
      <c r="AX159" t="s">
        <v>74</v>
      </c>
      <c r="AY159" t="s">
        <v>74</v>
      </c>
      <c r="AZ159" t="s">
        <v>74</v>
      </c>
      <c r="BA159" t="s">
        <v>74</v>
      </c>
      <c r="BB159" t="s">
        <v>74</v>
      </c>
      <c r="BC159" t="s">
        <v>74</v>
      </c>
      <c r="BD159" t="s">
        <v>74</v>
      </c>
      <c r="BE159" t="s">
        <v>1542</v>
      </c>
      <c r="BF159" t="str">
        <f>HYPERLINK("http://dx.doi.org/10.1002/adfm.202414816","http://dx.doi.org/10.1002/adfm.202414816")</f>
        <v>http://dx.doi.org/10.1002/adfm.202414816</v>
      </c>
      <c r="BG159" t="s">
        <v>74</v>
      </c>
      <c r="BH159" t="s">
        <v>1508</v>
      </c>
      <c r="BI159" t="s">
        <v>74</v>
      </c>
      <c r="BJ159" t="s">
        <v>74</v>
      </c>
      <c r="BK159" t="s">
        <v>74</v>
      </c>
      <c r="BL159" t="s">
        <v>74</v>
      </c>
      <c r="BM159" t="s">
        <v>74</v>
      </c>
      <c r="BN159" t="s">
        <v>74</v>
      </c>
      <c r="BO159" t="s">
        <v>74</v>
      </c>
      <c r="BP159" t="s">
        <v>74</v>
      </c>
      <c r="BQ159" t="s">
        <v>74</v>
      </c>
      <c r="BR159" t="s">
        <v>74</v>
      </c>
      <c r="BS159" t="s">
        <v>1543</v>
      </c>
      <c r="BT159" t="str">
        <f>HYPERLINK("https%3A%2F%2Fwww.webofscience.com%2Fwos%2Fwoscc%2Ffull-record%2FWOS:001337571800001","View Full Record in Web of Science")</f>
        <v>View Full Record in Web of Science</v>
      </c>
    </row>
    <row r="160" spans="1:72" x14ac:dyDescent="0.2">
      <c r="A160" t="s">
        <v>72</v>
      </c>
      <c r="B160" t="s">
        <v>1544</v>
      </c>
      <c r="C160" t="s">
        <v>74</v>
      </c>
      <c r="D160" t="s">
        <v>74</v>
      </c>
      <c r="E160" t="s">
        <v>74</v>
      </c>
      <c r="F160" t="s">
        <v>1545</v>
      </c>
      <c r="G160" t="s">
        <v>74</v>
      </c>
      <c r="H160" t="s">
        <v>74</v>
      </c>
      <c r="I160" t="s">
        <v>1546</v>
      </c>
      <c r="J160" t="s">
        <v>171</v>
      </c>
      <c r="K160" t="s">
        <v>74</v>
      </c>
      <c r="L160" t="s">
        <v>74</v>
      </c>
      <c r="M160" t="s">
        <v>74</v>
      </c>
      <c r="N160" t="s">
        <v>74</v>
      </c>
      <c r="O160" t="s">
        <v>74</v>
      </c>
      <c r="P160" t="s">
        <v>74</v>
      </c>
      <c r="Q160" t="s">
        <v>74</v>
      </c>
      <c r="R160" t="s">
        <v>74</v>
      </c>
      <c r="S160" t="s">
        <v>74</v>
      </c>
      <c r="T160" t="s">
        <v>74</v>
      </c>
      <c r="U160" t="s">
        <v>74</v>
      </c>
      <c r="V160" t="s">
        <v>1547</v>
      </c>
      <c r="W160" t="s">
        <v>74</v>
      </c>
      <c r="X160" t="s">
        <v>74</v>
      </c>
      <c r="Y160" t="s">
        <v>74</v>
      </c>
      <c r="Z160" t="s">
        <v>74</v>
      </c>
      <c r="AA160" t="s">
        <v>74</v>
      </c>
      <c r="AB160" t="s">
        <v>1548</v>
      </c>
      <c r="AC160" t="s">
        <v>74</v>
      </c>
      <c r="AD160" t="s">
        <v>74</v>
      </c>
      <c r="AE160" t="s">
        <v>74</v>
      </c>
      <c r="AF160" t="s">
        <v>74</v>
      </c>
      <c r="AG160" t="s">
        <v>74</v>
      </c>
      <c r="AH160" t="s">
        <v>74</v>
      </c>
      <c r="AI160" t="s">
        <v>74</v>
      </c>
      <c r="AJ160" t="s">
        <v>74</v>
      </c>
      <c r="AK160" t="s">
        <v>74</v>
      </c>
      <c r="AL160" t="s">
        <v>74</v>
      </c>
      <c r="AM160" t="s">
        <v>74</v>
      </c>
      <c r="AN160" t="s">
        <v>74</v>
      </c>
      <c r="AO160" t="s">
        <v>173</v>
      </c>
      <c r="AP160" t="s">
        <v>174</v>
      </c>
      <c r="AQ160" t="s">
        <v>74</v>
      </c>
      <c r="AR160" t="s">
        <v>74</v>
      </c>
      <c r="AS160" t="s">
        <v>74</v>
      </c>
      <c r="AT160" t="s">
        <v>1026</v>
      </c>
      <c r="AU160">
        <v>2025</v>
      </c>
      <c r="AV160">
        <v>679</v>
      </c>
      <c r="AW160" t="s">
        <v>74</v>
      </c>
      <c r="AX160" t="s">
        <v>1549</v>
      </c>
      <c r="AY160" t="s">
        <v>74</v>
      </c>
      <c r="AZ160" t="s">
        <v>74</v>
      </c>
      <c r="BA160" t="s">
        <v>74</v>
      </c>
      <c r="BB160">
        <v>1277</v>
      </c>
      <c r="BC160">
        <v>1287</v>
      </c>
      <c r="BD160" t="s">
        <v>74</v>
      </c>
      <c r="BE160" t="s">
        <v>1550</v>
      </c>
      <c r="BF160" t="str">
        <f>HYPERLINK("http://dx.doi.org/10.1016/j.jcis.2024.10.024","http://dx.doi.org/10.1016/j.jcis.2024.10.024")</f>
        <v>http://dx.doi.org/10.1016/j.jcis.2024.10.024</v>
      </c>
      <c r="BG160" t="s">
        <v>74</v>
      </c>
      <c r="BH160" t="s">
        <v>1508</v>
      </c>
      <c r="BI160" t="s">
        <v>74</v>
      </c>
      <c r="BJ160" t="s">
        <v>74</v>
      </c>
      <c r="BK160" t="s">
        <v>74</v>
      </c>
      <c r="BL160" t="s">
        <v>74</v>
      </c>
      <c r="BM160" t="s">
        <v>74</v>
      </c>
      <c r="BN160">
        <v>39427582</v>
      </c>
      <c r="BO160" t="s">
        <v>74</v>
      </c>
      <c r="BP160" t="s">
        <v>74</v>
      </c>
      <c r="BQ160" t="s">
        <v>74</v>
      </c>
      <c r="BR160" t="s">
        <v>74</v>
      </c>
      <c r="BS160" t="s">
        <v>1551</v>
      </c>
      <c r="BT160" t="str">
        <f>HYPERLINK("https%3A%2F%2Fwww.webofscience.com%2Fwos%2Fwoscc%2Ffull-record%2FWOS:001342009300001","View Full Record in Web of Science")</f>
        <v>View Full Record in Web of Science</v>
      </c>
    </row>
    <row r="161" spans="1:72" x14ac:dyDescent="0.2">
      <c r="A161" t="s">
        <v>72</v>
      </c>
      <c r="B161" t="s">
        <v>1552</v>
      </c>
      <c r="C161" t="s">
        <v>74</v>
      </c>
      <c r="D161" t="s">
        <v>74</v>
      </c>
      <c r="E161" t="s">
        <v>74</v>
      </c>
      <c r="F161" t="s">
        <v>1553</v>
      </c>
      <c r="G161" t="s">
        <v>74</v>
      </c>
      <c r="H161" t="s">
        <v>74</v>
      </c>
      <c r="I161" t="s">
        <v>1554</v>
      </c>
      <c r="J161" t="s">
        <v>352</v>
      </c>
      <c r="K161" t="s">
        <v>74</v>
      </c>
      <c r="L161" t="s">
        <v>74</v>
      </c>
      <c r="M161" t="s">
        <v>74</v>
      </c>
      <c r="N161" t="s">
        <v>74</v>
      </c>
      <c r="O161" t="s">
        <v>74</v>
      </c>
      <c r="P161" t="s">
        <v>74</v>
      </c>
      <c r="Q161" t="s">
        <v>74</v>
      </c>
      <c r="R161" t="s">
        <v>74</v>
      </c>
      <c r="S161" t="s">
        <v>74</v>
      </c>
      <c r="T161" t="s">
        <v>74</v>
      </c>
      <c r="U161" t="s">
        <v>74</v>
      </c>
      <c r="V161" t="s">
        <v>1555</v>
      </c>
      <c r="W161" t="s">
        <v>74</v>
      </c>
      <c r="X161" t="s">
        <v>74</v>
      </c>
      <c r="Y161" t="s">
        <v>74</v>
      </c>
      <c r="Z161" t="s">
        <v>74</v>
      </c>
      <c r="AA161" t="s">
        <v>1556</v>
      </c>
      <c r="AB161" t="s">
        <v>1557</v>
      </c>
      <c r="AC161" t="s">
        <v>74</v>
      </c>
      <c r="AD161" t="s">
        <v>74</v>
      </c>
      <c r="AE161" t="s">
        <v>74</v>
      </c>
      <c r="AF161" t="s">
        <v>74</v>
      </c>
      <c r="AG161" t="s">
        <v>74</v>
      </c>
      <c r="AH161" t="s">
        <v>74</v>
      </c>
      <c r="AI161" t="s">
        <v>74</v>
      </c>
      <c r="AJ161" t="s">
        <v>74</v>
      </c>
      <c r="AK161" t="s">
        <v>74</v>
      </c>
      <c r="AL161" t="s">
        <v>74</v>
      </c>
      <c r="AM161" t="s">
        <v>74</v>
      </c>
      <c r="AN161" t="s">
        <v>74</v>
      </c>
      <c r="AO161" t="s">
        <v>354</v>
      </c>
      <c r="AP161" t="s">
        <v>355</v>
      </c>
      <c r="AQ161" t="s">
        <v>74</v>
      </c>
      <c r="AR161" t="s">
        <v>74</v>
      </c>
      <c r="AS161" t="s">
        <v>74</v>
      </c>
      <c r="AT161" t="s">
        <v>1318</v>
      </c>
      <c r="AU161">
        <v>2024</v>
      </c>
      <c r="AV161">
        <v>14</v>
      </c>
      <c r="AW161">
        <v>48</v>
      </c>
      <c r="AX161" t="s">
        <v>74</v>
      </c>
      <c r="AY161" t="s">
        <v>74</v>
      </c>
      <c r="AZ161" t="s">
        <v>74</v>
      </c>
      <c r="BA161" t="s">
        <v>74</v>
      </c>
      <c r="BB161" t="s">
        <v>74</v>
      </c>
      <c r="BC161" t="s">
        <v>74</v>
      </c>
      <c r="BD161" t="s">
        <v>74</v>
      </c>
      <c r="BE161" t="s">
        <v>1558</v>
      </c>
      <c r="BF161" t="str">
        <f>HYPERLINK("http://dx.doi.org/10.1002/aenm.202403696","http://dx.doi.org/10.1002/aenm.202403696")</f>
        <v>http://dx.doi.org/10.1002/aenm.202403696</v>
      </c>
      <c r="BG161" t="s">
        <v>74</v>
      </c>
      <c r="BH161" t="s">
        <v>1508</v>
      </c>
      <c r="BI161" t="s">
        <v>74</v>
      </c>
      <c r="BJ161" t="s">
        <v>74</v>
      </c>
      <c r="BK161" t="s">
        <v>74</v>
      </c>
      <c r="BL161" t="s">
        <v>74</v>
      </c>
      <c r="BM161" t="s">
        <v>74</v>
      </c>
      <c r="BN161" t="s">
        <v>74</v>
      </c>
      <c r="BO161" t="s">
        <v>74</v>
      </c>
      <c r="BP161" t="s">
        <v>74</v>
      </c>
      <c r="BQ161" t="s">
        <v>74</v>
      </c>
      <c r="BR161" t="s">
        <v>74</v>
      </c>
      <c r="BS161" t="s">
        <v>1559</v>
      </c>
      <c r="BT161" t="str">
        <f>HYPERLINK("https%3A%2F%2Fwww.webofscience.com%2Fwos%2Fwoscc%2Ffull-record%2FWOS:001338216100001","View Full Record in Web of Science")</f>
        <v>View Full Record in Web of Science</v>
      </c>
    </row>
    <row r="162" spans="1:72" x14ac:dyDescent="0.2">
      <c r="A162" t="s">
        <v>72</v>
      </c>
      <c r="B162" t="s">
        <v>1560</v>
      </c>
      <c r="C162" t="s">
        <v>74</v>
      </c>
      <c r="D162" t="s">
        <v>74</v>
      </c>
      <c r="E162" t="s">
        <v>74</v>
      </c>
      <c r="F162" t="s">
        <v>1561</v>
      </c>
      <c r="G162" t="s">
        <v>74</v>
      </c>
      <c r="H162" t="s">
        <v>74</v>
      </c>
      <c r="I162" t="s">
        <v>1562</v>
      </c>
      <c r="J162" t="s">
        <v>1563</v>
      </c>
      <c r="K162" t="s">
        <v>74</v>
      </c>
      <c r="L162" t="s">
        <v>74</v>
      </c>
      <c r="M162" t="s">
        <v>74</v>
      </c>
      <c r="N162" t="s">
        <v>74</v>
      </c>
      <c r="O162" t="s">
        <v>74</v>
      </c>
      <c r="P162" t="s">
        <v>74</v>
      </c>
      <c r="Q162" t="s">
        <v>74</v>
      </c>
      <c r="R162" t="s">
        <v>74</v>
      </c>
      <c r="S162" t="s">
        <v>74</v>
      </c>
      <c r="T162" t="s">
        <v>74</v>
      </c>
      <c r="U162" t="s">
        <v>74</v>
      </c>
      <c r="V162" t="s">
        <v>1564</v>
      </c>
      <c r="W162" t="s">
        <v>74</v>
      </c>
      <c r="X162" t="s">
        <v>74</v>
      </c>
      <c r="Y162" t="s">
        <v>74</v>
      </c>
      <c r="Z162" t="s">
        <v>74</v>
      </c>
      <c r="AA162" t="s">
        <v>1565</v>
      </c>
      <c r="AB162" t="s">
        <v>1566</v>
      </c>
      <c r="AC162" t="s">
        <v>74</v>
      </c>
      <c r="AD162" t="s">
        <v>74</v>
      </c>
      <c r="AE162" t="s">
        <v>74</v>
      </c>
      <c r="AF162" t="s">
        <v>74</v>
      </c>
      <c r="AG162" t="s">
        <v>74</v>
      </c>
      <c r="AH162" t="s">
        <v>74</v>
      </c>
      <c r="AI162" t="s">
        <v>74</v>
      </c>
      <c r="AJ162" t="s">
        <v>74</v>
      </c>
      <c r="AK162" t="s">
        <v>74</v>
      </c>
      <c r="AL162" t="s">
        <v>74</v>
      </c>
      <c r="AM162" t="s">
        <v>74</v>
      </c>
      <c r="AN162" t="s">
        <v>74</v>
      </c>
      <c r="AO162" t="s">
        <v>1567</v>
      </c>
      <c r="AP162" t="s">
        <v>1568</v>
      </c>
      <c r="AQ162" t="s">
        <v>74</v>
      </c>
      <c r="AR162" t="s">
        <v>74</v>
      </c>
      <c r="AS162" t="s">
        <v>74</v>
      </c>
      <c r="AT162" t="s">
        <v>1092</v>
      </c>
      <c r="AU162">
        <v>2025</v>
      </c>
      <c r="AV162">
        <v>46</v>
      </c>
      <c r="AW162">
        <v>3</v>
      </c>
      <c r="AX162" t="s">
        <v>74</v>
      </c>
      <c r="AY162" t="s">
        <v>74</v>
      </c>
      <c r="AZ162" t="s">
        <v>74</v>
      </c>
      <c r="BA162" t="s">
        <v>74</v>
      </c>
      <c r="BB162">
        <v>1976</v>
      </c>
      <c r="BC162">
        <v>2029</v>
      </c>
      <c r="BD162" t="s">
        <v>74</v>
      </c>
      <c r="BE162" t="s">
        <v>1569</v>
      </c>
      <c r="BF162" t="str">
        <f>HYPERLINK("http://dx.doi.org/10.1002/pc.29106","http://dx.doi.org/10.1002/pc.29106")</f>
        <v>http://dx.doi.org/10.1002/pc.29106</v>
      </c>
      <c r="BG162" t="s">
        <v>74</v>
      </c>
      <c r="BH162" t="s">
        <v>1508</v>
      </c>
      <c r="BI162" t="s">
        <v>74</v>
      </c>
      <c r="BJ162" t="s">
        <v>74</v>
      </c>
      <c r="BK162" t="s">
        <v>74</v>
      </c>
      <c r="BL162" t="s">
        <v>74</v>
      </c>
      <c r="BM162" t="s">
        <v>74</v>
      </c>
      <c r="BN162" t="s">
        <v>74</v>
      </c>
      <c r="BO162" t="s">
        <v>74</v>
      </c>
      <c r="BP162" t="s">
        <v>74</v>
      </c>
      <c r="BQ162" t="s">
        <v>74</v>
      </c>
      <c r="BR162" t="s">
        <v>74</v>
      </c>
      <c r="BS162" t="s">
        <v>1570</v>
      </c>
      <c r="BT162" t="str">
        <f>HYPERLINK("https%3A%2F%2Fwww.webofscience.com%2Fwos%2Fwoscc%2Ffull-record%2FWOS:001331338900001","View Full Record in Web of Science")</f>
        <v>View Full Record in Web of Science</v>
      </c>
    </row>
    <row r="163" spans="1:72" x14ac:dyDescent="0.2">
      <c r="A163" t="s">
        <v>72</v>
      </c>
      <c r="B163" t="s">
        <v>1571</v>
      </c>
      <c r="C163" t="s">
        <v>74</v>
      </c>
      <c r="D163" t="s">
        <v>74</v>
      </c>
      <c r="E163" t="s">
        <v>74</v>
      </c>
      <c r="F163" t="s">
        <v>1572</v>
      </c>
      <c r="G163" t="s">
        <v>74</v>
      </c>
      <c r="H163" t="s">
        <v>74</v>
      </c>
      <c r="I163" t="s">
        <v>1573</v>
      </c>
      <c r="J163" t="s">
        <v>1574</v>
      </c>
      <c r="K163" t="s">
        <v>74</v>
      </c>
      <c r="L163" t="s">
        <v>74</v>
      </c>
      <c r="M163" t="s">
        <v>74</v>
      </c>
      <c r="N163" t="s">
        <v>74</v>
      </c>
      <c r="O163" t="s">
        <v>74</v>
      </c>
      <c r="P163" t="s">
        <v>74</v>
      </c>
      <c r="Q163" t="s">
        <v>74</v>
      </c>
      <c r="R163" t="s">
        <v>74</v>
      </c>
      <c r="S163" t="s">
        <v>74</v>
      </c>
      <c r="T163" t="s">
        <v>74</v>
      </c>
      <c r="U163" t="s">
        <v>74</v>
      </c>
      <c r="V163" t="s">
        <v>1575</v>
      </c>
      <c r="W163" t="s">
        <v>74</v>
      </c>
      <c r="X163" t="s">
        <v>74</v>
      </c>
      <c r="Y163" t="s">
        <v>74</v>
      </c>
      <c r="Z163" t="s">
        <v>74</v>
      </c>
      <c r="AA163" t="s">
        <v>1576</v>
      </c>
      <c r="AB163" t="s">
        <v>1577</v>
      </c>
      <c r="AC163" t="s">
        <v>74</v>
      </c>
      <c r="AD163" t="s">
        <v>74</v>
      </c>
      <c r="AE163" t="s">
        <v>74</v>
      </c>
      <c r="AF163" t="s">
        <v>74</v>
      </c>
      <c r="AG163" t="s">
        <v>74</v>
      </c>
      <c r="AH163" t="s">
        <v>74</v>
      </c>
      <c r="AI163" t="s">
        <v>74</v>
      </c>
      <c r="AJ163" t="s">
        <v>74</v>
      </c>
      <c r="AK163" t="s">
        <v>74</v>
      </c>
      <c r="AL163" t="s">
        <v>74</v>
      </c>
      <c r="AM163" t="s">
        <v>74</v>
      </c>
      <c r="AN163" t="s">
        <v>74</v>
      </c>
      <c r="AO163" t="s">
        <v>1578</v>
      </c>
      <c r="AP163" t="s">
        <v>1579</v>
      </c>
      <c r="AQ163" t="s">
        <v>74</v>
      </c>
      <c r="AR163" t="s">
        <v>74</v>
      </c>
      <c r="AS163" t="s">
        <v>74</v>
      </c>
      <c r="AT163" t="s">
        <v>1580</v>
      </c>
      <c r="AU163">
        <v>2024</v>
      </c>
      <c r="AV163">
        <v>24</v>
      </c>
      <c r="AW163">
        <v>21</v>
      </c>
      <c r="AX163" t="s">
        <v>74</v>
      </c>
      <c r="AY163" t="s">
        <v>74</v>
      </c>
      <c r="AZ163" t="s">
        <v>74</v>
      </c>
      <c r="BA163" t="s">
        <v>74</v>
      </c>
      <c r="BB163">
        <v>8989</v>
      </c>
      <c r="BC163">
        <v>8998</v>
      </c>
      <c r="BD163" t="s">
        <v>74</v>
      </c>
      <c r="BE163" t="s">
        <v>1581</v>
      </c>
      <c r="BF163" t="str">
        <f>HYPERLINK("http://dx.doi.org/10.1021/acs.cgd.4c01030","http://dx.doi.org/10.1021/acs.cgd.4c01030")</f>
        <v>http://dx.doi.org/10.1021/acs.cgd.4c01030</v>
      </c>
      <c r="BG163" t="s">
        <v>74</v>
      </c>
      <c r="BH163" t="s">
        <v>1508</v>
      </c>
      <c r="BI163" t="s">
        <v>74</v>
      </c>
      <c r="BJ163" t="s">
        <v>74</v>
      </c>
      <c r="BK163" t="s">
        <v>74</v>
      </c>
      <c r="BL163" t="s">
        <v>74</v>
      </c>
      <c r="BM163" t="s">
        <v>74</v>
      </c>
      <c r="BN163" t="s">
        <v>74</v>
      </c>
      <c r="BO163" t="s">
        <v>74</v>
      </c>
      <c r="BP163" t="s">
        <v>74</v>
      </c>
      <c r="BQ163" t="s">
        <v>74</v>
      </c>
      <c r="BR163" t="s">
        <v>74</v>
      </c>
      <c r="BS163" t="s">
        <v>1582</v>
      </c>
      <c r="BT163" t="str">
        <f>HYPERLINK("https%3A%2F%2Fwww.webofscience.com%2Fwos%2Fwoscc%2Ffull-record%2FWOS:001335821000001","View Full Record in Web of Science")</f>
        <v>View Full Record in Web of Science</v>
      </c>
    </row>
    <row r="164" spans="1:72" x14ac:dyDescent="0.2">
      <c r="A164" t="s">
        <v>72</v>
      </c>
      <c r="B164" t="s">
        <v>1583</v>
      </c>
      <c r="C164" t="s">
        <v>74</v>
      </c>
      <c r="D164" t="s">
        <v>74</v>
      </c>
      <c r="E164" t="s">
        <v>74</v>
      </c>
      <c r="F164" t="s">
        <v>1584</v>
      </c>
      <c r="G164" t="s">
        <v>74</v>
      </c>
      <c r="H164" t="s">
        <v>74</v>
      </c>
      <c r="I164" t="s">
        <v>1585</v>
      </c>
      <c r="J164" t="s">
        <v>960</v>
      </c>
      <c r="K164" t="s">
        <v>74</v>
      </c>
      <c r="L164" t="s">
        <v>74</v>
      </c>
      <c r="M164" t="s">
        <v>74</v>
      </c>
      <c r="N164" t="s">
        <v>74</v>
      </c>
      <c r="O164" t="s">
        <v>74</v>
      </c>
      <c r="P164" t="s">
        <v>74</v>
      </c>
      <c r="Q164" t="s">
        <v>74</v>
      </c>
      <c r="R164" t="s">
        <v>74</v>
      </c>
      <c r="S164" t="s">
        <v>74</v>
      </c>
      <c r="T164" t="s">
        <v>74</v>
      </c>
      <c r="U164" t="s">
        <v>74</v>
      </c>
      <c r="V164" t="s">
        <v>1586</v>
      </c>
      <c r="W164" t="s">
        <v>74</v>
      </c>
      <c r="X164" t="s">
        <v>74</v>
      </c>
      <c r="Y164" t="s">
        <v>74</v>
      </c>
      <c r="Z164" t="s">
        <v>74</v>
      </c>
      <c r="AA164" t="s">
        <v>1587</v>
      </c>
      <c r="AB164" t="s">
        <v>1588</v>
      </c>
      <c r="AC164" t="s">
        <v>74</v>
      </c>
      <c r="AD164" t="s">
        <v>74</v>
      </c>
      <c r="AE164" t="s">
        <v>74</v>
      </c>
      <c r="AF164" t="s">
        <v>74</v>
      </c>
      <c r="AG164" t="s">
        <v>74</v>
      </c>
      <c r="AH164" t="s">
        <v>74</v>
      </c>
      <c r="AI164" t="s">
        <v>74</v>
      </c>
      <c r="AJ164" t="s">
        <v>74</v>
      </c>
      <c r="AK164" t="s">
        <v>74</v>
      </c>
      <c r="AL164" t="s">
        <v>74</v>
      </c>
      <c r="AM164" t="s">
        <v>74</v>
      </c>
      <c r="AN164" t="s">
        <v>74</v>
      </c>
      <c r="AO164" t="s">
        <v>964</v>
      </c>
      <c r="AP164" t="s">
        <v>74</v>
      </c>
      <c r="AQ164" t="s">
        <v>74</v>
      </c>
      <c r="AR164" t="s">
        <v>74</v>
      </c>
      <c r="AS164" t="s">
        <v>74</v>
      </c>
      <c r="AT164" t="s">
        <v>1589</v>
      </c>
      <c r="AU164">
        <v>2024</v>
      </c>
      <c r="AV164">
        <v>6</v>
      </c>
      <c r="AW164">
        <v>20</v>
      </c>
      <c r="AX164" t="s">
        <v>74</v>
      </c>
      <c r="AY164" t="s">
        <v>74</v>
      </c>
      <c r="AZ164" t="s">
        <v>74</v>
      </c>
      <c r="BA164" t="s">
        <v>74</v>
      </c>
      <c r="BB164">
        <v>12429</v>
      </c>
      <c r="BC164">
        <v>12440</v>
      </c>
      <c r="BD164" t="s">
        <v>74</v>
      </c>
      <c r="BE164" t="s">
        <v>1590</v>
      </c>
      <c r="BF164" t="str">
        <f>HYPERLINK("http://dx.doi.org/10.1021/acsapm.4c01523","http://dx.doi.org/10.1021/acsapm.4c01523")</f>
        <v>http://dx.doi.org/10.1021/acsapm.4c01523</v>
      </c>
      <c r="BG164" t="s">
        <v>74</v>
      </c>
      <c r="BH164" t="s">
        <v>1508</v>
      </c>
      <c r="BI164" t="s">
        <v>74</v>
      </c>
      <c r="BJ164" t="s">
        <v>74</v>
      </c>
      <c r="BK164" t="s">
        <v>74</v>
      </c>
      <c r="BL164" t="s">
        <v>74</v>
      </c>
      <c r="BM164" t="s">
        <v>74</v>
      </c>
      <c r="BN164" t="s">
        <v>74</v>
      </c>
      <c r="BO164" t="s">
        <v>74</v>
      </c>
      <c r="BP164" t="s">
        <v>74</v>
      </c>
      <c r="BQ164" t="s">
        <v>74</v>
      </c>
      <c r="BR164" t="s">
        <v>74</v>
      </c>
      <c r="BS164" t="s">
        <v>1591</v>
      </c>
      <c r="BT164" t="str">
        <f>HYPERLINK("https%3A%2F%2Fwww.webofscience.com%2Fwos%2Fwoscc%2Ffull-record%2FWOS:001331400000001","View Full Record in Web of Science")</f>
        <v>View Full Record in Web of Science</v>
      </c>
    </row>
    <row r="165" spans="1:72" x14ac:dyDescent="0.2">
      <c r="A165" t="s">
        <v>72</v>
      </c>
      <c r="B165" t="s">
        <v>1592</v>
      </c>
      <c r="C165" t="s">
        <v>74</v>
      </c>
      <c r="D165" t="s">
        <v>74</v>
      </c>
      <c r="E165" t="s">
        <v>74</v>
      </c>
      <c r="F165" t="s">
        <v>1593</v>
      </c>
      <c r="G165" t="s">
        <v>74</v>
      </c>
      <c r="H165" t="s">
        <v>74</v>
      </c>
      <c r="I165" t="s">
        <v>1594</v>
      </c>
      <c r="J165" t="s">
        <v>931</v>
      </c>
      <c r="K165" t="s">
        <v>74</v>
      </c>
      <c r="L165" t="s">
        <v>74</v>
      </c>
      <c r="M165" t="s">
        <v>74</v>
      </c>
      <c r="N165" t="s">
        <v>74</v>
      </c>
      <c r="O165" t="s">
        <v>74</v>
      </c>
      <c r="P165" t="s">
        <v>74</v>
      </c>
      <c r="Q165" t="s">
        <v>74</v>
      </c>
      <c r="R165" t="s">
        <v>74</v>
      </c>
      <c r="S165" t="s">
        <v>74</v>
      </c>
      <c r="T165" t="s">
        <v>74</v>
      </c>
      <c r="U165" t="s">
        <v>74</v>
      </c>
      <c r="V165" t="s">
        <v>1595</v>
      </c>
      <c r="W165" t="s">
        <v>74</v>
      </c>
      <c r="X165" t="s">
        <v>74</v>
      </c>
      <c r="Y165" t="s">
        <v>74</v>
      </c>
      <c r="Z165" t="s">
        <v>74</v>
      </c>
      <c r="AA165" t="s">
        <v>1596</v>
      </c>
      <c r="AB165" t="s">
        <v>1597</v>
      </c>
      <c r="AC165" t="s">
        <v>74</v>
      </c>
      <c r="AD165" t="s">
        <v>74</v>
      </c>
      <c r="AE165" t="s">
        <v>74</v>
      </c>
      <c r="AF165" t="s">
        <v>74</v>
      </c>
      <c r="AG165" t="s">
        <v>74</v>
      </c>
      <c r="AH165" t="s">
        <v>74</v>
      </c>
      <c r="AI165" t="s">
        <v>74</v>
      </c>
      <c r="AJ165" t="s">
        <v>74</v>
      </c>
      <c r="AK165" t="s">
        <v>74</v>
      </c>
      <c r="AL165" t="s">
        <v>74</v>
      </c>
      <c r="AM165" t="s">
        <v>74</v>
      </c>
      <c r="AN165" t="s">
        <v>74</v>
      </c>
      <c r="AO165" t="s">
        <v>934</v>
      </c>
      <c r="AP165" t="s">
        <v>935</v>
      </c>
      <c r="AQ165" t="s">
        <v>74</v>
      </c>
      <c r="AR165" t="s">
        <v>74</v>
      </c>
      <c r="AS165" t="s">
        <v>74</v>
      </c>
      <c r="AT165" t="s">
        <v>325</v>
      </c>
      <c r="AU165">
        <v>2024</v>
      </c>
      <c r="AV165">
        <v>15</v>
      </c>
      <c r="AW165">
        <v>42</v>
      </c>
      <c r="AX165" t="s">
        <v>74</v>
      </c>
      <c r="AY165" t="s">
        <v>74</v>
      </c>
      <c r="AZ165" t="s">
        <v>74</v>
      </c>
      <c r="BA165" t="s">
        <v>74</v>
      </c>
      <c r="BB165">
        <v>17579</v>
      </c>
      <c r="BC165">
        <v>17589</v>
      </c>
      <c r="BD165" t="s">
        <v>74</v>
      </c>
      <c r="BE165" t="s">
        <v>1598</v>
      </c>
      <c r="BF165" t="str">
        <f>HYPERLINK("http://dx.doi.org/10.1039/d4sc02861a","http://dx.doi.org/10.1039/d4sc02861a")</f>
        <v>http://dx.doi.org/10.1039/d4sc02861a</v>
      </c>
      <c r="BG165" t="s">
        <v>74</v>
      </c>
      <c r="BH165" t="s">
        <v>1508</v>
      </c>
      <c r="BI165" t="s">
        <v>74</v>
      </c>
      <c r="BJ165" t="s">
        <v>74</v>
      </c>
      <c r="BK165" t="s">
        <v>74</v>
      </c>
      <c r="BL165" t="s">
        <v>74</v>
      </c>
      <c r="BM165" t="s">
        <v>74</v>
      </c>
      <c r="BN165">
        <v>39386910</v>
      </c>
      <c r="BO165" t="s">
        <v>74</v>
      </c>
      <c r="BP165" t="s">
        <v>74</v>
      </c>
      <c r="BQ165" t="s">
        <v>74</v>
      </c>
      <c r="BR165" t="s">
        <v>74</v>
      </c>
      <c r="BS165" t="s">
        <v>1599</v>
      </c>
      <c r="BT165" t="str">
        <f>HYPERLINK("https%3A%2F%2Fwww.webofscience.com%2Fwos%2Fwoscc%2Ffull-record%2FWOS:001330173900001","View Full Record in Web of Science")</f>
        <v>View Full Record in Web of Science</v>
      </c>
    </row>
    <row r="166" spans="1:72" x14ac:dyDescent="0.2">
      <c r="A166" t="s">
        <v>72</v>
      </c>
      <c r="B166" t="s">
        <v>1600</v>
      </c>
      <c r="C166" t="s">
        <v>74</v>
      </c>
      <c r="D166" t="s">
        <v>74</v>
      </c>
      <c r="E166" t="s">
        <v>74</v>
      </c>
      <c r="F166" t="s">
        <v>1601</v>
      </c>
      <c r="G166" t="s">
        <v>74</v>
      </c>
      <c r="H166" t="s">
        <v>74</v>
      </c>
      <c r="I166" t="s">
        <v>1602</v>
      </c>
      <c r="J166" t="s">
        <v>109</v>
      </c>
      <c r="K166" t="s">
        <v>74</v>
      </c>
      <c r="L166" t="s">
        <v>74</v>
      </c>
      <c r="M166" t="s">
        <v>74</v>
      </c>
      <c r="N166" t="s">
        <v>74</v>
      </c>
      <c r="O166" t="s">
        <v>74</v>
      </c>
      <c r="P166" t="s">
        <v>74</v>
      </c>
      <c r="Q166" t="s">
        <v>74</v>
      </c>
      <c r="R166" t="s">
        <v>74</v>
      </c>
      <c r="S166" t="s">
        <v>74</v>
      </c>
      <c r="T166" t="s">
        <v>74</v>
      </c>
      <c r="U166" t="s">
        <v>74</v>
      </c>
      <c r="V166" t="s">
        <v>1603</v>
      </c>
      <c r="W166" t="s">
        <v>74</v>
      </c>
      <c r="X166" t="s">
        <v>74</v>
      </c>
      <c r="Y166" t="s">
        <v>74</v>
      </c>
      <c r="Z166" t="s">
        <v>74</v>
      </c>
      <c r="AA166" t="s">
        <v>1604</v>
      </c>
      <c r="AB166" t="s">
        <v>74</v>
      </c>
      <c r="AC166" t="s">
        <v>74</v>
      </c>
      <c r="AD166" t="s">
        <v>74</v>
      </c>
      <c r="AE166" t="s">
        <v>74</v>
      </c>
      <c r="AF166" t="s">
        <v>74</v>
      </c>
      <c r="AG166" t="s">
        <v>74</v>
      </c>
      <c r="AH166" t="s">
        <v>74</v>
      </c>
      <c r="AI166" t="s">
        <v>74</v>
      </c>
      <c r="AJ166" t="s">
        <v>74</v>
      </c>
      <c r="AK166" t="s">
        <v>74</v>
      </c>
      <c r="AL166" t="s">
        <v>74</v>
      </c>
      <c r="AM166" t="s">
        <v>74</v>
      </c>
      <c r="AN166" t="s">
        <v>74</v>
      </c>
      <c r="AO166" t="s">
        <v>112</v>
      </c>
      <c r="AP166" t="s">
        <v>74</v>
      </c>
      <c r="AQ166" t="s">
        <v>74</v>
      </c>
      <c r="AR166" t="s">
        <v>74</v>
      </c>
      <c r="AS166" t="s">
        <v>74</v>
      </c>
      <c r="AT166" t="s">
        <v>1194</v>
      </c>
      <c r="AU166">
        <v>2025</v>
      </c>
      <c r="AV166">
        <v>100</v>
      </c>
      <c r="AW166" t="s">
        <v>74</v>
      </c>
      <c r="AX166" t="s">
        <v>74</v>
      </c>
      <c r="AY166" t="s">
        <v>74</v>
      </c>
      <c r="AZ166" t="s">
        <v>74</v>
      </c>
      <c r="BA166" t="s">
        <v>74</v>
      </c>
      <c r="BB166">
        <v>730</v>
      </c>
      <c r="BC166">
        <v>738</v>
      </c>
      <c r="BD166" t="s">
        <v>74</v>
      </c>
      <c r="BE166" t="s">
        <v>1605</v>
      </c>
      <c r="BF166" t="str">
        <f>HYPERLINK("http://dx.doi.org/10.1016/j.jechem.2024.09.024","http://dx.doi.org/10.1016/j.jechem.2024.09.024")</f>
        <v>http://dx.doi.org/10.1016/j.jechem.2024.09.024</v>
      </c>
      <c r="BG166" t="s">
        <v>74</v>
      </c>
      <c r="BH166" t="s">
        <v>1508</v>
      </c>
      <c r="BI166" t="s">
        <v>74</v>
      </c>
      <c r="BJ166" t="s">
        <v>74</v>
      </c>
      <c r="BK166" t="s">
        <v>74</v>
      </c>
      <c r="BL166" t="s">
        <v>74</v>
      </c>
      <c r="BM166" t="s">
        <v>74</v>
      </c>
      <c r="BN166" t="s">
        <v>74</v>
      </c>
      <c r="BO166" t="s">
        <v>74</v>
      </c>
      <c r="BP166" t="s">
        <v>74</v>
      </c>
      <c r="BQ166" t="s">
        <v>74</v>
      </c>
      <c r="BR166" t="s">
        <v>74</v>
      </c>
      <c r="BS166" t="s">
        <v>1606</v>
      </c>
      <c r="BT166" t="str">
        <f>HYPERLINK("https%3A%2F%2Fwww.webofscience.com%2Fwos%2Fwoscc%2Ffull-record%2FWOS:001340278300001","View Full Record in Web of Science")</f>
        <v>View Full Record in Web of Science</v>
      </c>
    </row>
    <row r="167" spans="1:72" x14ac:dyDescent="0.2">
      <c r="A167" t="s">
        <v>72</v>
      </c>
      <c r="B167" t="s">
        <v>1607</v>
      </c>
      <c r="C167" t="s">
        <v>74</v>
      </c>
      <c r="D167" t="s">
        <v>74</v>
      </c>
      <c r="E167" t="s">
        <v>74</v>
      </c>
      <c r="F167" t="s">
        <v>1608</v>
      </c>
      <c r="G167" t="s">
        <v>74</v>
      </c>
      <c r="H167" t="s">
        <v>74</v>
      </c>
      <c r="I167" t="s">
        <v>1609</v>
      </c>
      <c r="J167" t="s">
        <v>411</v>
      </c>
      <c r="K167" t="s">
        <v>74</v>
      </c>
      <c r="L167" t="s">
        <v>74</v>
      </c>
      <c r="M167" t="s">
        <v>74</v>
      </c>
      <c r="N167" t="s">
        <v>74</v>
      </c>
      <c r="O167" t="s">
        <v>74</v>
      </c>
      <c r="P167" t="s">
        <v>74</v>
      </c>
      <c r="Q167" t="s">
        <v>74</v>
      </c>
      <c r="R167" t="s">
        <v>74</v>
      </c>
      <c r="S167" t="s">
        <v>74</v>
      </c>
      <c r="T167" t="s">
        <v>74</v>
      </c>
      <c r="U167" t="s">
        <v>74</v>
      </c>
      <c r="V167" t="s">
        <v>1610</v>
      </c>
      <c r="W167" t="s">
        <v>74</v>
      </c>
      <c r="X167" t="s">
        <v>74</v>
      </c>
      <c r="Y167" t="s">
        <v>74</v>
      </c>
      <c r="Z167" t="s">
        <v>74</v>
      </c>
      <c r="AA167" t="s">
        <v>1611</v>
      </c>
      <c r="AB167" t="s">
        <v>1612</v>
      </c>
      <c r="AC167" t="s">
        <v>74</v>
      </c>
      <c r="AD167" t="s">
        <v>74</v>
      </c>
      <c r="AE167" t="s">
        <v>74</v>
      </c>
      <c r="AF167" t="s">
        <v>74</v>
      </c>
      <c r="AG167" t="s">
        <v>74</v>
      </c>
      <c r="AH167" t="s">
        <v>74</v>
      </c>
      <c r="AI167" t="s">
        <v>74</v>
      </c>
      <c r="AJ167" t="s">
        <v>74</v>
      </c>
      <c r="AK167" t="s">
        <v>74</v>
      </c>
      <c r="AL167" t="s">
        <v>74</v>
      </c>
      <c r="AM167" t="s">
        <v>74</v>
      </c>
      <c r="AN167" t="s">
        <v>74</v>
      </c>
      <c r="AO167" t="s">
        <v>414</v>
      </c>
      <c r="AP167" t="s">
        <v>415</v>
      </c>
      <c r="AQ167" t="s">
        <v>74</v>
      </c>
      <c r="AR167" t="s">
        <v>74</v>
      </c>
      <c r="AS167" t="s">
        <v>74</v>
      </c>
      <c r="AT167" t="s">
        <v>1318</v>
      </c>
      <c r="AU167">
        <v>2024</v>
      </c>
      <c r="AV167">
        <v>20</v>
      </c>
      <c r="AW167">
        <v>50</v>
      </c>
      <c r="AX167" t="s">
        <v>74</v>
      </c>
      <c r="AY167" t="s">
        <v>74</v>
      </c>
      <c r="AZ167" t="s">
        <v>74</v>
      </c>
      <c r="BA167" t="s">
        <v>74</v>
      </c>
      <c r="BB167" t="s">
        <v>74</v>
      </c>
      <c r="BC167" t="s">
        <v>74</v>
      </c>
      <c r="BD167" t="s">
        <v>74</v>
      </c>
      <c r="BE167" t="s">
        <v>1613</v>
      </c>
      <c r="BF167" t="str">
        <f>HYPERLINK("http://dx.doi.org/10.1002/smll.202406309","http://dx.doi.org/10.1002/smll.202406309")</f>
        <v>http://dx.doi.org/10.1002/smll.202406309</v>
      </c>
      <c r="BG167" t="s">
        <v>74</v>
      </c>
      <c r="BH167" t="s">
        <v>1508</v>
      </c>
      <c r="BI167" t="s">
        <v>74</v>
      </c>
      <c r="BJ167" t="s">
        <v>74</v>
      </c>
      <c r="BK167" t="s">
        <v>74</v>
      </c>
      <c r="BL167" t="s">
        <v>74</v>
      </c>
      <c r="BM167" t="s">
        <v>74</v>
      </c>
      <c r="BN167">
        <v>39358956</v>
      </c>
      <c r="BO167" t="s">
        <v>74</v>
      </c>
      <c r="BP167" t="s">
        <v>74</v>
      </c>
      <c r="BQ167" t="s">
        <v>74</v>
      </c>
      <c r="BR167" t="s">
        <v>74</v>
      </c>
      <c r="BS167" t="s">
        <v>1614</v>
      </c>
      <c r="BT167" t="str">
        <f>HYPERLINK("https%3A%2F%2Fwww.webofscience.com%2Fwos%2Fwoscc%2Ffull-record%2FWOS:001326958200001","View Full Record in Web of Science")</f>
        <v>View Full Record in Web of Science</v>
      </c>
    </row>
    <row r="168" spans="1:72" x14ac:dyDescent="0.2">
      <c r="A168" t="s">
        <v>72</v>
      </c>
      <c r="B168" t="s">
        <v>1615</v>
      </c>
      <c r="C168" t="s">
        <v>74</v>
      </c>
      <c r="D168" t="s">
        <v>74</v>
      </c>
      <c r="E168" t="s">
        <v>74</v>
      </c>
      <c r="F168" t="s">
        <v>1616</v>
      </c>
      <c r="G168" t="s">
        <v>74</v>
      </c>
      <c r="H168" t="s">
        <v>74</v>
      </c>
      <c r="I168" t="s">
        <v>1617</v>
      </c>
      <c r="J168" t="s">
        <v>1618</v>
      </c>
      <c r="K168" t="s">
        <v>74</v>
      </c>
      <c r="L168" t="s">
        <v>74</v>
      </c>
      <c r="M168" t="s">
        <v>74</v>
      </c>
      <c r="N168" t="s">
        <v>74</v>
      </c>
      <c r="O168" t="s">
        <v>74</v>
      </c>
      <c r="P168" t="s">
        <v>74</v>
      </c>
      <c r="Q168" t="s">
        <v>74</v>
      </c>
      <c r="R168" t="s">
        <v>74</v>
      </c>
      <c r="S168" t="s">
        <v>74</v>
      </c>
      <c r="T168" t="s">
        <v>74</v>
      </c>
      <c r="U168" t="s">
        <v>74</v>
      </c>
      <c r="V168" t="s">
        <v>1619</v>
      </c>
      <c r="W168" t="s">
        <v>74</v>
      </c>
      <c r="X168" t="s">
        <v>74</v>
      </c>
      <c r="Y168" t="s">
        <v>74</v>
      </c>
      <c r="Z168" t="s">
        <v>74</v>
      </c>
      <c r="AA168" t="s">
        <v>1620</v>
      </c>
      <c r="AB168" t="s">
        <v>74</v>
      </c>
      <c r="AC168" t="s">
        <v>74</v>
      </c>
      <c r="AD168" t="s">
        <v>74</v>
      </c>
      <c r="AE168" t="s">
        <v>74</v>
      </c>
      <c r="AF168" t="s">
        <v>74</v>
      </c>
      <c r="AG168" t="s">
        <v>74</v>
      </c>
      <c r="AH168" t="s">
        <v>74</v>
      </c>
      <c r="AI168" t="s">
        <v>74</v>
      </c>
      <c r="AJ168" t="s">
        <v>74</v>
      </c>
      <c r="AK168" t="s">
        <v>74</v>
      </c>
      <c r="AL168" t="s">
        <v>74</v>
      </c>
      <c r="AM168" t="s">
        <v>74</v>
      </c>
      <c r="AN168" t="s">
        <v>74</v>
      </c>
      <c r="AO168" t="s">
        <v>1621</v>
      </c>
      <c r="AP168" t="s">
        <v>74</v>
      </c>
      <c r="AQ168" t="s">
        <v>74</v>
      </c>
      <c r="AR168" t="s">
        <v>74</v>
      </c>
      <c r="AS168" t="s">
        <v>74</v>
      </c>
      <c r="AT168" t="s">
        <v>113</v>
      </c>
      <c r="AU168">
        <v>2024</v>
      </c>
      <c r="AV168">
        <v>45</v>
      </c>
      <c r="AW168">
        <v>5</v>
      </c>
      <c r="AX168" t="s">
        <v>74</v>
      </c>
      <c r="AY168" t="s">
        <v>74</v>
      </c>
      <c r="AZ168" t="s">
        <v>74</v>
      </c>
      <c r="BA168" t="s">
        <v>74</v>
      </c>
      <c r="BB168">
        <v>461</v>
      </c>
      <c r="BC168">
        <v>470</v>
      </c>
      <c r="BD168" t="s">
        <v>74</v>
      </c>
      <c r="BE168" t="s">
        <v>74</v>
      </c>
      <c r="BF168" t="s">
        <v>74</v>
      </c>
      <c r="BG168" t="s">
        <v>74</v>
      </c>
      <c r="BH168" t="s">
        <v>74</v>
      </c>
      <c r="BI168" t="s">
        <v>74</v>
      </c>
      <c r="BJ168" t="s">
        <v>74</v>
      </c>
      <c r="BK168" t="s">
        <v>74</v>
      </c>
      <c r="BL168" t="s">
        <v>74</v>
      </c>
      <c r="BM168" t="s">
        <v>74</v>
      </c>
      <c r="BN168" t="s">
        <v>74</v>
      </c>
      <c r="BO168" t="s">
        <v>74</v>
      </c>
      <c r="BP168" t="s">
        <v>74</v>
      </c>
      <c r="BQ168" t="s">
        <v>74</v>
      </c>
      <c r="BR168" t="s">
        <v>74</v>
      </c>
      <c r="BS168" t="s">
        <v>1622</v>
      </c>
      <c r="BT168" t="str">
        <f>HYPERLINK("https%3A%2F%2Fwww.webofscience.com%2Fwos%2Fwoscc%2Ffull-record%2FWOS:001351941300006","View Full Record in Web of Science")</f>
        <v>View Full Record in Web of Science</v>
      </c>
    </row>
    <row r="169" spans="1:72" x14ac:dyDescent="0.2">
      <c r="A169" t="s">
        <v>72</v>
      </c>
      <c r="B169" t="s">
        <v>1623</v>
      </c>
      <c r="C169" t="s">
        <v>74</v>
      </c>
      <c r="D169" t="s">
        <v>74</v>
      </c>
      <c r="E169" t="s">
        <v>74</v>
      </c>
      <c r="F169" t="s">
        <v>1624</v>
      </c>
      <c r="G169" t="s">
        <v>74</v>
      </c>
      <c r="H169" t="s">
        <v>74</v>
      </c>
      <c r="I169" t="s">
        <v>1625</v>
      </c>
      <c r="J169" t="s">
        <v>352</v>
      </c>
      <c r="K169" t="s">
        <v>74</v>
      </c>
      <c r="L169" t="s">
        <v>74</v>
      </c>
      <c r="M169" t="s">
        <v>74</v>
      </c>
      <c r="N169" t="s">
        <v>74</v>
      </c>
      <c r="O169" t="s">
        <v>74</v>
      </c>
      <c r="P169" t="s">
        <v>74</v>
      </c>
      <c r="Q169" t="s">
        <v>74</v>
      </c>
      <c r="R169" t="s">
        <v>74</v>
      </c>
      <c r="S169" t="s">
        <v>74</v>
      </c>
      <c r="T169" t="s">
        <v>74</v>
      </c>
      <c r="U169" t="s">
        <v>74</v>
      </c>
      <c r="V169" t="s">
        <v>1626</v>
      </c>
      <c r="W169" t="s">
        <v>74</v>
      </c>
      <c r="X169" t="s">
        <v>74</v>
      </c>
      <c r="Y169" t="s">
        <v>74</v>
      </c>
      <c r="Z169" t="s">
        <v>74</v>
      </c>
      <c r="AA169" t="s">
        <v>1627</v>
      </c>
      <c r="AB169" t="s">
        <v>1628</v>
      </c>
      <c r="AC169" t="s">
        <v>74</v>
      </c>
      <c r="AD169" t="s">
        <v>74</v>
      </c>
      <c r="AE169" t="s">
        <v>74</v>
      </c>
      <c r="AF169" t="s">
        <v>74</v>
      </c>
      <c r="AG169" t="s">
        <v>74</v>
      </c>
      <c r="AH169" t="s">
        <v>74</v>
      </c>
      <c r="AI169" t="s">
        <v>74</v>
      </c>
      <c r="AJ169" t="s">
        <v>74</v>
      </c>
      <c r="AK169" t="s">
        <v>74</v>
      </c>
      <c r="AL169" t="s">
        <v>74</v>
      </c>
      <c r="AM169" t="s">
        <v>74</v>
      </c>
      <c r="AN169" t="s">
        <v>74</v>
      </c>
      <c r="AO169" t="s">
        <v>354</v>
      </c>
      <c r="AP169" t="s">
        <v>355</v>
      </c>
      <c r="AQ169" t="s">
        <v>74</v>
      </c>
      <c r="AR169" t="s">
        <v>74</v>
      </c>
      <c r="AS169" t="s">
        <v>74</v>
      </c>
      <c r="AT169" t="s">
        <v>1318</v>
      </c>
      <c r="AU169">
        <v>2024</v>
      </c>
      <c r="AV169">
        <v>14</v>
      </c>
      <c r="AW169">
        <v>46</v>
      </c>
      <c r="AX169" t="s">
        <v>74</v>
      </c>
      <c r="AY169" t="s">
        <v>74</v>
      </c>
      <c r="AZ169" t="s">
        <v>74</v>
      </c>
      <c r="BA169" t="s">
        <v>74</v>
      </c>
      <c r="BB169" t="s">
        <v>74</v>
      </c>
      <c r="BC169" t="s">
        <v>74</v>
      </c>
      <c r="BD169" t="s">
        <v>74</v>
      </c>
      <c r="BE169" t="s">
        <v>1629</v>
      </c>
      <c r="BF169" t="str">
        <f>HYPERLINK("http://dx.doi.org/10.1002/aenm.202401968","http://dx.doi.org/10.1002/aenm.202401968")</f>
        <v>http://dx.doi.org/10.1002/aenm.202401968</v>
      </c>
      <c r="BG169" t="s">
        <v>74</v>
      </c>
      <c r="BH169" t="s">
        <v>1630</v>
      </c>
      <c r="BI169" t="s">
        <v>74</v>
      </c>
      <c r="BJ169" t="s">
        <v>74</v>
      </c>
      <c r="BK169" t="s">
        <v>74</v>
      </c>
      <c r="BL169" t="s">
        <v>74</v>
      </c>
      <c r="BM169" t="s">
        <v>74</v>
      </c>
      <c r="BN169" t="s">
        <v>74</v>
      </c>
      <c r="BO169" t="s">
        <v>74</v>
      </c>
      <c r="BP169" t="s">
        <v>74</v>
      </c>
      <c r="BQ169" t="s">
        <v>74</v>
      </c>
      <c r="BR169" t="s">
        <v>74</v>
      </c>
      <c r="BS169" t="s">
        <v>1631</v>
      </c>
      <c r="BT169" t="str">
        <f>HYPERLINK("https%3A%2F%2Fwww.webofscience.com%2Fwos%2Fwoscc%2Ffull-record%2FWOS:001319671400001","View Full Record in Web of Science")</f>
        <v>View Full Record in Web of Science</v>
      </c>
    </row>
    <row r="170" spans="1:72" x14ac:dyDescent="0.2">
      <c r="A170" t="s">
        <v>72</v>
      </c>
      <c r="B170" t="s">
        <v>1632</v>
      </c>
      <c r="C170" t="s">
        <v>74</v>
      </c>
      <c r="D170" t="s">
        <v>74</v>
      </c>
      <c r="E170" t="s">
        <v>74</v>
      </c>
      <c r="F170" t="s">
        <v>1633</v>
      </c>
      <c r="G170" t="s">
        <v>74</v>
      </c>
      <c r="H170" t="s">
        <v>74</v>
      </c>
      <c r="I170" t="s">
        <v>1634</v>
      </c>
      <c r="J170" t="s">
        <v>151</v>
      </c>
      <c r="K170" t="s">
        <v>74</v>
      </c>
      <c r="L170" t="s">
        <v>74</v>
      </c>
      <c r="M170" t="s">
        <v>74</v>
      </c>
      <c r="N170" t="s">
        <v>74</v>
      </c>
      <c r="O170" t="s">
        <v>74</v>
      </c>
      <c r="P170" t="s">
        <v>74</v>
      </c>
      <c r="Q170" t="s">
        <v>74</v>
      </c>
      <c r="R170" t="s">
        <v>74</v>
      </c>
      <c r="S170" t="s">
        <v>74</v>
      </c>
      <c r="T170" t="s">
        <v>74</v>
      </c>
      <c r="U170" t="s">
        <v>74</v>
      </c>
      <c r="V170" t="s">
        <v>1635</v>
      </c>
      <c r="W170" t="s">
        <v>74</v>
      </c>
      <c r="X170" t="s">
        <v>74</v>
      </c>
      <c r="Y170" t="s">
        <v>74</v>
      </c>
      <c r="Z170" t="s">
        <v>74</v>
      </c>
      <c r="AA170" t="s">
        <v>1636</v>
      </c>
      <c r="AB170" t="s">
        <v>1637</v>
      </c>
      <c r="AC170" t="s">
        <v>74</v>
      </c>
      <c r="AD170" t="s">
        <v>74</v>
      </c>
      <c r="AE170" t="s">
        <v>74</v>
      </c>
      <c r="AF170" t="s">
        <v>74</v>
      </c>
      <c r="AG170" t="s">
        <v>74</v>
      </c>
      <c r="AH170" t="s">
        <v>74</v>
      </c>
      <c r="AI170" t="s">
        <v>74</v>
      </c>
      <c r="AJ170" t="s">
        <v>74</v>
      </c>
      <c r="AK170" t="s">
        <v>74</v>
      </c>
      <c r="AL170" t="s">
        <v>74</v>
      </c>
      <c r="AM170" t="s">
        <v>74</v>
      </c>
      <c r="AN170" t="s">
        <v>74</v>
      </c>
      <c r="AO170" t="s">
        <v>153</v>
      </c>
      <c r="AP170" t="s">
        <v>154</v>
      </c>
      <c r="AQ170" t="s">
        <v>74</v>
      </c>
      <c r="AR170" t="s">
        <v>74</v>
      </c>
      <c r="AS170" t="s">
        <v>74</v>
      </c>
      <c r="AT170" t="s">
        <v>155</v>
      </c>
      <c r="AU170">
        <v>2024</v>
      </c>
      <c r="AV170">
        <v>72</v>
      </c>
      <c r="AW170" t="s">
        <v>74</v>
      </c>
      <c r="AX170" t="s">
        <v>74</v>
      </c>
      <c r="AY170" t="s">
        <v>74</v>
      </c>
      <c r="AZ170" t="s">
        <v>74</v>
      </c>
      <c r="BA170" t="s">
        <v>74</v>
      </c>
      <c r="BB170" t="s">
        <v>74</v>
      </c>
      <c r="BC170" t="s">
        <v>74</v>
      </c>
      <c r="BD170">
        <v>103788</v>
      </c>
      <c r="BE170" t="s">
        <v>1638</v>
      </c>
      <c r="BF170" t="str">
        <f>HYPERLINK("http://dx.doi.org/10.1016/j.ensm.2024.103788","http://dx.doi.org/10.1016/j.ensm.2024.103788")</f>
        <v>http://dx.doi.org/10.1016/j.ensm.2024.103788</v>
      </c>
      <c r="BG170" t="s">
        <v>74</v>
      </c>
      <c r="BH170" t="s">
        <v>1630</v>
      </c>
      <c r="BI170" t="s">
        <v>74</v>
      </c>
      <c r="BJ170" t="s">
        <v>74</v>
      </c>
      <c r="BK170" t="s">
        <v>74</v>
      </c>
      <c r="BL170" t="s">
        <v>74</v>
      </c>
      <c r="BM170" t="s">
        <v>74</v>
      </c>
      <c r="BN170" t="s">
        <v>74</v>
      </c>
      <c r="BO170" t="s">
        <v>74</v>
      </c>
      <c r="BP170" t="s">
        <v>74</v>
      </c>
      <c r="BQ170" t="s">
        <v>74</v>
      </c>
      <c r="BR170" t="s">
        <v>74</v>
      </c>
      <c r="BS170" t="s">
        <v>1639</v>
      </c>
      <c r="BT170" t="str">
        <f>HYPERLINK("https%3A%2F%2Fwww.webofscience.com%2Fwos%2Fwoscc%2Ffull-record%2FWOS:001317021100001","View Full Record in Web of Science")</f>
        <v>View Full Record in Web of Science</v>
      </c>
    </row>
    <row r="171" spans="1:72" x14ac:dyDescent="0.2">
      <c r="A171" t="s">
        <v>72</v>
      </c>
      <c r="B171" t="s">
        <v>1640</v>
      </c>
      <c r="C171" t="s">
        <v>74</v>
      </c>
      <c r="D171" t="s">
        <v>74</v>
      </c>
      <c r="E171" t="s">
        <v>74</v>
      </c>
      <c r="F171" t="s">
        <v>1641</v>
      </c>
      <c r="G171" t="s">
        <v>74</v>
      </c>
      <c r="H171" t="s">
        <v>74</v>
      </c>
      <c r="I171" t="s">
        <v>1642</v>
      </c>
      <c r="J171" t="s">
        <v>1139</v>
      </c>
      <c r="K171" t="s">
        <v>74</v>
      </c>
      <c r="L171" t="s">
        <v>74</v>
      </c>
      <c r="M171" t="s">
        <v>74</v>
      </c>
      <c r="N171" t="s">
        <v>74</v>
      </c>
      <c r="O171" t="s">
        <v>74</v>
      </c>
      <c r="P171" t="s">
        <v>74</v>
      </c>
      <c r="Q171" t="s">
        <v>74</v>
      </c>
      <c r="R171" t="s">
        <v>74</v>
      </c>
      <c r="S171" t="s">
        <v>74</v>
      </c>
      <c r="T171" t="s">
        <v>74</v>
      </c>
      <c r="U171" t="s">
        <v>74</v>
      </c>
      <c r="V171" t="s">
        <v>1643</v>
      </c>
      <c r="W171" t="s">
        <v>74</v>
      </c>
      <c r="X171" t="s">
        <v>74</v>
      </c>
      <c r="Y171" t="s">
        <v>74</v>
      </c>
      <c r="Z171" t="s">
        <v>74</v>
      </c>
      <c r="AA171" t="s">
        <v>1644</v>
      </c>
      <c r="AB171" t="s">
        <v>1645</v>
      </c>
      <c r="AC171" t="s">
        <v>74</v>
      </c>
      <c r="AD171" t="s">
        <v>74</v>
      </c>
      <c r="AE171" t="s">
        <v>74</v>
      </c>
      <c r="AF171" t="s">
        <v>74</v>
      </c>
      <c r="AG171" t="s">
        <v>74</v>
      </c>
      <c r="AH171" t="s">
        <v>74</v>
      </c>
      <c r="AI171" t="s">
        <v>74</v>
      </c>
      <c r="AJ171" t="s">
        <v>74</v>
      </c>
      <c r="AK171" t="s">
        <v>74</v>
      </c>
      <c r="AL171" t="s">
        <v>74</v>
      </c>
      <c r="AM171" t="s">
        <v>74</v>
      </c>
      <c r="AN171" t="s">
        <v>74</v>
      </c>
      <c r="AO171" t="s">
        <v>1143</v>
      </c>
      <c r="AP171" t="s">
        <v>1144</v>
      </c>
      <c r="AQ171" t="s">
        <v>74</v>
      </c>
      <c r="AR171" t="s">
        <v>74</v>
      </c>
      <c r="AS171" t="s">
        <v>74</v>
      </c>
      <c r="AT171" t="s">
        <v>144</v>
      </c>
      <c r="AU171">
        <v>2024</v>
      </c>
      <c r="AV171">
        <v>48</v>
      </c>
      <c r="AW171">
        <v>38</v>
      </c>
      <c r="AX171" t="s">
        <v>74</v>
      </c>
      <c r="AY171" t="s">
        <v>74</v>
      </c>
      <c r="AZ171" t="s">
        <v>74</v>
      </c>
      <c r="BA171" t="s">
        <v>74</v>
      </c>
      <c r="BB171">
        <v>16931</v>
      </c>
      <c r="BC171">
        <v>16947</v>
      </c>
      <c r="BD171" t="s">
        <v>74</v>
      </c>
      <c r="BE171" t="s">
        <v>1646</v>
      </c>
      <c r="BF171" t="str">
        <f>HYPERLINK("http://dx.doi.org/10.1039/d4nj02857k","http://dx.doi.org/10.1039/d4nj02857k")</f>
        <v>http://dx.doi.org/10.1039/d4nj02857k</v>
      </c>
      <c r="BG171" t="s">
        <v>74</v>
      </c>
      <c r="BH171" t="s">
        <v>1630</v>
      </c>
      <c r="BI171" t="s">
        <v>74</v>
      </c>
      <c r="BJ171" t="s">
        <v>74</v>
      </c>
      <c r="BK171" t="s">
        <v>74</v>
      </c>
      <c r="BL171" t="s">
        <v>74</v>
      </c>
      <c r="BM171" t="s">
        <v>74</v>
      </c>
      <c r="BN171" t="s">
        <v>74</v>
      </c>
      <c r="BO171" t="s">
        <v>74</v>
      </c>
      <c r="BP171" t="s">
        <v>74</v>
      </c>
      <c r="BQ171" t="s">
        <v>74</v>
      </c>
      <c r="BR171" t="s">
        <v>74</v>
      </c>
      <c r="BS171" t="s">
        <v>1647</v>
      </c>
      <c r="BT171" t="str">
        <f>HYPERLINK("https%3A%2F%2Fwww.webofscience.com%2Fwos%2Fwoscc%2Ffull-record%2FWOS:001314521700001","View Full Record in Web of Science")</f>
        <v>View Full Record in Web of Science</v>
      </c>
    </row>
    <row r="172" spans="1:72" x14ac:dyDescent="0.2">
      <c r="A172" t="s">
        <v>72</v>
      </c>
      <c r="B172" t="s">
        <v>1648</v>
      </c>
      <c r="C172" t="s">
        <v>74</v>
      </c>
      <c r="D172" t="s">
        <v>74</v>
      </c>
      <c r="E172" t="s">
        <v>74</v>
      </c>
      <c r="F172" t="s">
        <v>1649</v>
      </c>
      <c r="G172" t="s">
        <v>74</v>
      </c>
      <c r="H172" t="s">
        <v>74</v>
      </c>
      <c r="I172" t="s">
        <v>1650</v>
      </c>
      <c r="J172" t="s">
        <v>1397</v>
      </c>
      <c r="K172" t="s">
        <v>74</v>
      </c>
      <c r="L172" t="s">
        <v>74</v>
      </c>
      <c r="M172" t="s">
        <v>74</v>
      </c>
      <c r="N172" t="s">
        <v>74</v>
      </c>
      <c r="O172" t="s">
        <v>74</v>
      </c>
      <c r="P172" t="s">
        <v>74</v>
      </c>
      <c r="Q172" t="s">
        <v>74</v>
      </c>
      <c r="R172" t="s">
        <v>74</v>
      </c>
      <c r="S172" t="s">
        <v>74</v>
      </c>
      <c r="T172" t="s">
        <v>74</v>
      </c>
      <c r="U172" t="s">
        <v>74</v>
      </c>
      <c r="V172" t="s">
        <v>1651</v>
      </c>
      <c r="W172" t="s">
        <v>74</v>
      </c>
      <c r="X172" t="s">
        <v>74</v>
      </c>
      <c r="Y172" t="s">
        <v>74</v>
      </c>
      <c r="Z172" t="s">
        <v>74</v>
      </c>
      <c r="AA172" t="s">
        <v>1652</v>
      </c>
      <c r="AB172" t="s">
        <v>74</v>
      </c>
      <c r="AC172" t="s">
        <v>74</v>
      </c>
      <c r="AD172" t="s">
        <v>74</v>
      </c>
      <c r="AE172" t="s">
        <v>74</v>
      </c>
      <c r="AF172" t="s">
        <v>74</v>
      </c>
      <c r="AG172" t="s">
        <v>74</v>
      </c>
      <c r="AH172" t="s">
        <v>74</v>
      </c>
      <c r="AI172" t="s">
        <v>74</v>
      </c>
      <c r="AJ172" t="s">
        <v>74</v>
      </c>
      <c r="AK172" t="s">
        <v>74</v>
      </c>
      <c r="AL172" t="s">
        <v>74</v>
      </c>
      <c r="AM172" t="s">
        <v>74</v>
      </c>
      <c r="AN172" t="s">
        <v>74</v>
      </c>
      <c r="AO172" t="s">
        <v>1401</v>
      </c>
      <c r="AP172" t="s">
        <v>1402</v>
      </c>
      <c r="AQ172" t="s">
        <v>74</v>
      </c>
      <c r="AR172" t="s">
        <v>74</v>
      </c>
      <c r="AS172" t="s">
        <v>74</v>
      </c>
      <c r="AT172" t="s">
        <v>1580</v>
      </c>
      <c r="AU172">
        <v>2024</v>
      </c>
      <c r="AV172">
        <v>311</v>
      </c>
      <c r="AW172" t="s">
        <v>74</v>
      </c>
      <c r="AX172" t="s">
        <v>74</v>
      </c>
      <c r="AY172" t="s">
        <v>74</v>
      </c>
      <c r="AZ172" t="s">
        <v>74</v>
      </c>
      <c r="BA172" t="s">
        <v>74</v>
      </c>
      <c r="BB172" t="s">
        <v>74</v>
      </c>
      <c r="BC172" t="s">
        <v>74</v>
      </c>
      <c r="BD172">
        <v>127576</v>
      </c>
      <c r="BE172" t="s">
        <v>1653</v>
      </c>
      <c r="BF172" t="str">
        <f>HYPERLINK("http://dx.doi.org/10.1016/j.polymer.2024.127576","http://dx.doi.org/10.1016/j.polymer.2024.127576")</f>
        <v>http://dx.doi.org/10.1016/j.polymer.2024.127576</v>
      </c>
      <c r="BG172" t="s">
        <v>74</v>
      </c>
      <c r="BH172" t="s">
        <v>1630</v>
      </c>
      <c r="BI172" t="s">
        <v>74</v>
      </c>
      <c r="BJ172" t="s">
        <v>74</v>
      </c>
      <c r="BK172" t="s">
        <v>74</v>
      </c>
      <c r="BL172" t="s">
        <v>74</v>
      </c>
      <c r="BM172" t="s">
        <v>74</v>
      </c>
      <c r="BN172" t="s">
        <v>74</v>
      </c>
      <c r="BO172" t="s">
        <v>74</v>
      </c>
      <c r="BP172" t="s">
        <v>74</v>
      </c>
      <c r="BQ172" t="s">
        <v>74</v>
      </c>
      <c r="BR172" t="s">
        <v>74</v>
      </c>
      <c r="BS172" t="s">
        <v>1654</v>
      </c>
      <c r="BT172" t="str">
        <f>HYPERLINK("https%3A%2F%2Fwww.webofscience.com%2Fwos%2Fwoscc%2Ffull-record%2FWOS:001308607900001","View Full Record in Web of Science")</f>
        <v>View Full Record in Web of Science</v>
      </c>
    </row>
    <row r="173" spans="1:72" x14ac:dyDescent="0.2">
      <c r="A173" t="s">
        <v>72</v>
      </c>
      <c r="B173" t="s">
        <v>1655</v>
      </c>
      <c r="C173" t="s">
        <v>74</v>
      </c>
      <c r="D173" t="s">
        <v>74</v>
      </c>
      <c r="E173" t="s">
        <v>74</v>
      </c>
      <c r="F173" t="s">
        <v>1656</v>
      </c>
      <c r="G173" t="s">
        <v>74</v>
      </c>
      <c r="H173" t="s">
        <v>74</v>
      </c>
      <c r="I173" t="s">
        <v>1657</v>
      </c>
      <c r="J173" t="s">
        <v>1658</v>
      </c>
      <c r="K173" t="s">
        <v>74</v>
      </c>
      <c r="L173" t="s">
        <v>74</v>
      </c>
      <c r="M173" t="s">
        <v>74</v>
      </c>
      <c r="N173" t="s">
        <v>74</v>
      </c>
      <c r="O173" t="s">
        <v>74</v>
      </c>
      <c r="P173" t="s">
        <v>74</v>
      </c>
      <c r="Q173" t="s">
        <v>74</v>
      </c>
      <c r="R173" t="s">
        <v>74</v>
      </c>
      <c r="S173" t="s">
        <v>74</v>
      </c>
      <c r="T173" t="s">
        <v>74</v>
      </c>
      <c r="U173" t="s">
        <v>74</v>
      </c>
      <c r="V173" t="s">
        <v>1659</v>
      </c>
      <c r="W173" t="s">
        <v>74</v>
      </c>
      <c r="X173" t="s">
        <v>74</v>
      </c>
      <c r="Y173" t="s">
        <v>74</v>
      </c>
      <c r="Z173" t="s">
        <v>74</v>
      </c>
      <c r="AA173" t="s">
        <v>1660</v>
      </c>
      <c r="AB173" t="s">
        <v>1661</v>
      </c>
      <c r="AC173" t="s">
        <v>74</v>
      </c>
      <c r="AD173" t="s">
        <v>74</v>
      </c>
      <c r="AE173" t="s">
        <v>74</v>
      </c>
      <c r="AF173" t="s">
        <v>74</v>
      </c>
      <c r="AG173" t="s">
        <v>74</v>
      </c>
      <c r="AH173" t="s">
        <v>74</v>
      </c>
      <c r="AI173" t="s">
        <v>74</v>
      </c>
      <c r="AJ173" t="s">
        <v>74</v>
      </c>
      <c r="AK173" t="s">
        <v>74</v>
      </c>
      <c r="AL173" t="s">
        <v>74</v>
      </c>
      <c r="AM173" t="s">
        <v>74</v>
      </c>
      <c r="AN173" t="s">
        <v>74</v>
      </c>
      <c r="AO173" t="s">
        <v>74</v>
      </c>
      <c r="AP173" t="s">
        <v>1662</v>
      </c>
      <c r="AQ173" t="s">
        <v>74</v>
      </c>
      <c r="AR173" t="s">
        <v>74</v>
      </c>
      <c r="AS173" t="s">
        <v>74</v>
      </c>
      <c r="AT173" t="s">
        <v>1663</v>
      </c>
      <c r="AU173">
        <v>2024</v>
      </c>
      <c r="AV173">
        <v>15</v>
      </c>
      <c r="AW173">
        <v>1</v>
      </c>
      <c r="AX173" t="s">
        <v>74</v>
      </c>
      <c r="AY173" t="s">
        <v>74</v>
      </c>
      <c r="AZ173" t="s">
        <v>74</v>
      </c>
      <c r="BA173" t="s">
        <v>74</v>
      </c>
      <c r="BB173" t="s">
        <v>74</v>
      </c>
      <c r="BC173" t="s">
        <v>74</v>
      </c>
      <c r="BD173">
        <v>7434</v>
      </c>
      <c r="BE173" t="s">
        <v>1664</v>
      </c>
      <c r="BF173" t="str">
        <f>HYPERLINK("http://dx.doi.org/10.1038/s41467-024-50120-7","http://dx.doi.org/10.1038/s41467-024-50120-7")</f>
        <v>http://dx.doi.org/10.1038/s41467-024-50120-7</v>
      </c>
      <c r="BG173" t="s">
        <v>74</v>
      </c>
      <c r="BH173" t="s">
        <v>74</v>
      </c>
      <c r="BI173" t="s">
        <v>74</v>
      </c>
      <c r="BJ173" t="s">
        <v>74</v>
      </c>
      <c r="BK173" t="s">
        <v>74</v>
      </c>
      <c r="BL173" t="s">
        <v>74</v>
      </c>
      <c r="BM173" t="s">
        <v>74</v>
      </c>
      <c r="BN173">
        <v>39237517</v>
      </c>
      <c r="BO173" t="s">
        <v>74</v>
      </c>
      <c r="BP173" t="s">
        <v>74</v>
      </c>
      <c r="BQ173" t="s">
        <v>74</v>
      </c>
      <c r="BR173" t="s">
        <v>74</v>
      </c>
      <c r="BS173" t="s">
        <v>1665</v>
      </c>
      <c r="BT173" t="str">
        <f>HYPERLINK("https%3A%2F%2Fwww.webofscience.com%2Fwos%2Fwoscc%2Ffull-record%2FWOS:001307964900019","View Full Record in Web of Science")</f>
        <v>View Full Record in Web of Science</v>
      </c>
    </row>
    <row r="174" spans="1:72" x14ac:dyDescent="0.2">
      <c r="A174" t="s">
        <v>72</v>
      </c>
      <c r="B174" t="s">
        <v>1666</v>
      </c>
      <c r="C174" t="s">
        <v>74</v>
      </c>
      <c r="D174" t="s">
        <v>74</v>
      </c>
      <c r="E174" t="s">
        <v>74</v>
      </c>
      <c r="F174" t="s">
        <v>1667</v>
      </c>
      <c r="G174" t="s">
        <v>74</v>
      </c>
      <c r="H174" t="s">
        <v>74</v>
      </c>
      <c r="I174" t="s">
        <v>1668</v>
      </c>
      <c r="J174" t="s">
        <v>231</v>
      </c>
      <c r="K174" t="s">
        <v>74</v>
      </c>
      <c r="L174" t="s">
        <v>74</v>
      </c>
      <c r="M174" t="s">
        <v>74</v>
      </c>
      <c r="N174" t="s">
        <v>74</v>
      </c>
      <c r="O174" t="s">
        <v>74</v>
      </c>
      <c r="P174" t="s">
        <v>74</v>
      </c>
      <c r="Q174" t="s">
        <v>74</v>
      </c>
      <c r="R174" t="s">
        <v>74</v>
      </c>
      <c r="S174" t="s">
        <v>74</v>
      </c>
      <c r="T174" t="s">
        <v>74</v>
      </c>
      <c r="U174" t="s">
        <v>74</v>
      </c>
      <c r="V174" t="s">
        <v>1669</v>
      </c>
      <c r="W174" t="s">
        <v>74</v>
      </c>
      <c r="X174" t="s">
        <v>74</v>
      </c>
      <c r="Y174" t="s">
        <v>74</v>
      </c>
      <c r="Z174" t="s">
        <v>74</v>
      </c>
      <c r="AA174" t="s">
        <v>1670</v>
      </c>
      <c r="AB174" t="s">
        <v>1671</v>
      </c>
      <c r="AC174" t="s">
        <v>74</v>
      </c>
      <c r="AD174" t="s">
        <v>74</v>
      </c>
      <c r="AE174" t="s">
        <v>74</v>
      </c>
      <c r="AF174" t="s">
        <v>74</v>
      </c>
      <c r="AG174" t="s">
        <v>74</v>
      </c>
      <c r="AH174" t="s">
        <v>74</v>
      </c>
      <c r="AI174" t="s">
        <v>74</v>
      </c>
      <c r="AJ174" t="s">
        <v>74</v>
      </c>
      <c r="AK174" t="s">
        <v>74</v>
      </c>
      <c r="AL174" t="s">
        <v>74</v>
      </c>
      <c r="AM174" t="s">
        <v>74</v>
      </c>
      <c r="AN174" t="s">
        <v>74</v>
      </c>
      <c r="AO174" t="s">
        <v>1363</v>
      </c>
      <c r="AP174" t="s">
        <v>234</v>
      </c>
      <c r="AQ174" t="s">
        <v>74</v>
      </c>
      <c r="AR174" t="s">
        <v>74</v>
      </c>
      <c r="AS174" t="s">
        <v>74</v>
      </c>
      <c r="AT174" t="s">
        <v>134</v>
      </c>
      <c r="AU174">
        <v>2024</v>
      </c>
      <c r="AV174">
        <v>63</v>
      </c>
      <c r="AW174">
        <v>40</v>
      </c>
      <c r="AX174" t="s">
        <v>74</v>
      </c>
      <c r="AY174" t="s">
        <v>74</v>
      </c>
      <c r="AZ174" t="s">
        <v>74</v>
      </c>
      <c r="BA174" t="s">
        <v>74</v>
      </c>
      <c r="BB174" t="s">
        <v>74</v>
      </c>
      <c r="BC174" t="s">
        <v>74</v>
      </c>
      <c r="BD174" t="s">
        <v>74</v>
      </c>
      <c r="BE174" t="s">
        <v>1672</v>
      </c>
      <c r="BF174" t="str">
        <f>HYPERLINK("http://dx.doi.org/10.1002/anie.202409193","http://dx.doi.org/10.1002/anie.202409193")</f>
        <v>http://dx.doi.org/10.1002/anie.202409193</v>
      </c>
      <c r="BG174" t="s">
        <v>74</v>
      </c>
      <c r="BH174" t="s">
        <v>1630</v>
      </c>
      <c r="BI174" t="s">
        <v>74</v>
      </c>
      <c r="BJ174" t="s">
        <v>74</v>
      </c>
      <c r="BK174" t="s">
        <v>74</v>
      </c>
      <c r="BL174" t="s">
        <v>74</v>
      </c>
      <c r="BM174" t="s">
        <v>74</v>
      </c>
      <c r="BN174">
        <v>38985085</v>
      </c>
      <c r="BO174" t="s">
        <v>74</v>
      </c>
      <c r="BP174" t="s">
        <v>74</v>
      </c>
      <c r="BQ174" t="s">
        <v>74</v>
      </c>
      <c r="BR174" t="s">
        <v>74</v>
      </c>
      <c r="BS174" t="s">
        <v>1673</v>
      </c>
      <c r="BT174" t="str">
        <f>HYPERLINK("https%3A%2F%2Fwww.webofscience.com%2Fwos%2Fwoscc%2Ffull-record%2FWOS:001302738100001","View Full Record in Web of Science")</f>
        <v>View Full Record in Web of Science</v>
      </c>
    </row>
    <row r="175" spans="1:72" x14ac:dyDescent="0.2">
      <c r="A175" t="s">
        <v>72</v>
      </c>
      <c r="B175" t="s">
        <v>1674</v>
      </c>
      <c r="C175" t="s">
        <v>74</v>
      </c>
      <c r="D175" t="s">
        <v>74</v>
      </c>
      <c r="E175" t="s">
        <v>74</v>
      </c>
      <c r="F175" t="s">
        <v>1675</v>
      </c>
      <c r="G175" t="s">
        <v>74</v>
      </c>
      <c r="H175" t="s">
        <v>74</v>
      </c>
      <c r="I175" t="s">
        <v>1676</v>
      </c>
      <c r="J175" t="s">
        <v>1677</v>
      </c>
      <c r="K175" t="s">
        <v>74</v>
      </c>
      <c r="L175" t="s">
        <v>74</v>
      </c>
      <c r="M175" t="s">
        <v>74</v>
      </c>
      <c r="N175" t="s">
        <v>74</v>
      </c>
      <c r="O175" t="s">
        <v>74</v>
      </c>
      <c r="P175" t="s">
        <v>74</v>
      </c>
      <c r="Q175" t="s">
        <v>74</v>
      </c>
      <c r="R175" t="s">
        <v>74</v>
      </c>
      <c r="S175" t="s">
        <v>74</v>
      </c>
      <c r="T175" t="s">
        <v>74</v>
      </c>
      <c r="U175" t="s">
        <v>74</v>
      </c>
      <c r="V175" t="s">
        <v>1678</v>
      </c>
      <c r="W175" t="s">
        <v>74</v>
      </c>
      <c r="X175" t="s">
        <v>74</v>
      </c>
      <c r="Y175" t="s">
        <v>74</v>
      </c>
      <c r="Z175" t="s">
        <v>74</v>
      </c>
      <c r="AA175" t="s">
        <v>1679</v>
      </c>
      <c r="AB175" t="s">
        <v>1680</v>
      </c>
      <c r="AC175" t="s">
        <v>74</v>
      </c>
      <c r="AD175" t="s">
        <v>74</v>
      </c>
      <c r="AE175" t="s">
        <v>74</v>
      </c>
      <c r="AF175" t="s">
        <v>74</v>
      </c>
      <c r="AG175" t="s">
        <v>74</v>
      </c>
      <c r="AH175" t="s">
        <v>74</v>
      </c>
      <c r="AI175" t="s">
        <v>74</v>
      </c>
      <c r="AJ175" t="s">
        <v>74</v>
      </c>
      <c r="AK175" t="s">
        <v>74</v>
      </c>
      <c r="AL175" t="s">
        <v>74</v>
      </c>
      <c r="AM175" t="s">
        <v>74</v>
      </c>
      <c r="AN175" t="s">
        <v>74</v>
      </c>
      <c r="AO175" t="s">
        <v>1681</v>
      </c>
      <c r="AP175" t="s">
        <v>74</v>
      </c>
      <c r="AQ175" t="s">
        <v>74</v>
      </c>
      <c r="AR175" t="s">
        <v>74</v>
      </c>
      <c r="AS175" t="s">
        <v>74</v>
      </c>
      <c r="AT175" t="s">
        <v>155</v>
      </c>
      <c r="AU175">
        <v>2024</v>
      </c>
      <c r="AV175">
        <v>11</v>
      </c>
      <c r="AW175">
        <v>3</v>
      </c>
      <c r="AX175" t="s">
        <v>74</v>
      </c>
      <c r="AY175" t="s">
        <v>74</v>
      </c>
      <c r="AZ175" t="s">
        <v>74</v>
      </c>
      <c r="BA175" t="s">
        <v>74</v>
      </c>
      <c r="BB175" t="s">
        <v>74</v>
      </c>
      <c r="BC175" t="s">
        <v>74</v>
      </c>
      <c r="BD175">
        <v>31416</v>
      </c>
      <c r="BE175" t="s">
        <v>1682</v>
      </c>
      <c r="BF175" t="str">
        <f>HYPERLINK("http://dx.doi.org/10.1063/5.0208785","http://dx.doi.org/10.1063/5.0208785")</f>
        <v>http://dx.doi.org/10.1063/5.0208785</v>
      </c>
      <c r="BG175" t="s">
        <v>74</v>
      </c>
      <c r="BH175" t="s">
        <v>74</v>
      </c>
      <c r="BI175" t="s">
        <v>74</v>
      </c>
      <c r="BJ175" t="s">
        <v>74</v>
      </c>
      <c r="BK175" t="s">
        <v>74</v>
      </c>
      <c r="BL175" t="s">
        <v>74</v>
      </c>
      <c r="BM175" t="s">
        <v>74</v>
      </c>
      <c r="BN175" t="s">
        <v>74</v>
      </c>
      <c r="BO175" t="s">
        <v>74</v>
      </c>
      <c r="BP175" t="s">
        <v>74</v>
      </c>
      <c r="BQ175" t="s">
        <v>74</v>
      </c>
      <c r="BR175" t="s">
        <v>74</v>
      </c>
      <c r="BS175" t="s">
        <v>1683</v>
      </c>
      <c r="BT175" t="str">
        <f>HYPERLINK("https%3A%2F%2Fwww.webofscience.com%2Fwos%2Fwoscc%2Ffull-record%2FWOS:001306968900003","View Full Record in Web of Science")</f>
        <v>View Full Record in Web of Science</v>
      </c>
    </row>
    <row r="176" spans="1:72" x14ac:dyDescent="0.2">
      <c r="A176" t="s">
        <v>72</v>
      </c>
      <c r="B176" t="s">
        <v>1684</v>
      </c>
      <c r="C176" t="s">
        <v>74</v>
      </c>
      <c r="D176" t="s">
        <v>74</v>
      </c>
      <c r="E176" t="s">
        <v>74</v>
      </c>
      <c r="F176" t="s">
        <v>1685</v>
      </c>
      <c r="G176" t="s">
        <v>74</v>
      </c>
      <c r="H176" t="s">
        <v>74</v>
      </c>
      <c r="I176" t="s">
        <v>1686</v>
      </c>
      <c r="J176" t="s">
        <v>1209</v>
      </c>
      <c r="K176" t="s">
        <v>74</v>
      </c>
      <c r="L176" t="s">
        <v>74</v>
      </c>
      <c r="M176" t="s">
        <v>74</v>
      </c>
      <c r="N176" t="s">
        <v>74</v>
      </c>
      <c r="O176" t="s">
        <v>74</v>
      </c>
      <c r="P176" t="s">
        <v>74</v>
      </c>
      <c r="Q176" t="s">
        <v>74</v>
      </c>
      <c r="R176" t="s">
        <v>74</v>
      </c>
      <c r="S176" t="s">
        <v>74</v>
      </c>
      <c r="T176" t="s">
        <v>74</v>
      </c>
      <c r="U176" t="s">
        <v>74</v>
      </c>
      <c r="V176" t="s">
        <v>1687</v>
      </c>
      <c r="W176" t="s">
        <v>74</v>
      </c>
      <c r="X176" t="s">
        <v>74</v>
      </c>
      <c r="Y176" t="s">
        <v>74</v>
      </c>
      <c r="Z176" t="s">
        <v>74</v>
      </c>
      <c r="AA176" t="s">
        <v>1688</v>
      </c>
      <c r="AB176" t="s">
        <v>74</v>
      </c>
      <c r="AC176" t="s">
        <v>74</v>
      </c>
      <c r="AD176" t="s">
        <v>74</v>
      </c>
      <c r="AE176" t="s">
        <v>74</v>
      </c>
      <c r="AF176" t="s">
        <v>74</v>
      </c>
      <c r="AG176" t="s">
        <v>74</v>
      </c>
      <c r="AH176" t="s">
        <v>74</v>
      </c>
      <c r="AI176" t="s">
        <v>74</v>
      </c>
      <c r="AJ176" t="s">
        <v>74</v>
      </c>
      <c r="AK176" t="s">
        <v>74</v>
      </c>
      <c r="AL176" t="s">
        <v>74</v>
      </c>
      <c r="AM176" t="s">
        <v>74</v>
      </c>
      <c r="AN176" t="s">
        <v>74</v>
      </c>
      <c r="AO176" t="s">
        <v>1211</v>
      </c>
      <c r="AP176" t="s">
        <v>1212</v>
      </c>
      <c r="AQ176" t="s">
        <v>74</v>
      </c>
      <c r="AR176" t="s">
        <v>74</v>
      </c>
      <c r="AS176" t="s">
        <v>74</v>
      </c>
      <c r="AT176" t="s">
        <v>92</v>
      </c>
      <c r="AU176">
        <v>2024</v>
      </c>
      <c r="AV176">
        <v>30</v>
      </c>
      <c r="AW176">
        <v>11</v>
      </c>
      <c r="AX176" t="s">
        <v>74</v>
      </c>
      <c r="AY176" t="s">
        <v>74</v>
      </c>
      <c r="AZ176" t="s">
        <v>74</v>
      </c>
      <c r="BA176" t="s">
        <v>74</v>
      </c>
      <c r="BB176">
        <v>6905</v>
      </c>
      <c r="BC176">
        <v>6913</v>
      </c>
      <c r="BD176" t="s">
        <v>74</v>
      </c>
      <c r="BE176" t="s">
        <v>1689</v>
      </c>
      <c r="BF176" t="str">
        <f>HYPERLINK("http://dx.doi.org/10.1007/s11581-024-05792-y","http://dx.doi.org/10.1007/s11581-024-05792-y")</f>
        <v>http://dx.doi.org/10.1007/s11581-024-05792-y</v>
      </c>
      <c r="BG176" t="s">
        <v>74</v>
      </c>
      <c r="BH176" t="s">
        <v>1690</v>
      </c>
      <c r="BI176" t="s">
        <v>74</v>
      </c>
      <c r="BJ176" t="s">
        <v>74</v>
      </c>
      <c r="BK176" t="s">
        <v>74</v>
      </c>
      <c r="BL176" t="s">
        <v>74</v>
      </c>
      <c r="BM176" t="s">
        <v>74</v>
      </c>
      <c r="BN176" t="s">
        <v>74</v>
      </c>
      <c r="BO176" t="s">
        <v>74</v>
      </c>
      <c r="BP176" t="s">
        <v>74</v>
      </c>
      <c r="BQ176" t="s">
        <v>74</v>
      </c>
      <c r="BR176" t="s">
        <v>74</v>
      </c>
      <c r="BS176" t="s">
        <v>1691</v>
      </c>
      <c r="BT176" t="str">
        <f>HYPERLINK("https%3A%2F%2Fwww.webofscience.com%2Fwos%2Fwoscc%2Ffull-record%2FWOS:001298723800001","View Full Record in Web of Science")</f>
        <v>View Full Record in Web of Science</v>
      </c>
    </row>
    <row r="177" spans="1:72" x14ac:dyDescent="0.2">
      <c r="A177" t="s">
        <v>72</v>
      </c>
      <c r="B177" t="s">
        <v>1692</v>
      </c>
      <c r="C177" t="s">
        <v>74</v>
      </c>
      <c r="D177" t="s">
        <v>74</v>
      </c>
      <c r="E177" t="s">
        <v>74</v>
      </c>
      <c r="F177" t="s">
        <v>1693</v>
      </c>
      <c r="G177" t="s">
        <v>74</v>
      </c>
      <c r="H177" t="s">
        <v>74</v>
      </c>
      <c r="I177" t="s">
        <v>1694</v>
      </c>
      <c r="J177" t="s">
        <v>140</v>
      </c>
      <c r="K177" t="s">
        <v>74</v>
      </c>
      <c r="L177" t="s">
        <v>74</v>
      </c>
      <c r="M177" t="s">
        <v>74</v>
      </c>
      <c r="N177" t="s">
        <v>74</v>
      </c>
      <c r="O177" t="s">
        <v>74</v>
      </c>
      <c r="P177" t="s">
        <v>74</v>
      </c>
      <c r="Q177" t="s">
        <v>74</v>
      </c>
      <c r="R177" t="s">
        <v>74</v>
      </c>
      <c r="S177" t="s">
        <v>74</v>
      </c>
      <c r="T177" t="s">
        <v>74</v>
      </c>
      <c r="U177" t="s">
        <v>74</v>
      </c>
      <c r="V177" t="s">
        <v>1695</v>
      </c>
      <c r="W177" t="s">
        <v>74</v>
      </c>
      <c r="X177" t="s">
        <v>74</v>
      </c>
      <c r="Y177" t="s">
        <v>74</v>
      </c>
      <c r="Z177" t="s">
        <v>74</v>
      </c>
      <c r="AA177" t="s">
        <v>74</v>
      </c>
      <c r="AB177" t="s">
        <v>74</v>
      </c>
      <c r="AC177" t="s">
        <v>74</v>
      </c>
      <c r="AD177" t="s">
        <v>74</v>
      </c>
      <c r="AE177" t="s">
        <v>74</v>
      </c>
      <c r="AF177" t="s">
        <v>74</v>
      </c>
      <c r="AG177" t="s">
        <v>74</v>
      </c>
      <c r="AH177" t="s">
        <v>74</v>
      </c>
      <c r="AI177" t="s">
        <v>74</v>
      </c>
      <c r="AJ177" t="s">
        <v>74</v>
      </c>
      <c r="AK177" t="s">
        <v>74</v>
      </c>
      <c r="AL177" t="s">
        <v>74</v>
      </c>
      <c r="AM177" t="s">
        <v>74</v>
      </c>
      <c r="AN177" t="s">
        <v>74</v>
      </c>
      <c r="AO177" t="s">
        <v>142</v>
      </c>
      <c r="AP177" t="s">
        <v>143</v>
      </c>
      <c r="AQ177" t="s">
        <v>74</v>
      </c>
      <c r="AR177" t="s">
        <v>74</v>
      </c>
      <c r="AS177" t="s">
        <v>74</v>
      </c>
      <c r="AT177" t="s">
        <v>1696</v>
      </c>
      <c r="AU177">
        <v>2024</v>
      </c>
      <c r="AV177">
        <v>99</v>
      </c>
      <c r="AW177" t="s">
        <v>74</v>
      </c>
      <c r="AX177" t="s">
        <v>145</v>
      </c>
      <c r="AY177" t="s">
        <v>74</v>
      </c>
      <c r="AZ177" t="s">
        <v>74</v>
      </c>
      <c r="BA177" t="s">
        <v>74</v>
      </c>
      <c r="BB177" t="s">
        <v>74</v>
      </c>
      <c r="BC177" t="s">
        <v>74</v>
      </c>
      <c r="BD177">
        <v>113304</v>
      </c>
      <c r="BE177" t="s">
        <v>1697</v>
      </c>
      <c r="BF177" t="str">
        <f>HYPERLINK("http://dx.doi.org/10.1016/j.est.2024.113304","http://dx.doi.org/10.1016/j.est.2024.113304")</f>
        <v>http://dx.doi.org/10.1016/j.est.2024.113304</v>
      </c>
      <c r="BG177" t="s">
        <v>74</v>
      </c>
      <c r="BH177" t="s">
        <v>1690</v>
      </c>
      <c r="BI177" t="s">
        <v>74</v>
      </c>
      <c r="BJ177" t="s">
        <v>74</v>
      </c>
      <c r="BK177" t="s">
        <v>74</v>
      </c>
      <c r="BL177" t="s">
        <v>74</v>
      </c>
      <c r="BM177" t="s">
        <v>74</v>
      </c>
      <c r="BN177" t="s">
        <v>74</v>
      </c>
      <c r="BO177" t="s">
        <v>74</v>
      </c>
      <c r="BP177" t="s">
        <v>74</v>
      </c>
      <c r="BQ177" t="s">
        <v>74</v>
      </c>
      <c r="BR177" t="s">
        <v>74</v>
      </c>
      <c r="BS177" t="s">
        <v>1698</v>
      </c>
      <c r="BT177" t="str">
        <f>HYPERLINK("https%3A%2F%2Fwww.webofscience.com%2Fwos%2Fwoscc%2Ffull-record%2FWOS:001320979000001","View Full Record in Web of Science")</f>
        <v>View Full Record in Web of Science</v>
      </c>
    </row>
    <row r="178" spans="1:72" x14ac:dyDescent="0.2">
      <c r="A178" t="s">
        <v>72</v>
      </c>
      <c r="B178" t="s">
        <v>1699</v>
      </c>
      <c r="C178" t="s">
        <v>74</v>
      </c>
      <c r="D178" t="s">
        <v>74</v>
      </c>
      <c r="E178" t="s">
        <v>74</v>
      </c>
      <c r="F178" t="s">
        <v>1700</v>
      </c>
      <c r="G178" t="s">
        <v>74</v>
      </c>
      <c r="H178" t="s">
        <v>74</v>
      </c>
      <c r="I178" t="s">
        <v>1701</v>
      </c>
      <c r="J178" t="s">
        <v>689</v>
      </c>
      <c r="K178" t="s">
        <v>74</v>
      </c>
      <c r="L178" t="s">
        <v>74</v>
      </c>
      <c r="M178" t="s">
        <v>74</v>
      </c>
      <c r="N178" t="s">
        <v>74</v>
      </c>
      <c r="O178" t="s">
        <v>74</v>
      </c>
      <c r="P178" t="s">
        <v>74</v>
      </c>
      <c r="Q178" t="s">
        <v>74</v>
      </c>
      <c r="R178" t="s">
        <v>74</v>
      </c>
      <c r="S178" t="s">
        <v>74</v>
      </c>
      <c r="T178" t="s">
        <v>74</v>
      </c>
      <c r="U178" t="s">
        <v>74</v>
      </c>
      <c r="V178" t="s">
        <v>1702</v>
      </c>
      <c r="W178" t="s">
        <v>74</v>
      </c>
      <c r="X178" t="s">
        <v>74</v>
      </c>
      <c r="Y178" t="s">
        <v>74</v>
      </c>
      <c r="Z178" t="s">
        <v>74</v>
      </c>
      <c r="AA178" t="s">
        <v>1703</v>
      </c>
      <c r="AB178" t="s">
        <v>1704</v>
      </c>
      <c r="AC178" t="s">
        <v>74</v>
      </c>
      <c r="AD178" t="s">
        <v>74</v>
      </c>
      <c r="AE178" t="s">
        <v>74</v>
      </c>
      <c r="AF178" t="s">
        <v>74</v>
      </c>
      <c r="AG178" t="s">
        <v>74</v>
      </c>
      <c r="AH178" t="s">
        <v>74</v>
      </c>
      <c r="AI178" t="s">
        <v>74</v>
      </c>
      <c r="AJ178" t="s">
        <v>74</v>
      </c>
      <c r="AK178" t="s">
        <v>74</v>
      </c>
      <c r="AL178" t="s">
        <v>74</v>
      </c>
      <c r="AM178" t="s">
        <v>74</v>
      </c>
      <c r="AN178" t="s">
        <v>74</v>
      </c>
      <c r="AO178" t="s">
        <v>693</v>
      </c>
      <c r="AP178" t="s">
        <v>694</v>
      </c>
      <c r="AQ178" t="s">
        <v>74</v>
      </c>
      <c r="AR178" t="s">
        <v>74</v>
      </c>
      <c r="AS178" t="s">
        <v>74</v>
      </c>
      <c r="AT178" t="s">
        <v>1705</v>
      </c>
      <c r="AU178">
        <v>2024</v>
      </c>
      <c r="AV178">
        <v>18</v>
      </c>
      <c r="AW178">
        <v>35</v>
      </c>
      <c r="AX178" t="s">
        <v>74</v>
      </c>
      <c r="AY178" t="s">
        <v>74</v>
      </c>
      <c r="AZ178" t="s">
        <v>74</v>
      </c>
      <c r="BA178" t="s">
        <v>74</v>
      </c>
      <c r="BB178">
        <v>24128</v>
      </c>
      <c r="BC178">
        <v>24138</v>
      </c>
      <c r="BD178" t="s">
        <v>74</v>
      </c>
      <c r="BE178" t="s">
        <v>1706</v>
      </c>
      <c r="BF178" t="str">
        <f>HYPERLINK("http://dx.doi.org/10.1021/acsnano.4c05208","http://dx.doi.org/10.1021/acsnano.4c05208")</f>
        <v>http://dx.doi.org/10.1021/acsnano.4c05208</v>
      </c>
      <c r="BG178" t="s">
        <v>74</v>
      </c>
      <c r="BH178" t="s">
        <v>1690</v>
      </c>
      <c r="BI178" t="s">
        <v>74</v>
      </c>
      <c r="BJ178" t="s">
        <v>74</v>
      </c>
      <c r="BK178" t="s">
        <v>74</v>
      </c>
      <c r="BL178" t="s">
        <v>74</v>
      </c>
      <c r="BM178" t="s">
        <v>74</v>
      </c>
      <c r="BN178">
        <v>39163544</v>
      </c>
      <c r="BO178" t="s">
        <v>74</v>
      </c>
      <c r="BP178" t="s">
        <v>74</v>
      </c>
      <c r="BQ178" t="s">
        <v>74</v>
      </c>
      <c r="BR178" t="s">
        <v>74</v>
      </c>
      <c r="BS178" t="s">
        <v>1707</v>
      </c>
      <c r="BT178" t="str">
        <f>HYPERLINK("https%3A%2F%2Fwww.webofscience.com%2Fwos%2Fwoscc%2Ffull-record%2FWOS:001295126600001","View Full Record in Web of Science")</f>
        <v>View Full Record in Web of Science</v>
      </c>
    </row>
    <row r="179" spans="1:72" x14ac:dyDescent="0.2">
      <c r="A179" t="s">
        <v>72</v>
      </c>
      <c r="B179" t="s">
        <v>1708</v>
      </c>
      <c r="C179" t="s">
        <v>74</v>
      </c>
      <c r="D179" t="s">
        <v>74</v>
      </c>
      <c r="E179" t="s">
        <v>74</v>
      </c>
      <c r="F179" t="s">
        <v>1709</v>
      </c>
      <c r="G179" t="s">
        <v>74</v>
      </c>
      <c r="H179" t="s">
        <v>74</v>
      </c>
      <c r="I179" t="s">
        <v>1710</v>
      </c>
      <c r="J179" t="s">
        <v>689</v>
      </c>
      <c r="K179" t="s">
        <v>74</v>
      </c>
      <c r="L179" t="s">
        <v>74</v>
      </c>
      <c r="M179" t="s">
        <v>74</v>
      </c>
      <c r="N179" t="s">
        <v>74</v>
      </c>
      <c r="O179" t="s">
        <v>74</v>
      </c>
      <c r="P179" t="s">
        <v>74</v>
      </c>
      <c r="Q179" t="s">
        <v>74</v>
      </c>
      <c r="R179" t="s">
        <v>74</v>
      </c>
      <c r="S179" t="s">
        <v>74</v>
      </c>
      <c r="T179" t="s">
        <v>74</v>
      </c>
      <c r="U179" t="s">
        <v>74</v>
      </c>
      <c r="V179" t="s">
        <v>1711</v>
      </c>
      <c r="W179" t="s">
        <v>74</v>
      </c>
      <c r="X179" t="s">
        <v>74</v>
      </c>
      <c r="Y179" t="s">
        <v>74</v>
      </c>
      <c r="Z179" t="s">
        <v>74</v>
      </c>
      <c r="AA179" t="s">
        <v>1712</v>
      </c>
      <c r="AB179" t="s">
        <v>1713</v>
      </c>
      <c r="AC179" t="s">
        <v>74</v>
      </c>
      <c r="AD179" t="s">
        <v>74</v>
      </c>
      <c r="AE179" t="s">
        <v>74</v>
      </c>
      <c r="AF179" t="s">
        <v>74</v>
      </c>
      <c r="AG179" t="s">
        <v>74</v>
      </c>
      <c r="AH179" t="s">
        <v>74</v>
      </c>
      <c r="AI179" t="s">
        <v>74</v>
      </c>
      <c r="AJ179" t="s">
        <v>74</v>
      </c>
      <c r="AK179" t="s">
        <v>74</v>
      </c>
      <c r="AL179" t="s">
        <v>74</v>
      </c>
      <c r="AM179" t="s">
        <v>74</v>
      </c>
      <c r="AN179" t="s">
        <v>74</v>
      </c>
      <c r="AO179" t="s">
        <v>693</v>
      </c>
      <c r="AP179" t="s">
        <v>694</v>
      </c>
      <c r="AQ179" t="s">
        <v>74</v>
      </c>
      <c r="AR179" t="s">
        <v>74</v>
      </c>
      <c r="AS179" t="s">
        <v>74</v>
      </c>
      <c r="AT179" t="s">
        <v>1705</v>
      </c>
      <c r="AU179">
        <v>2024</v>
      </c>
      <c r="AV179">
        <v>18</v>
      </c>
      <c r="AW179">
        <v>35</v>
      </c>
      <c r="AX179" t="s">
        <v>74</v>
      </c>
      <c r="AY179" t="s">
        <v>74</v>
      </c>
      <c r="AZ179" t="s">
        <v>74</v>
      </c>
      <c r="BA179" t="s">
        <v>74</v>
      </c>
      <c r="BB179">
        <v>24541</v>
      </c>
      <c r="BC179">
        <v>24549</v>
      </c>
      <c r="BD179" t="s">
        <v>74</v>
      </c>
      <c r="BE179" t="s">
        <v>1714</v>
      </c>
      <c r="BF179" t="str">
        <f>HYPERLINK("http://dx.doi.org/10.1021/acsnano.4c08836","http://dx.doi.org/10.1021/acsnano.4c08836")</f>
        <v>http://dx.doi.org/10.1021/acsnano.4c08836</v>
      </c>
      <c r="BG179" t="s">
        <v>74</v>
      </c>
      <c r="BH179" t="s">
        <v>1690</v>
      </c>
      <c r="BI179" t="s">
        <v>74</v>
      </c>
      <c r="BJ179" t="s">
        <v>74</v>
      </c>
      <c r="BK179" t="s">
        <v>74</v>
      </c>
      <c r="BL179" t="s">
        <v>74</v>
      </c>
      <c r="BM179" t="s">
        <v>74</v>
      </c>
      <c r="BN179">
        <v>39163343</v>
      </c>
      <c r="BO179" t="s">
        <v>74</v>
      </c>
      <c r="BP179" t="s">
        <v>74</v>
      </c>
      <c r="BQ179" t="s">
        <v>74</v>
      </c>
      <c r="BR179" t="s">
        <v>74</v>
      </c>
      <c r="BS179" t="s">
        <v>1715</v>
      </c>
      <c r="BT179" t="str">
        <f>HYPERLINK("https%3A%2F%2Fwww.webofscience.com%2Fwos%2Fwoscc%2Ffull-record%2FWOS:001295117600001","View Full Record in Web of Science")</f>
        <v>View Full Record in Web of Science</v>
      </c>
    </row>
    <row r="180" spans="1:72" x14ac:dyDescent="0.2">
      <c r="A180" t="s">
        <v>72</v>
      </c>
      <c r="B180" t="s">
        <v>1716</v>
      </c>
      <c r="C180" t="s">
        <v>74</v>
      </c>
      <c r="D180" t="s">
        <v>74</v>
      </c>
      <c r="E180" t="s">
        <v>74</v>
      </c>
      <c r="F180" t="s">
        <v>1717</v>
      </c>
      <c r="G180" t="s">
        <v>74</v>
      </c>
      <c r="H180" t="s">
        <v>74</v>
      </c>
      <c r="I180" t="s">
        <v>1718</v>
      </c>
      <c r="J180" t="s">
        <v>1719</v>
      </c>
      <c r="K180" t="s">
        <v>74</v>
      </c>
      <c r="L180" t="s">
        <v>74</v>
      </c>
      <c r="M180" t="s">
        <v>74</v>
      </c>
      <c r="N180" t="s">
        <v>74</v>
      </c>
      <c r="O180" t="s">
        <v>74</v>
      </c>
      <c r="P180" t="s">
        <v>74</v>
      </c>
      <c r="Q180" t="s">
        <v>74</v>
      </c>
      <c r="R180" t="s">
        <v>74</v>
      </c>
      <c r="S180" t="s">
        <v>74</v>
      </c>
      <c r="T180" t="s">
        <v>74</v>
      </c>
      <c r="U180" t="s">
        <v>74</v>
      </c>
      <c r="V180" t="s">
        <v>1720</v>
      </c>
      <c r="W180" t="s">
        <v>74</v>
      </c>
      <c r="X180" t="s">
        <v>74</v>
      </c>
      <c r="Y180" t="s">
        <v>74</v>
      </c>
      <c r="Z180" t="s">
        <v>74</v>
      </c>
      <c r="AA180" t="s">
        <v>1721</v>
      </c>
      <c r="AB180" t="s">
        <v>74</v>
      </c>
      <c r="AC180" t="s">
        <v>74</v>
      </c>
      <c r="AD180" t="s">
        <v>74</v>
      </c>
      <c r="AE180" t="s">
        <v>74</v>
      </c>
      <c r="AF180" t="s">
        <v>74</v>
      </c>
      <c r="AG180" t="s">
        <v>74</v>
      </c>
      <c r="AH180" t="s">
        <v>74</v>
      </c>
      <c r="AI180" t="s">
        <v>74</v>
      </c>
      <c r="AJ180" t="s">
        <v>74</v>
      </c>
      <c r="AK180" t="s">
        <v>74</v>
      </c>
      <c r="AL180" t="s">
        <v>74</v>
      </c>
      <c r="AM180" t="s">
        <v>74</v>
      </c>
      <c r="AN180" t="s">
        <v>74</v>
      </c>
      <c r="AO180" t="s">
        <v>1722</v>
      </c>
      <c r="AP180" t="s">
        <v>74</v>
      </c>
      <c r="AQ180" t="s">
        <v>74</v>
      </c>
      <c r="AR180" t="s">
        <v>74</v>
      </c>
      <c r="AS180" t="s">
        <v>74</v>
      </c>
      <c r="AT180" t="s">
        <v>165</v>
      </c>
      <c r="AU180">
        <v>2024</v>
      </c>
      <c r="AV180">
        <v>82</v>
      </c>
      <c r="AW180">
        <v>8</v>
      </c>
      <c r="AX180" t="s">
        <v>74</v>
      </c>
      <c r="AY180" t="s">
        <v>74</v>
      </c>
      <c r="AZ180" t="s">
        <v>74</v>
      </c>
      <c r="BA180" t="s">
        <v>74</v>
      </c>
      <c r="BB180">
        <v>849</v>
      </c>
      <c r="BC180">
        <v>855</v>
      </c>
      <c r="BD180" t="s">
        <v>74</v>
      </c>
      <c r="BE180" t="s">
        <v>1723</v>
      </c>
      <c r="BF180" t="str">
        <f>HYPERLINK("http://dx.doi.org/10.6023/A24040141","http://dx.doi.org/10.6023/A24040141")</f>
        <v>http://dx.doi.org/10.6023/A24040141</v>
      </c>
      <c r="BG180" t="s">
        <v>74</v>
      </c>
      <c r="BH180" t="s">
        <v>74</v>
      </c>
      <c r="BI180" t="s">
        <v>74</v>
      </c>
      <c r="BJ180" t="s">
        <v>74</v>
      </c>
      <c r="BK180" t="s">
        <v>74</v>
      </c>
      <c r="BL180" t="s">
        <v>74</v>
      </c>
      <c r="BM180" t="s">
        <v>74</v>
      </c>
      <c r="BN180" t="s">
        <v>74</v>
      </c>
      <c r="BO180" t="s">
        <v>74</v>
      </c>
      <c r="BP180" t="s">
        <v>74</v>
      </c>
      <c r="BQ180" t="s">
        <v>74</v>
      </c>
      <c r="BR180" t="s">
        <v>74</v>
      </c>
      <c r="BS180" t="s">
        <v>1724</v>
      </c>
      <c r="BT180" t="str">
        <f>HYPERLINK("https%3A%2F%2Fwww.webofscience.com%2Fwos%2Fwoscc%2Ffull-record%2FWOS:001338843300003","View Full Record in Web of Science")</f>
        <v>View Full Record in Web of Science</v>
      </c>
    </row>
    <row r="181" spans="1:72" x14ac:dyDescent="0.2">
      <c r="A181" t="s">
        <v>72</v>
      </c>
      <c r="B181" t="s">
        <v>1725</v>
      </c>
      <c r="C181" t="s">
        <v>74</v>
      </c>
      <c r="D181" t="s">
        <v>74</v>
      </c>
      <c r="E181" t="s">
        <v>74</v>
      </c>
      <c r="F181" t="s">
        <v>1726</v>
      </c>
      <c r="G181" t="s">
        <v>74</v>
      </c>
      <c r="H181" t="s">
        <v>74</v>
      </c>
      <c r="I181" t="s">
        <v>1727</v>
      </c>
      <c r="J181" t="s">
        <v>1728</v>
      </c>
      <c r="K181" t="s">
        <v>74</v>
      </c>
      <c r="L181" t="s">
        <v>74</v>
      </c>
      <c r="M181" t="s">
        <v>74</v>
      </c>
      <c r="N181" t="s">
        <v>74</v>
      </c>
      <c r="O181" t="s">
        <v>74</v>
      </c>
      <c r="P181" t="s">
        <v>74</v>
      </c>
      <c r="Q181" t="s">
        <v>74</v>
      </c>
      <c r="R181" t="s">
        <v>74</v>
      </c>
      <c r="S181" t="s">
        <v>74</v>
      </c>
      <c r="T181" t="s">
        <v>74</v>
      </c>
      <c r="U181" t="s">
        <v>74</v>
      </c>
      <c r="V181" t="s">
        <v>1729</v>
      </c>
      <c r="W181" t="s">
        <v>74</v>
      </c>
      <c r="X181" t="s">
        <v>74</v>
      </c>
      <c r="Y181" t="s">
        <v>74</v>
      </c>
      <c r="Z181" t="s">
        <v>74</v>
      </c>
      <c r="AA181" t="s">
        <v>1730</v>
      </c>
      <c r="AB181" t="s">
        <v>74</v>
      </c>
      <c r="AC181" t="s">
        <v>74</v>
      </c>
      <c r="AD181" t="s">
        <v>74</v>
      </c>
      <c r="AE181" t="s">
        <v>74</v>
      </c>
      <c r="AF181" t="s">
        <v>74</v>
      </c>
      <c r="AG181" t="s">
        <v>74</v>
      </c>
      <c r="AH181" t="s">
        <v>74</v>
      </c>
      <c r="AI181" t="s">
        <v>74</v>
      </c>
      <c r="AJ181" t="s">
        <v>74</v>
      </c>
      <c r="AK181" t="s">
        <v>74</v>
      </c>
      <c r="AL181" t="s">
        <v>74</v>
      </c>
      <c r="AM181" t="s">
        <v>74</v>
      </c>
      <c r="AN181" t="s">
        <v>74</v>
      </c>
      <c r="AO181" t="s">
        <v>1731</v>
      </c>
      <c r="AP181" t="s">
        <v>1732</v>
      </c>
      <c r="AQ181" t="s">
        <v>74</v>
      </c>
      <c r="AR181" t="s">
        <v>74</v>
      </c>
      <c r="AS181" t="s">
        <v>74</v>
      </c>
      <c r="AT181" t="s">
        <v>92</v>
      </c>
      <c r="AU181">
        <v>2024</v>
      </c>
      <c r="AV181">
        <v>17</v>
      </c>
      <c r="AW181">
        <v>11</v>
      </c>
      <c r="AX181" t="s">
        <v>74</v>
      </c>
      <c r="AY181" t="s">
        <v>74</v>
      </c>
      <c r="AZ181" t="s">
        <v>74</v>
      </c>
      <c r="BA181" t="s">
        <v>74</v>
      </c>
      <c r="BB181">
        <v>9679</v>
      </c>
      <c r="BC181">
        <v>9687</v>
      </c>
      <c r="BD181" t="s">
        <v>74</v>
      </c>
      <c r="BE181" t="s">
        <v>1733</v>
      </c>
      <c r="BF181" t="str">
        <f>HYPERLINK("http://dx.doi.org/10.1007/s12274-024-6910-0","http://dx.doi.org/10.1007/s12274-024-6910-0")</f>
        <v>http://dx.doi.org/10.1007/s12274-024-6910-0</v>
      </c>
      <c r="BG181" t="s">
        <v>74</v>
      </c>
      <c r="BH181" t="s">
        <v>1690</v>
      </c>
      <c r="BI181" t="s">
        <v>74</v>
      </c>
      <c r="BJ181" t="s">
        <v>74</v>
      </c>
      <c r="BK181" t="s">
        <v>74</v>
      </c>
      <c r="BL181" t="s">
        <v>74</v>
      </c>
      <c r="BM181" t="s">
        <v>74</v>
      </c>
      <c r="BN181" t="s">
        <v>74</v>
      </c>
      <c r="BO181" t="s">
        <v>74</v>
      </c>
      <c r="BP181" t="s">
        <v>74</v>
      </c>
      <c r="BQ181" t="s">
        <v>74</v>
      </c>
      <c r="BR181" t="s">
        <v>74</v>
      </c>
      <c r="BS181" t="s">
        <v>1734</v>
      </c>
      <c r="BT181" t="str">
        <f>HYPERLINK("https%3A%2F%2Fwww.webofscience.com%2Fwos%2Fwoscc%2Ffull-record%2FWOS:001290059700001","View Full Record in Web of Science")</f>
        <v>View Full Record in Web of Science</v>
      </c>
    </row>
    <row r="182" spans="1:72" x14ac:dyDescent="0.2">
      <c r="A182" t="s">
        <v>72</v>
      </c>
      <c r="B182" t="s">
        <v>1735</v>
      </c>
      <c r="C182" t="s">
        <v>74</v>
      </c>
      <c r="D182" t="s">
        <v>74</v>
      </c>
      <c r="E182" t="s">
        <v>74</v>
      </c>
      <c r="F182" t="s">
        <v>1736</v>
      </c>
      <c r="G182" t="s">
        <v>74</v>
      </c>
      <c r="H182" t="s">
        <v>74</v>
      </c>
      <c r="I182" t="s">
        <v>1737</v>
      </c>
      <c r="J182" t="s">
        <v>1738</v>
      </c>
      <c r="K182" t="s">
        <v>74</v>
      </c>
      <c r="L182" t="s">
        <v>74</v>
      </c>
      <c r="M182" t="s">
        <v>74</v>
      </c>
      <c r="N182" t="s">
        <v>74</v>
      </c>
      <c r="O182" t="s">
        <v>74</v>
      </c>
      <c r="P182" t="s">
        <v>74</v>
      </c>
      <c r="Q182" t="s">
        <v>74</v>
      </c>
      <c r="R182" t="s">
        <v>74</v>
      </c>
      <c r="S182" t="s">
        <v>74</v>
      </c>
      <c r="T182" t="s">
        <v>74</v>
      </c>
      <c r="U182" t="s">
        <v>74</v>
      </c>
      <c r="V182" t="s">
        <v>1739</v>
      </c>
      <c r="W182" t="s">
        <v>74</v>
      </c>
      <c r="X182" t="s">
        <v>74</v>
      </c>
      <c r="Y182" t="s">
        <v>74</v>
      </c>
      <c r="Z182" t="s">
        <v>74</v>
      </c>
      <c r="AA182" t="s">
        <v>1740</v>
      </c>
      <c r="AB182" t="s">
        <v>74</v>
      </c>
      <c r="AC182" t="s">
        <v>74</v>
      </c>
      <c r="AD182" t="s">
        <v>74</v>
      </c>
      <c r="AE182" t="s">
        <v>74</v>
      </c>
      <c r="AF182" t="s">
        <v>74</v>
      </c>
      <c r="AG182" t="s">
        <v>74</v>
      </c>
      <c r="AH182" t="s">
        <v>74</v>
      </c>
      <c r="AI182" t="s">
        <v>74</v>
      </c>
      <c r="AJ182" t="s">
        <v>74</v>
      </c>
      <c r="AK182" t="s">
        <v>74</v>
      </c>
      <c r="AL182" t="s">
        <v>74</v>
      </c>
      <c r="AM182" t="s">
        <v>74</v>
      </c>
      <c r="AN182" t="s">
        <v>74</v>
      </c>
      <c r="AO182" t="s">
        <v>1741</v>
      </c>
      <c r="AP182" t="s">
        <v>1742</v>
      </c>
      <c r="AQ182" t="s">
        <v>74</v>
      </c>
      <c r="AR182" t="s">
        <v>74</v>
      </c>
      <c r="AS182" t="s">
        <v>74</v>
      </c>
      <c r="AT182" t="s">
        <v>1743</v>
      </c>
      <c r="AU182">
        <v>2024</v>
      </c>
      <c r="AV182">
        <v>11</v>
      </c>
      <c r="AW182">
        <v>8</v>
      </c>
      <c r="AX182" t="s">
        <v>74</v>
      </c>
      <c r="AY182" t="s">
        <v>74</v>
      </c>
      <c r="AZ182" t="s">
        <v>74</v>
      </c>
      <c r="BA182" t="s">
        <v>74</v>
      </c>
      <c r="BB182" t="s">
        <v>74</v>
      </c>
      <c r="BC182" t="s">
        <v>74</v>
      </c>
      <c r="BD182" t="s">
        <v>1744</v>
      </c>
      <c r="BE182" t="s">
        <v>1745</v>
      </c>
      <c r="BF182" t="str">
        <f>HYPERLINK("http://dx.doi.org/10.1093/nsr/nwae219","http://dx.doi.org/10.1093/nsr/nwae219")</f>
        <v>http://dx.doi.org/10.1093/nsr/nwae219</v>
      </c>
      <c r="BG182" t="s">
        <v>74</v>
      </c>
      <c r="BH182" t="s">
        <v>1690</v>
      </c>
      <c r="BI182" t="s">
        <v>74</v>
      </c>
      <c r="BJ182" t="s">
        <v>74</v>
      </c>
      <c r="BK182" t="s">
        <v>74</v>
      </c>
      <c r="BL182" t="s">
        <v>74</v>
      </c>
      <c r="BM182" t="s">
        <v>74</v>
      </c>
      <c r="BN182">
        <v>39131924</v>
      </c>
      <c r="BO182" t="s">
        <v>74</v>
      </c>
      <c r="BP182" t="s">
        <v>74</v>
      </c>
      <c r="BQ182" t="s">
        <v>74</v>
      </c>
      <c r="BR182" t="s">
        <v>74</v>
      </c>
      <c r="BS182" t="s">
        <v>1746</v>
      </c>
      <c r="BT182" t="str">
        <f>HYPERLINK("https%3A%2F%2Fwww.webofscience.com%2Fwos%2Fwoscc%2Ffull-record%2FWOS:001288904200003","View Full Record in Web of Science")</f>
        <v>View Full Record in Web of Science</v>
      </c>
    </row>
    <row r="183" spans="1:72" x14ac:dyDescent="0.2">
      <c r="A183" t="s">
        <v>72</v>
      </c>
      <c r="B183" t="s">
        <v>1747</v>
      </c>
      <c r="C183" t="s">
        <v>74</v>
      </c>
      <c r="D183" t="s">
        <v>74</v>
      </c>
      <c r="E183" t="s">
        <v>74</v>
      </c>
      <c r="F183" t="s">
        <v>1748</v>
      </c>
      <c r="G183" t="s">
        <v>74</v>
      </c>
      <c r="H183" t="s">
        <v>74</v>
      </c>
      <c r="I183" t="s">
        <v>1749</v>
      </c>
      <c r="J183" t="s">
        <v>1273</v>
      </c>
      <c r="K183" t="s">
        <v>74</v>
      </c>
      <c r="L183" t="s">
        <v>74</v>
      </c>
      <c r="M183" t="s">
        <v>74</v>
      </c>
      <c r="N183" t="s">
        <v>74</v>
      </c>
      <c r="O183" t="s">
        <v>74</v>
      </c>
      <c r="P183" t="s">
        <v>74</v>
      </c>
      <c r="Q183" t="s">
        <v>74</v>
      </c>
      <c r="R183" t="s">
        <v>74</v>
      </c>
      <c r="S183" t="s">
        <v>74</v>
      </c>
      <c r="T183" t="s">
        <v>74</v>
      </c>
      <c r="U183" t="s">
        <v>74</v>
      </c>
      <c r="V183" t="s">
        <v>1750</v>
      </c>
      <c r="W183" t="s">
        <v>74</v>
      </c>
      <c r="X183" t="s">
        <v>74</v>
      </c>
      <c r="Y183" t="s">
        <v>74</v>
      </c>
      <c r="Z183" t="s">
        <v>74</v>
      </c>
      <c r="AA183" t="s">
        <v>1751</v>
      </c>
      <c r="AB183" t="s">
        <v>1752</v>
      </c>
      <c r="AC183" t="s">
        <v>74</v>
      </c>
      <c r="AD183" t="s">
        <v>74</v>
      </c>
      <c r="AE183" t="s">
        <v>74</v>
      </c>
      <c r="AF183" t="s">
        <v>74</v>
      </c>
      <c r="AG183" t="s">
        <v>74</v>
      </c>
      <c r="AH183" t="s">
        <v>74</v>
      </c>
      <c r="AI183" t="s">
        <v>74</v>
      </c>
      <c r="AJ183" t="s">
        <v>74</v>
      </c>
      <c r="AK183" t="s">
        <v>74</v>
      </c>
      <c r="AL183" t="s">
        <v>74</v>
      </c>
      <c r="AM183" t="s">
        <v>74</v>
      </c>
      <c r="AN183" t="s">
        <v>74</v>
      </c>
      <c r="AO183" t="s">
        <v>1277</v>
      </c>
      <c r="AP183" t="s">
        <v>1278</v>
      </c>
      <c r="AQ183" t="s">
        <v>74</v>
      </c>
      <c r="AR183" t="s">
        <v>74</v>
      </c>
      <c r="AS183" t="s">
        <v>74</v>
      </c>
      <c r="AT183" t="s">
        <v>225</v>
      </c>
      <c r="AU183">
        <v>2024</v>
      </c>
      <c r="AV183">
        <v>36</v>
      </c>
      <c r="AW183">
        <v>16</v>
      </c>
      <c r="AX183" t="s">
        <v>74</v>
      </c>
      <c r="AY183" t="s">
        <v>74</v>
      </c>
      <c r="AZ183" t="s">
        <v>74</v>
      </c>
      <c r="BA183" t="s">
        <v>74</v>
      </c>
      <c r="BB183">
        <v>7843</v>
      </c>
      <c r="BC183">
        <v>7856</v>
      </c>
      <c r="BD183" t="s">
        <v>74</v>
      </c>
      <c r="BE183" t="s">
        <v>1753</v>
      </c>
      <c r="BF183" t="str">
        <f>HYPERLINK("http://dx.doi.org/10.1021/acs.chemmater.4c01192","http://dx.doi.org/10.1021/acs.chemmater.4c01192")</f>
        <v>http://dx.doi.org/10.1021/acs.chemmater.4c01192</v>
      </c>
      <c r="BG183" t="s">
        <v>74</v>
      </c>
      <c r="BH183" t="s">
        <v>1690</v>
      </c>
      <c r="BI183" t="s">
        <v>74</v>
      </c>
      <c r="BJ183" t="s">
        <v>74</v>
      </c>
      <c r="BK183" t="s">
        <v>74</v>
      </c>
      <c r="BL183" t="s">
        <v>74</v>
      </c>
      <c r="BM183" t="s">
        <v>74</v>
      </c>
      <c r="BN183" t="s">
        <v>74</v>
      </c>
      <c r="BO183" t="s">
        <v>74</v>
      </c>
      <c r="BP183" t="s">
        <v>74</v>
      </c>
      <c r="BQ183" t="s">
        <v>74</v>
      </c>
      <c r="BR183" t="s">
        <v>74</v>
      </c>
      <c r="BS183" t="s">
        <v>1754</v>
      </c>
      <c r="BT183" t="str">
        <f>HYPERLINK("https%3A%2F%2Fwww.webofscience.com%2Fwos%2Fwoscc%2Ffull-record%2FWOS:001286270200001","View Full Record in Web of Science")</f>
        <v>View Full Record in Web of Science</v>
      </c>
    </row>
    <row r="184" spans="1:72" x14ac:dyDescent="0.2">
      <c r="A184" t="s">
        <v>72</v>
      </c>
      <c r="B184" t="s">
        <v>1755</v>
      </c>
      <c r="C184" t="s">
        <v>74</v>
      </c>
      <c r="D184" t="s">
        <v>74</v>
      </c>
      <c r="E184" t="s">
        <v>74</v>
      </c>
      <c r="F184" t="s">
        <v>1756</v>
      </c>
      <c r="G184" t="s">
        <v>74</v>
      </c>
      <c r="H184" t="s">
        <v>74</v>
      </c>
      <c r="I184" t="s">
        <v>1757</v>
      </c>
      <c r="J184" t="s">
        <v>1758</v>
      </c>
      <c r="K184" t="s">
        <v>74</v>
      </c>
      <c r="L184" t="s">
        <v>74</v>
      </c>
      <c r="M184" t="s">
        <v>74</v>
      </c>
      <c r="N184" t="s">
        <v>74</v>
      </c>
      <c r="O184" t="s">
        <v>74</v>
      </c>
      <c r="P184" t="s">
        <v>74</v>
      </c>
      <c r="Q184" t="s">
        <v>74</v>
      </c>
      <c r="R184" t="s">
        <v>74</v>
      </c>
      <c r="S184" t="s">
        <v>74</v>
      </c>
      <c r="T184" t="s">
        <v>74</v>
      </c>
      <c r="U184" t="s">
        <v>74</v>
      </c>
      <c r="V184" t="s">
        <v>1759</v>
      </c>
      <c r="W184" t="s">
        <v>74</v>
      </c>
      <c r="X184" t="s">
        <v>74</v>
      </c>
      <c r="Y184" t="s">
        <v>74</v>
      </c>
      <c r="Z184" t="s">
        <v>74</v>
      </c>
      <c r="AA184" t="s">
        <v>1760</v>
      </c>
      <c r="AB184" t="s">
        <v>1761</v>
      </c>
      <c r="AC184" t="s">
        <v>74</v>
      </c>
      <c r="AD184" t="s">
        <v>74</v>
      </c>
      <c r="AE184" t="s">
        <v>74</v>
      </c>
      <c r="AF184" t="s">
        <v>74</v>
      </c>
      <c r="AG184" t="s">
        <v>74</v>
      </c>
      <c r="AH184" t="s">
        <v>74</v>
      </c>
      <c r="AI184" t="s">
        <v>74</v>
      </c>
      <c r="AJ184" t="s">
        <v>74</v>
      </c>
      <c r="AK184" t="s">
        <v>74</v>
      </c>
      <c r="AL184" t="s">
        <v>74</v>
      </c>
      <c r="AM184" t="s">
        <v>74</v>
      </c>
      <c r="AN184" t="s">
        <v>74</v>
      </c>
      <c r="AO184" t="s">
        <v>1762</v>
      </c>
      <c r="AP184" t="s">
        <v>1763</v>
      </c>
      <c r="AQ184" t="s">
        <v>74</v>
      </c>
      <c r="AR184" t="s">
        <v>74</v>
      </c>
      <c r="AS184" t="s">
        <v>74</v>
      </c>
      <c r="AT184" t="s">
        <v>1764</v>
      </c>
      <c r="AU184">
        <v>2024</v>
      </c>
      <c r="AV184">
        <v>12</v>
      </c>
      <c r="AW184">
        <v>37</v>
      </c>
      <c r="AX184" t="s">
        <v>74</v>
      </c>
      <c r="AY184" t="s">
        <v>74</v>
      </c>
      <c r="AZ184" t="s">
        <v>74</v>
      </c>
      <c r="BA184" t="s">
        <v>74</v>
      </c>
      <c r="BB184">
        <v>14729</v>
      </c>
      <c r="BC184">
        <v>14753</v>
      </c>
      <c r="BD184" t="s">
        <v>74</v>
      </c>
      <c r="BE184" t="s">
        <v>1765</v>
      </c>
      <c r="BF184" t="str">
        <f>HYPERLINK("http://dx.doi.org/10.1039/d4tc01736f","http://dx.doi.org/10.1039/d4tc01736f")</f>
        <v>http://dx.doi.org/10.1039/d4tc01736f</v>
      </c>
      <c r="BG184" t="s">
        <v>74</v>
      </c>
      <c r="BH184" t="s">
        <v>1690</v>
      </c>
      <c r="BI184" t="s">
        <v>74</v>
      </c>
      <c r="BJ184" t="s">
        <v>74</v>
      </c>
      <c r="BK184" t="s">
        <v>74</v>
      </c>
      <c r="BL184" t="s">
        <v>74</v>
      </c>
      <c r="BM184" t="s">
        <v>74</v>
      </c>
      <c r="BN184" t="s">
        <v>74</v>
      </c>
      <c r="BO184" t="s">
        <v>74</v>
      </c>
      <c r="BP184" t="s">
        <v>74</v>
      </c>
      <c r="BQ184" t="s">
        <v>74</v>
      </c>
      <c r="BR184" t="s">
        <v>74</v>
      </c>
      <c r="BS184" t="s">
        <v>1766</v>
      </c>
      <c r="BT184" t="str">
        <f>HYPERLINK("https%3A%2F%2Fwww.webofscience.com%2Fwos%2Fwoscc%2Ffull-record%2FWOS:001310243200001","View Full Record in Web of Science")</f>
        <v>View Full Record in Web of Science</v>
      </c>
    </row>
    <row r="185" spans="1:72" x14ac:dyDescent="0.2">
      <c r="A185" t="s">
        <v>72</v>
      </c>
      <c r="B185" t="s">
        <v>1767</v>
      </c>
      <c r="C185" t="s">
        <v>74</v>
      </c>
      <c r="D185" t="s">
        <v>74</v>
      </c>
      <c r="E185" t="s">
        <v>74</v>
      </c>
      <c r="F185" t="s">
        <v>1768</v>
      </c>
      <c r="G185" t="s">
        <v>74</v>
      </c>
      <c r="H185" t="s">
        <v>74</v>
      </c>
      <c r="I185" t="s">
        <v>1769</v>
      </c>
      <c r="J185" t="s">
        <v>845</v>
      </c>
      <c r="K185" t="s">
        <v>74</v>
      </c>
      <c r="L185" t="s">
        <v>74</v>
      </c>
      <c r="M185" t="s">
        <v>74</v>
      </c>
      <c r="N185" t="s">
        <v>74</v>
      </c>
      <c r="O185" t="s">
        <v>74</v>
      </c>
      <c r="P185" t="s">
        <v>74</v>
      </c>
      <c r="Q185" t="s">
        <v>74</v>
      </c>
      <c r="R185" t="s">
        <v>74</v>
      </c>
      <c r="S185" t="s">
        <v>74</v>
      </c>
      <c r="T185" t="s">
        <v>74</v>
      </c>
      <c r="U185" t="s">
        <v>74</v>
      </c>
      <c r="V185" t="s">
        <v>1770</v>
      </c>
      <c r="W185" t="s">
        <v>74</v>
      </c>
      <c r="X185" t="s">
        <v>74</v>
      </c>
      <c r="Y185" t="s">
        <v>74</v>
      </c>
      <c r="Z185" t="s">
        <v>74</v>
      </c>
      <c r="AA185" t="s">
        <v>1771</v>
      </c>
      <c r="AB185" t="s">
        <v>1772</v>
      </c>
      <c r="AC185" t="s">
        <v>74</v>
      </c>
      <c r="AD185" t="s">
        <v>74</v>
      </c>
      <c r="AE185" t="s">
        <v>74</v>
      </c>
      <c r="AF185" t="s">
        <v>74</v>
      </c>
      <c r="AG185" t="s">
        <v>74</v>
      </c>
      <c r="AH185" t="s">
        <v>74</v>
      </c>
      <c r="AI185" t="s">
        <v>74</v>
      </c>
      <c r="AJ185" t="s">
        <v>74</v>
      </c>
      <c r="AK185" t="s">
        <v>74</v>
      </c>
      <c r="AL185" t="s">
        <v>74</v>
      </c>
      <c r="AM185" t="s">
        <v>74</v>
      </c>
      <c r="AN185" t="s">
        <v>74</v>
      </c>
      <c r="AO185" t="s">
        <v>847</v>
      </c>
      <c r="AP185" t="s">
        <v>848</v>
      </c>
      <c r="AQ185" t="s">
        <v>74</v>
      </c>
      <c r="AR185" t="s">
        <v>74</v>
      </c>
      <c r="AS185" t="s">
        <v>74</v>
      </c>
      <c r="AT185" t="s">
        <v>1773</v>
      </c>
      <c r="AU185">
        <v>2024</v>
      </c>
      <c r="AV185">
        <v>141</v>
      </c>
      <c r="AW185">
        <v>40</v>
      </c>
      <c r="AX185" t="s">
        <v>74</v>
      </c>
      <c r="AY185" t="s">
        <v>74</v>
      </c>
      <c r="AZ185" t="s">
        <v>74</v>
      </c>
      <c r="BA185" t="s">
        <v>74</v>
      </c>
      <c r="BB185" t="s">
        <v>74</v>
      </c>
      <c r="BC185" t="s">
        <v>74</v>
      </c>
      <c r="BD185" t="s">
        <v>74</v>
      </c>
      <c r="BE185" t="s">
        <v>1774</v>
      </c>
      <c r="BF185" t="str">
        <f>HYPERLINK("http://dx.doi.org/10.1002/app.56049","http://dx.doi.org/10.1002/app.56049")</f>
        <v>http://dx.doi.org/10.1002/app.56049</v>
      </c>
      <c r="BG185" t="s">
        <v>74</v>
      </c>
      <c r="BH185" t="s">
        <v>1690</v>
      </c>
      <c r="BI185" t="s">
        <v>74</v>
      </c>
      <c r="BJ185" t="s">
        <v>74</v>
      </c>
      <c r="BK185" t="s">
        <v>74</v>
      </c>
      <c r="BL185" t="s">
        <v>74</v>
      </c>
      <c r="BM185" t="s">
        <v>74</v>
      </c>
      <c r="BN185" t="s">
        <v>74</v>
      </c>
      <c r="BO185" t="s">
        <v>74</v>
      </c>
      <c r="BP185" t="s">
        <v>74</v>
      </c>
      <c r="BQ185" t="s">
        <v>74</v>
      </c>
      <c r="BR185" t="s">
        <v>74</v>
      </c>
      <c r="BS185" t="s">
        <v>1775</v>
      </c>
      <c r="BT185" t="str">
        <f>HYPERLINK("https%3A%2F%2Fwww.webofscience.com%2Fwos%2Fwoscc%2Ffull-record%2FWOS:001285649000001","View Full Record in Web of Science")</f>
        <v>View Full Record in Web of Science</v>
      </c>
    </row>
    <row r="186" spans="1:72" x14ac:dyDescent="0.2">
      <c r="A186" t="s">
        <v>72</v>
      </c>
      <c r="B186" t="s">
        <v>1776</v>
      </c>
      <c r="C186" t="s">
        <v>74</v>
      </c>
      <c r="D186" t="s">
        <v>74</v>
      </c>
      <c r="E186" t="s">
        <v>74</v>
      </c>
      <c r="F186" t="s">
        <v>1777</v>
      </c>
      <c r="G186" t="s">
        <v>74</v>
      </c>
      <c r="H186" t="s">
        <v>74</v>
      </c>
      <c r="I186" t="s">
        <v>1778</v>
      </c>
      <c r="J186" t="s">
        <v>140</v>
      </c>
      <c r="K186" t="s">
        <v>74</v>
      </c>
      <c r="L186" t="s">
        <v>74</v>
      </c>
      <c r="M186" t="s">
        <v>74</v>
      </c>
      <c r="N186" t="s">
        <v>74</v>
      </c>
      <c r="O186" t="s">
        <v>74</v>
      </c>
      <c r="P186" t="s">
        <v>74</v>
      </c>
      <c r="Q186" t="s">
        <v>74</v>
      </c>
      <c r="R186" t="s">
        <v>74</v>
      </c>
      <c r="S186" t="s">
        <v>74</v>
      </c>
      <c r="T186" t="s">
        <v>74</v>
      </c>
      <c r="U186" t="s">
        <v>74</v>
      </c>
      <c r="V186" t="s">
        <v>1779</v>
      </c>
      <c r="W186" t="s">
        <v>74</v>
      </c>
      <c r="X186" t="s">
        <v>74</v>
      </c>
      <c r="Y186" t="s">
        <v>74</v>
      </c>
      <c r="Z186" t="s">
        <v>74</v>
      </c>
      <c r="AA186" t="s">
        <v>1780</v>
      </c>
      <c r="AB186" t="s">
        <v>74</v>
      </c>
      <c r="AC186" t="s">
        <v>74</v>
      </c>
      <c r="AD186" t="s">
        <v>74</v>
      </c>
      <c r="AE186" t="s">
        <v>74</v>
      </c>
      <c r="AF186" t="s">
        <v>74</v>
      </c>
      <c r="AG186" t="s">
        <v>74</v>
      </c>
      <c r="AH186" t="s">
        <v>74</v>
      </c>
      <c r="AI186" t="s">
        <v>74</v>
      </c>
      <c r="AJ186" t="s">
        <v>74</v>
      </c>
      <c r="AK186" t="s">
        <v>74</v>
      </c>
      <c r="AL186" t="s">
        <v>74</v>
      </c>
      <c r="AM186" t="s">
        <v>74</v>
      </c>
      <c r="AN186" t="s">
        <v>74</v>
      </c>
      <c r="AO186" t="s">
        <v>142</v>
      </c>
      <c r="AP186" t="s">
        <v>143</v>
      </c>
      <c r="AQ186" t="s">
        <v>74</v>
      </c>
      <c r="AR186" t="s">
        <v>74</v>
      </c>
      <c r="AS186" t="s">
        <v>74</v>
      </c>
      <c r="AT186" t="s">
        <v>1781</v>
      </c>
      <c r="AU186">
        <v>2024</v>
      </c>
      <c r="AV186">
        <v>98</v>
      </c>
      <c r="AW186" t="s">
        <v>74</v>
      </c>
      <c r="AX186" t="s">
        <v>145</v>
      </c>
      <c r="AY186" t="s">
        <v>74</v>
      </c>
      <c r="AZ186" t="s">
        <v>74</v>
      </c>
      <c r="BA186" t="s">
        <v>74</v>
      </c>
      <c r="BB186" t="s">
        <v>74</v>
      </c>
      <c r="BC186" t="s">
        <v>74</v>
      </c>
      <c r="BD186">
        <v>113020</v>
      </c>
      <c r="BE186" t="s">
        <v>1782</v>
      </c>
      <c r="BF186" t="str">
        <f>HYPERLINK("http://dx.doi.org/10.1016/j.est.2024.113020","http://dx.doi.org/10.1016/j.est.2024.113020")</f>
        <v>http://dx.doi.org/10.1016/j.est.2024.113020</v>
      </c>
      <c r="BG186" t="s">
        <v>74</v>
      </c>
      <c r="BH186" t="s">
        <v>1690</v>
      </c>
      <c r="BI186" t="s">
        <v>74</v>
      </c>
      <c r="BJ186" t="s">
        <v>74</v>
      </c>
      <c r="BK186" t="s">
        <v>74</v>
      </c>
      <c r="BL186" t="s">
        <v>74</v>
      </c>
      <c r="BM186" t="s">
        <v>74</v>
      </c>
      <c r="BN186" t="s">
        <v>74</v>
      </c>
      <c r="BO186" t="s">
        <v>74</v>
      </c>
      <c r="BP186" t="s">
        <v>74</v>
      </c>
      <c r="BQ186" t="s">
        <v>74</v>
      </c>
      <c r="BR186" t="s">
        <v>74</v>
      </c>
      <c r="BS186" t="s">
        <v>1783</v>
      </c>
      <c r="BT186" t="str">
        <f>HYPERLINK("https%3A%2F%2Fwww.webofscience.com%2Fwos%2Fwoscc%2Ffull-record%2FWOS:001288063100001","View Full Record in Web of Science")</f>
        <v>View Full Record in Web of Science</v>
      </c>
    </row>
    <row r="187" spans="1:72" x14ac:dyDescent="0.2">
      <c r="A187" t="s">
        <v>72</v>
      </c>
      <c r="B187" t="s">
        <v>1784</v>
      </c>
      <c r="C187" t="s">
        <v>74</v>
      </c>
      <c r="D187" t="s">
        <v>74</v>
      </c>
      <c r="E187" t="s">
        <v>74</v>
      </c>
      <c r="F187" t="s">
        <v>1785</v>
      </c>
      <c r="G187" t="s">
        <v>74</v>
      </c>
      <c r="H187" t="s">
        <v>74</v>
      </c>
      <c r="I187" t="s">
        <v>1786</v>
      </c>
      <c r="J187" t="s">
        <v>1787</v>
      </c>
      <c r="K187" t="s">
        <v>74</v>
      </c>
      <c r="L187" t="s">
        <v>74</v>
      </c>
      <c r="M187" t="s">
        <v>74</v>
      </c>
      <c r="N187" t="s">
        <v>74</v>
      </c>
      <c r="O187" t="s">
        <v>74</v>
      </c>
      <c r="P187" t="s">
        <v>74</v>
      </c>
      <c r="Q187" t="s">
        <v>74</v>
      </c>
      <c r="R187" t="s">
        <v>74</v>
      </c>
      <c r="S187" t="s">
        <v>74</v>
      </c>
      <c r="T187" t="s">
        <v>74</v>
      </c>
      <c r="U187" t="s">
        <v>74</v>
      </c>
      <c r="V187" t="s">
        <v>1788</v>
      </c>
      <c r="W187" t="s">
        <v>74</v>
      </c>
      <c r="X187" t="s">
        <v>74</v>
      </c>
      <c r="Y187" t="s">
        <v>74</v>
      </c>
      <c r="Z187" t="s">
        <v>74</v>
      </c>
      <c r="AA187" t="s">
        <v>1789</v>
      </c>
      <c r="AB187" t="s">
        <v>1790</v>
      </c>
      <c r="AC187" t="s">
        <v>74</v>
      </c>
      <c r="AD187" t="s">
        <v>74</v>
      </c>
      <c r="AE187" t="s">
        <v>74</v>
      </c>
      <c r="AF187" t="s">
        <v>74</v>
      </c>
      <c r="AG187" t="s">
        <v>74</v>
      </c>
      <c r="AH187" t="s">
        <v>74</v>
      </c>
      <c r="AI187" t="s">
        <v>74</v>
      </c>
      <c r="AJ187" t="s">
        <v>74</v>
      </c>
      <c r="AK187" t="s">
        <v>74</v>
      </c>
      <c r="AL187" t="s">
        <v>74</v>
      </c>
      <c r="AM187" t="s">
        <v>74</v>
      </c>
      <c r="AN187" t="s">
        <v>74</v>
      </c>
      <c r="AO187" t="s">
        <v>74</v>
      </c>
      <c r="AP187" t="s">
        <v>1791</v>
      </c>
      <c r="AQ187" t="s">
        <v>74</v>
      </c>
      <c r="AR187" t="s">
        <v>74</v>
      </c>
      <c r="AS187" t="s">
        <v>74</v>
      </c>
      <c r="AT187" t="s">
        <v>629</v>
      </c>
      <c r="AU187">
        <v>2024</v>
      </c>
      <c r="AV187">
        <v>17</v>
      </c>
      <c r="AW187">
        <v>15</v>
      </c>
      <c r="AX187" t="s">
        <v>74</v>
      </c>
      <c r="AY187" t="s">
        <v>74</v>
      </c>
      <c r="AZ187" t="s">
        <v>74</v>
      </c>
      <c r="BA187" t="s">
        <v>74</v>
      </c>
      <c r="BB187" t="s">
        <v>74</v>
      </c>
      <c r="BC187" t="s">
        <v>74</v>
      </c>
      <c r="BD187">
        <v>3846</v>
      </c>
      <c r="BE187" t="s">
        <v>1792</v>
      </c>
      <c r="BF187" t="str">
        <f>HYPERLINK("http://dx.doi.org/10.3390/ma17153846","http://dx.doi.org/10.3390/ma17153846")</f>
        <v>http://dx.doi.org/10.3390/ma17153846</v>
      </c>
      <c r="BG187" t="s">
        <v>74</v>
      </c>
      <c r="BH187" t="s">
        <v>74</v>
      </c>
      <c r="BI187" t="s">
        <v>74</v>
      </c>
      <c r="BJ187" t="s">
        <v>74</v>
      </c>
      <c r="BK187" t="s">
        <v>74</v>
      </c>
      <c r="BL187" t="s">
        <v>74</v>
      </c>
      <c r="BM187" t="s">
        <v>74</v>
      </c>
      <c r="BN187">
        <v>39124510</v>
      </c>
      <c r="BO187" t="s">
        <v>74</v>
      </c>
      <c r="BP187" t="s">
        <v>74</v>
      </c>
      <c r="BQ187" t="s">
        <v>74</v>
      </c>
      <c r="BR187" t="s">
        <v>74</v>
      </c>
      <c r="BS187" t="s">
        <v>1793</v>
      </c>
      <c r="BT187" t="str">
        <f>HYPERLINK("https%3A%2F%2Fwww.webofscience.com%2Fwos%2Fwoscc%2Ffull-record%2FWOS:001287160500001","View Full Record in Web of Science")</f>
        <v>View Full Record in Web of Science</v>
      </c>
    </row>
    <row r="188" spans="1:72" x14ac:dyDescent="0.2">
      <c r="A188" t="s">
        <v>72</v>
      </c>
      <c r="B188" t="s">
        <v>1794</v>
      </c>
      <c r="C188" t="s">
        <v>74</v>
      </c>
      <c r="D188" t="s">
        <v>74</v>
      </c>
      <c r="E188" t="s">
        <v>74</v>
      </c>
      <c r="F188" t="s">
        <v>1795</v>
      </c>
      <c r="G188" t="s">
        <v>74</v>
      </c>
      <c r="H188" t="s">
        <v>74</v>
      </c>
      <c r="I188" t="s">
        <v>1796</v>
      </c>
      <c r="J188" t="s">
        <v>1797</v>
      </c>
      <c r="K188" t="s">
        <v>74</v>
      </c>
      <c r="L188" t="s">
        <v>74</v>
      </c>
      <c r="M188" t="s">
        <v>74</v>
      </c>
      <c r="N188" t="s">
        <v>74</v>
      </c>
      <c r="O188" t="s">
        <v>74</v>
      </c>
      <c r="P188" t="s">
        <v>74</v>
      </c>
      <c r="Q188" t="s">
        <v>74</v>
      </c>
      <c r="R188" t="s">
        <v>74</v>
      </c>
      <c r="S188" t="s">
        <v>74</v>
      </c>
      <c r="T188" t="s">
        <v>74</v>
      </c>
      <c r="U188" t="s">
        <v>74</v>
      </c>
      <c r="V188" t="s">
        <v>1798</v>
      </c>
      <c r="W188" t="s">
        <v>74</v>
      </c>
      <c r="X188" t="s">
        <v>74</v>
      </c>
      <c r="Y188" t="s">
        <v>74</v>
      </c>
      <c r="Z188" t="s">
        <v>74</v>
      </c>
      <c r="AA188" t="s">
        <v>1799</v>
      </c>
      <c r="AB188" t="s">
        <v>1800</v>
      </c>
      <c r="AC188" t="s">
        <v>74</v>
      </c>
      <c r="AD188" t="s">
        <v>74</v>
      </c>
      <c r="AE188" t="s">
        <v>74</v>
      </c>
      <c r="AF188" t="s">
        <v>74</v>
      </c>
      <c r="AG188" t="s">
        <v>74</v>
      </c>
      <c r="AH188" t="s">
        <v>74</v>
      </c>
      <c r="AI188" t="s">
        <v>74</v>
      </c>
      <c r="AJ188" t="s">
        <v>74</v>
      </c>
      <c r="AK188" t="s">
        <v>74</v>
      </c>
      <c r="AL188" t="s">
        <v>74</v>
      </c>
      <c r="AM188" t="s">
        <v>74</v>
      </c>
      <c r="AN188" t="s">
        <v>74</v>
      </c>
      <c r="AO188" t="s">
        <v>1801</v>
      </c>
      <c r="AP188" t="s">
        <v>1802</v>
      </c>
      <c r="AQ188" t="s">
        <v>74</v>
      </c>
      <c r="AR188" t="s">
        <v>74</v>
      </c>
      <c r="AS188" t="s">
        <v>74</v>
      </c>
      <c r="AT188" t="s">
        <v>1803</v>
      </c>
      <c r="AU188">
        <v>2024</v>
      </c>
      <c r="AV188">
        <v>21</v>
      </c>
      <c r="AW188">
        <v>3</v>
      </c>
      <c r="AX188" t="s">
        <v>74</v>
      </c>
      <c r="AY188" t="s">
        <v>74</v>
      </c>
      <c r="AZ188" t="s">
        <v>74</v>
      </c>
      <c r="BA188" t="s">
        <v>74</v>
      </c>
      <c r="BB188" t="s">
        <v>74</v>
      </c>
      <c r="BC188" t="s">
        <v>74</v>
      </c>
      <c r="BD188">
        <v>31005</v>
      </c>
      <c r="BE188" t="s">
        <v>1804</v>
      </c>
      <c r="BF188" t="str">
        <f>HYPERLINK("http://dx.doi.org/10.1115/1.4063429","http://dx.doi.org/10.1115/1.4063429")</f>
        <v>http://dx.doi.org/10.1115/1.4063429</v>
      </c>
      <c r="BG188" t="s">
        <v>74</v>
      </c>
      <c r="BH188" t="s">
        <v>74</v>
      </c>
      <c r="BI188" t="s">
        <v>74</v>
      </c>
      <c r="BJ188" t="s">
        <v>74</v>
      </c>
      <c r="BK188" t="s">
        <v>74</v>
      </c>
      <c r="BL188" t="s">
        <v>74</v>
      </c>
      <c r="BM188" t="s">
        <v>74</v>
      </c>
      <c r="BN188" t="s">
        <v>74</v>
      </c>
      <c r="BO188" t="s">
        <v>74</v>
      </c>
      <c r="BP188" t="s">
        <v>74</v>
      </c>
      <c r="BQ188" t="s">
        <v>74</v>
      </c>
      <c r="BR188" t="s">
        <v>74</v>
      </c>
      <c r="BS188" t="s">
        <v>1805</v>
      </c>
      <c r="BT188" t="str">
        <f>HYPERLINK("https%3A%2F%2Fwww.webofscience.com%2Fwos%2Fwoscc%2Ffull-record%2FWOS:001258267000012","View Full Record in Web of Science")</f>
        <v>View Full Record in Web of Science</v>
      </c>
    </row>
    <row r="189" spans="1:72" x14ac:dyDescent="0.2">
      <c r="A189" t="s">
        <v>72</v>
      </c>
      <c r="B189" t="s">
        <v>1806</v>
      </c>
      <c r="C189" t="s">
        <v>74</v>
      </c>
      <c r="D189" t="s">
        <v>74</v>
      </c>
      <c r="E189" t="s">
        <v>74</v>
      </c>
      <c r="F189" t="s">
        <v>1807</v>
      </c>
      <c r="G189" t="s">
        <v>74</v>
      </c>
      <c r="H189" t="s">
        <v>74</v>
      </c>
      <c r="I189" t="s">
        <v>1808</v>
      </c>
      <c r="J189" t="s">
        <v>1809</v>
      </c>
      <c r="K189" t="s">
        <v>74</v>
      </c>
      <c r="L189" t="s">
        <v>74</v>
      </c>
      <c r="M189" t="s">
        <v>74</v>
      </c>
      <c r="N189" t="s">
        <v>74</v>
      </c>
      <c r="O189" t="s">
        <v>74</v>
      </c>
      <c r="P189" t="s">
        <v>74</v>
      </c>
      <c r="Q189" t="s">
        <v>74</v>
      </c>
      <c r="R189" t="s">
        <v>74</v>
      </c>
      <c r="S189" t="s">
        <v>74</v>
      </c>
      <c r="T189" t="s">
        <v>74</v>
      </c>
      <c r="U189" t="s">
        <v>74</v>
      </c>
      <c r="V189" t="s">
        <v>1810</v>
      </c>
      <c r="W189" t="s">
        <v>74</v>
      </c>
      <c r="X189" t="s">
        <v>74</v>
      </c>
      <c r="Y189" t="s">
        <v>74</v>
      </c>
      <c r="Z189" t="s">
        <v>74</v>
      </c>
      <c r="AA189" t="s">
        <v>1811</v>
      </c>
      <c r="AB189" t="s">
        <v>1812</v>
      </c>
      <c r="AC189" t="s">
        <v>74</v>
      </c>
      <c r="AD189" t="s">
        <v>74</v>
      </c>
      <c r="AE189" t="s">
        <v>74</v>
      </c>
      <c r="AF189" t="s">
        <v>74</v>
      </c>
      <c r="AG189" t="s">
        <v>74</v>
      </c>
      <c r="AH189" t="s">
        <v>74</v>
      </c>
      <c r="AI189" t="s">
        <v>74</v>
      </c>
      <c r="AJ189" t="s">
        <v>74</v>
      </c>
      <c r="AK189" t="s">
        <v>74</v>
      </c>
      <c r="AL189" t="s">
        <v>74</v>
      </c>
      <c r="AM189" t="s">
        <v>74</v>
      </c>
      <c r="AN189" t="s">
        <v>74</v>
      </c>
      <c r="AO189" t="s">
        <v>74</v>
      </c>
      <c r="AP189" t="s">
        <v>1813</v>
      </c>
      <c r="AQ189" t="s">
        <v>74</v>
      </c>
      <c r="AR189" t="s">
        <v>74</v>
      </c>
      <c r="AS189" t="s">
        <v>74</v>
      </c>
      <c r="AT189" t="s">
        <v>155</v>
      </c>
      <c r="AU189">
        <v>2024</v>
      </c>
      <c r="AV189">
        <v>11</v>
      </c>
      <c r="AW189">
        <v>36</v>
      </c>
      <c r="AX189" t="s">
        <v>74</v>
      </c>
      <c r="AY189" t="s">
        <v>74</v>
      </c>
      <c r="AZ189" t="s">
        <v>74</v>
      </c>
      <c r="BA189" t="s">
        <v>74</v>
      </c>
      <c r="BB189" t="s">
        <v>74</v>
      </c>
      <c r="BC189" t="s">
        <v>74</v>
      </c>
      <c r="BD189" t="s">
        <v>74</v>
      </c>
      <c r="BE189" t="s">
        <v>1814</v>
      </c>
      <c r="BF189" t="str">
        <f>HYPERLINK("http://dx.doi.org/10.1002/advs.202405482","http://dx.doi.org/10.1002/advs.202405482")</f>
        <v>http://dx.doi.org/10.1002/advs.202405482</v>
      </c>
      <c r="BG189" t="s">
        <v>74</v>
      </c>
      <c r="BH189" t="s">
        <v>1815</v>
      </c>
      <c r="BI189" t="s">
        <v>74</v>
      </c>
      <c r="BJ189" t="s">
        <v>74</v>
      </c>
      <c r="BK189" t="s">
        <v>74</v>
      </c>
      <c r="BL189" t="s">
        <v>74</v>
      </c>
      <c r="BM189" t="s">
        <v>74</v>
      </c>
      <c r="BN189">
        <v>39073305</v>
      </c>
      <c r="BO189" t="s">
        <v>74</v>
      </c>
      <c r="BP189" t="s">
        <v>74</v>
      </c>
      <c r="BQ189" t="s">
        <v>74</v>
      </c>
      <c r="BR189" t="s">
        <v>74</v>
      </c>
      <c r="BS189" t="s">
        <v>1816</v>
      </c>
      <c r="BT189" t="str">
        <f>HYPERLINK("https%3A%2F%2Fwww.webofscience.com%2Fwos%2Fwoscc%2Ffull-record%2FWOS:001278706500001","View Full Record in Web of Science")</f>
        <v>View Full Record in Web of Science</v>
      </c>
    </row>
    <row r="190" spans="1:72" x14ac:dyDescent="0.2">
      <c r="A190" t="s">
        <v>72</v>
      </c>
      <c r="B190" t="s">
        <v>1817</v>
      </c>
      <c r="C190" t="s">
        <v>74</v>
      </c>
      <c r="D190" t="s">
        <v>74</v>
      </c>
      <c r="E190" t="s">
        <v>74</v>
      </c>
      <c r="F190" t="s">
        <v>1818</v>
      </c>
      <c r="G190" t="s">
        <v>74</v>
      </c>
      <c r="H190" t="s">
        <v>74</v>
      </c>
      <c r="I190" t="s">
        <v>1819</v>
      </c>
      <c r="J190" t="s">
        <v>151</v>
      </c>
      <c r="K190" t="s">
        <v>74</v>
      </c>
      <c r="L190" t="s">
        <v>74</v>
      </c>
      <c r="M190" t="s">
        <v>74</v>
      </c>
      <c r="N190" t="s">
        <v>74</v>
      </c>
      <c r="O190" t="s">
        <v>74</v>
      </c>
      <c r="P190" t="s">
        <v>74</v>
      </c>
      <c r="Q190" t="s">
        <v>74</v>
      </c>
      <c r="R190" t="s">
        <v>74</v>
      </c>
      <c r="S190" t="s">
        <v>74</v>
      </c>
      <c r="T190" t="s">
        <v>74</v>
      </c>
      <c r="U190" t="s">
        <v>74</v>
      </c>
      <c r="V190" t="s">
        <v>1820</v>
      </c>
      <c r="W190" t="s">
        <v>74</v>
      </c>
      <c r="X190" t="s">
        <v>74</v>
      </c>
      <c r="Y190" t="s">
        <v>74</v>
      </c>
      <c r="Z190" t="s">
        <v>74</v>
      </c>
      <c r="AA190" t="s">
        <v>1821</v>
      </c>
      <c r="AB190" t="s">
        <v>1822</v>
      </c>
      <c r="AC190" t="s">
        <v>74</v>
      </c>
      <c r="AD190" t="s">
        <v>74</v>
      </c>
      <c r="AE190" t="s">
        <v>74</v>
      </c>
      <c r="AF190" t="s">
        <v>74</v>
      </c>
      <c r="AG190" t="s">
        <v>74</v>
      </c>
      <c r="AH190" t="s">
        <v>74</v>
      </c>
      <c r="AI190" t="s">
        <v>74</v>
      </c>
      <c r="AJ190" t="s">
        <v>74</v>
      </c>
      <c r="AK190" t="s">
        <v>74</v>
      </c>
      <c r="AL190" t="s">
        <v>74</v>
      </c>
      <c r="AM190" t="s">
        <v>74</v>
      </c>
      <c r="AN190" t="s">
        <v>74</v>
      </c>
      <c r="AO190" t="s">
        <v>153</v>
      </c>
      <c r="AP190" t="s">
        <v>154</v>
      </c>
      <c r="AQ190" t="s">
        <v>74</v>
      </c>
      <c r="AR190" t="s">
        <v>74</v>
      </c>
      <c r="AS190" t="s">
        <v>74</v>
      </c>
      <c r="AT190" t="s">
        <v>629</v>
      </c>
      <c r="AU190">
        <v>2024</v>
      </c>
      <c r="AV190">
        <v>71</v>
      </c>
      <c r="AW190" t="s">
        <v>74</v>
      </c>
      <c r="AX190" t="s">
        <v>74</v>
      </c>
      <c r="AY190" t="s">
        <v>74</v>
      </c>
      <c r="AZ190" t="s">
        <v>74</v>
      </c>
      <c r="BA190" t="s">
        <v>74</v>
      </c>
      <c r="BB190" t="s">
        <v>74</v>
      </c>
      <c r="BC190" t="s">
        <v>74</v>
      </c>
      <c r="BD190">
        <v>103642</v>
      </c>
      <c r="BE190" t="s">
        <v>1823</v>
      </c>
      <c r="BF190" t="str">
        <f>HYPERLINK("http://dx.doi.org/10.1016/j.ensm.2024.103642","http://dx.doi.org/10.1016/j.ensm.2024.103642")</f>
        <v>http://dx.doi.org/10.1016/j.ensm.2024.103642</v>
      </c>
      <c r="BG190" t="s">
        <v>74</v>
      </c>
      <c r="BH190" t="s">
        <v>1815</v>
      </c>
      <c r="BI190" t="s">
        <v>74</v>
      </c>
      <c r="BJ190" t="s">
        <v>74</v>
      </c>
      <c r="BK190" t="s">
        <v>74</v>
      </c>
      <c r="BL190" t="s">
        <v>74</v>
      </c>
      <c r="BM190" t="s">
        <v>74</v>
      </c>
      <c r="BN190" t="s">
        <v>74</v>
      </c>
      <c r="BO190" t="s">
        <v>74</v>
      </c>
      <c r="BP190" t="s">
        <v>74</v>
      </c>
      <c r="BQ190" t="s">
        <v>74</v>
      </c>
      <c r="BR190" t="s">
        <v>74</v>
      </c>
      <c r="BS190" t="s">
        <v>1824</v>
      </c>
      <c r="BT190" t="str">
        <f>HYPERLINK("https%3A%2F%2Fwww.webofscience.com%2Fwos%2Fwoscc%2Ffull-record%2FWOS:001274692200001","View Full Record in Web of Science")</f>
        <v>View Full Record in Web of Science</v>
      </c>
    </row>
    <row r="191" spans="1:72" x14ac:dyDescent="0.2">
      <c r="A191" t="s">
        <v>72</v>
      </c>
      <c r="B191" t="s">
        <v>1825</v>
      </c>
      <c r="C191" t="s">
        <v>74</v>
      </c>
      <c r="D191" t="s">
        <v>74</v>
      </c>
      <c r="E191" t="s">
        <v>74</v>
      </c>
      <c r="F191" t="s">
        <v>1826</v>
      </c>
      <c r="G191" t="s">
        <v>74</v>
      </c>
      <c r="H191" t="s">
        <v>74</v>
      </c>
      <c r="I191" t="s">
        <v>1827</v>
      </c>
      <c r="J191" t="s">
        <v>307</v>
      </c>
      <c r="K191" t="s">
        <v>74</v>
      </c>
      <c r="L191" t="s">
        <v>74</v>
      </c>
      <c r="M191" t="s">
        <v>74</v>
      </c>
      <c r="N191" t="s">
        <v>74</v>
      </c>
      <c r="O191" t="s">
        <v>74</v>
      </c>
      <c r="P191" t="s">
        <v>74</v>
      </c>
      <c r="Q191" t="s">
        <v>74</v>
      </c>
      <c r="R191" t="s">
        <v>74</v>
      </c>
      <c r="S191" t="s">
        <v>74</v>
      </c>
      <c r="T191" t="s">
        <v>74</v>
      </c>
      <c r="U191" t="s">
        <v>74</v>
      </c>
      <c r="V191" t="s">
        <v>1828</v>
      </c>
      <c r="W191" t="s">
        <v>74</v>
      </c>
      <c r="X191" t="s">
        <v>74</v>
      </c>
      <c r="Y191" t="s">
        <v>74</v>
      </c>
      <c r="Z191" t="s">
        <v>74</v>
      </c>
      <c r="AA191" t="s">
        <v>1361</v>
      </c>
      <c r="AB191" t="s">
        <v>1362</v>
      </c>
      <c r="AC191" t="s">
        <v>74</v>
      </c>
      <c r="AD191" t="s">
        <v>74</v>
      </c>
      <c r="AE191" t="s">
        <v>74</v>
      </c>
      <c r="AF191" t="s">
        <v>74</v>
      </c>
      <c r="AG191" t="s">
        <v>74</v>
      </c>
      <c r="AH191" t="s">
        <v>74</v>
      </c>
      <c r="AI191" t="s">
        <v>74</v>
      </c>
      <c r="AJ191" t="s">
        <v>74</v>
      </c>
      <c r="AK191" t="s">
        <v>74</v>
      </c>
      <c r="AL191" t="s">
        <v>74</v>
      </c>
      <c r="AM191" t="s">
        <v>74</v>
      </c>
      <c r="AN191" t="s">
        <v>74</v>
      </c>
      <c r="AO191" t="s">
        <v>74</v>
      </c>
      <c r="AP191" t="s">
        <v>309</v>
      </c>
      <c r="AQ191" t="s">
        <v>74</v>
      </c>
      <c r="AR191" t="s">
        <v>74</v>
      </c>
      <c r="AS191" t="s">
        <v>74</v>
      </c>
      <c r="AT191" t="s">
        <v>629</v>
      </c>
      <c r="AU191">
        <v>2024</v>
      </c>
      <c r="AV191">
        <v>7</v>
      </c>
      <c r="AW191">
        <v>8</v>
      </c>
      <c r="AX191" t="s">
        <v>74</v>
      </c>
      <c r="AY191" t="s">
        <v>74</v>
      </c>
      <c r="AZ191" t="s">
        <v>74</v>
      </c>
      <c r="BA191" t="s">
        <v>74</v>
      </c>
      <c r="BB191" t="s">
        <v>74</v>
      </c>
      <c r="BC191" t="s">
        <v>74</v>
      </c>
      <c r="BD191" t="s">
        <v>74</v>
      </c>
      <c r="BE191" t="s">
        <v>1829</v>
      </c>
      <c r="BF191" t="str">
        <f>HYPERLINK("http://dx.doi.org/10.1002/batt.202400132","http://dx.doi.org/10.1002/batt.202400132")</f>
        <v>http://dx.doi.org/10.1002/batt.202400132</v>
      </c>
      <c r="BG191" t="s">
        <v>74</v>
      </c>
      <c r="BH191" t="s">
        <v>1815</v>
      </c>
      <c r="BI191" t="s">
        <v>74</v>
      </c>
      <c r="BJ191" t="s">
        <v>74</v>
      </c>
      <c r="BK191" t="s">
        <v>74</v>
      </c>
      <c r="BL191" t="s">
        <v>74</v>
      </c>
      <c r="BM191" t="s">
        <v>74</v>
      </c>
      <c r="BN191" t="s">
        <v>74</v>
      </c>
      <c r="BO191" t="s">
        <v>74</v>
      </c>
      <c r="BP191" t="s">
        <v>74</v>
      </c>
      <c r="BQ191" t="s">
        <v>74</v>
      </c>
      <c r="BR191" t="s">
        <v>74</v>
      </c>
      <c r="BS191" t="s">
        <v>1830</v>
      </c>
      <c r="BT191" t="str">
        <f>HYPERLINK("https%3A%2F%2Fwww.webofscience.com%2Fwos%2Fwoscc%2Ffull-record%2FWOS:001270706500001","View Full Record in Web of Science")</f>
        <v>View Full Record in Web of Science</v>
      </c>
    </row>
    <row r="192" spans="1:72" x14ac:dyDescent="0.2">
      <c r="A192" t="s">
        <v>72</v>
      </c>
      <c r="B192" t="s">
        <v>1831</v>
      </c>
      <c r="C192" t="s">
        <v>74</v>
      </c>
      <c r="D192" t="s">
        <v>74</v>
      </c>
      <c r="E192" t="s">
        <v>74</v>
      </c>
      <c r="F192" t="s">
        <v>1832</v>
      </c>
      <c r="G192" t="s">
        <v>74</v>
      </c>
      <c r="H192" t="s">
        <v>74</v>
      </c>
      <c r="I192" t="s">
        <v>1833</v>
      </c>
      <c r="J192" t="s">
        <v>307</v>
      </c>
      <c r="K192" t="s">
        <v>74</v>
      </c>
      <c r="L192" t="s">
        <v>74</v>
      </c>
      <c r="M192" t="s">
        <v>74</v>
      </c>
      <c r="N192" t="s">
        <v>74</v>
      </c>
      <c r="O192" t="s">
        <v>74</v>
      </c>
      <c r="P192" t="s">
        <v>74</v>
      </c>
      <c r="Q192" t="s">
        <v>74</v>
      </c>
      <c r="R192" t="s">
        <v>74</v>
      </c>
      <c r="S192" t="s">
        <v>74</v>
      </c>
      <c r="T192" t="s">
        <v>74</v>
      </c>
      <c r="U192" t="s">
        <v>74</v>
      </c>
      <c r="V192" t="s">
        <v>1834</v>
      </c>
      <c r="W192" t="s">
        <v>74</v>
      </c>
      <c r="X192" t="s">
        <v>74</v>
      </c>
      <c r="Y192" t="s">
        <v>74</v>
      </c>
      <c r="Z192" t="s">
        <v>74</v>
      </c>
      <c r="AA192" t="s">
        <v>1835</v>
      </c>
      <c r="AB192" t="s">
        <v>1836</v>
      </c>
      <c r="AC192" t="s">
        <v>74</v>
      </c>
      <c r="AD192" t="s">
        <v>74</v>
      </c>
      <c r="AE192" t="s">
        <v>74</v>
      </c>
      <c r="AF192" t="s">
        <v>74</v>
      </c>
      <c r="AG192" t="s">
        <v>74</v>
      </c>
      <c r="AH192" t="s">
        <v>74</v>
      </c>
      <c r="AI192" t="s">
        <v>74</v>
      </c>
      <c r="AJ192" t="s">
        <v>74</v>
      </c>
      <c r="AK192" t="s">
        <v>74</v>
      </c>
      <c r="AL192" t="s">
        <v>74</v>
      </c>
      <c r="AM192" t="s">
        <v>74</v>
      </c>
      <c r="AN192" t="s">
        <v>74</v>
      </c>
      <c r="AO192" t="s">
        <v>74</v>
      </c>
      <c r="AP192" t="s">
        <v>309</v>
      </c>
      <c r="AQ192" t="s">
        <v>74</v>
      </c>
      <c r="AR192" t="s">
        <v>74</v>
      </c>
      <c r="AS192" t="s">
        <v>74</v>
      </c>
      <c r="AT192" t="s">
        <v>1318</v>
      </c>
      <c r="AU192">
        <v>2024</v>
      </c>
      <c r="AV192">
        <v>7</v>
      </c>
      <c r="AW192">
        <v>12</v>
      </c>
      <c r="AX192" t="s">
        <v>74</v>
      </c>
      <c r="AY192" t="s">
        <v>74</v>
      </c>
      <c r="AZ192" t="s">
        <v>74</v>
      </c>
      <c r="BA192" t="s">
        <v>74</v>
      </c>
      <c r="BB192" t="s">
        <v>74</v>
      </c>
      <c r="BC192" t="s">
        <v>74</v>
      </c>
      <c r="BD192" t="s">
        <v>74</v>
      </c>
      <c r="BE192" t="s">
        <v>1837</v>
      </c>
      <c r="BF192" t="str">
        <f>HYPERLINK("http://dx.doi.org/10.1002/batt.202400121","http://dx.doi.org/10.1002/batt.202400121")</f>
        <v>http://dx.doi.org/10.1002/batt.202400121</v>
      </c>
      <c r="BG192" t="s">
        <v>74</v>
      </c>
      <c r="BH192" t="s">
        <v>1815</v>
      </c>
      <c r="BI192" t="s">
        <v>74</v>
      </c>
      <c r="BJ192" t="s">
        <v>74</v>
      </c>
      <c r="BK192" t="s">
        <v>74</v>
      </c>
      <c r="BL192" t="s">
        <v>74</v>
      </c>
      <c r="BM192" t="s">
        <v>74</v>
      </c>
      <c r="BN192" t="s">
        <v>74</v>
      </c>
      <c r="BO192" t="s">
        <v>74</v>
      </c>
      <c r="BP192" t="s">
        <v>74</v>
      </c>
      <c r="BQ192" t="s">
        <v>74</v>
      </c>
      <c r="BR192" t="s">
        <v>74</v>
      </c>
      <c r="BS192" t="s">
        <v>1838</v>
      </c>
      <c r="BT192" t="str">
        <f>HYPERLINK("https%3A%2F%2Fwww.webofscience.com%2Fwos%2Fwoscc%2Ffull-record%2FWOS:001271189500001","View Full Record in Web of Science")</f>
        <v>View Full Record in Web of Science</v>
      </c>
    </row>
    <row r="193" spans="1:72" x14ac:dyDescent="0.2">
      <c r="A193" t="s">
        <v>72</v>
      </c>
      <c r="B193" t="s">
        <v>1839</v>
      </c>
      <c r="C193" t="s">
        <v>74</v>
      </c>
      <c r="D193" t="s">
        <v>74</v>
      </c>
      <c r="E193" t="s">
        <v>74</v>
      </c>
      <c r="F193" t="s">
        <v>1840</v>
      </c>
      <c r="G193" t="s">
        <v>74</v>
      </c>
      <c r="H193" t="s">
        <v>74</v>
      </c>
      <c r="I193" t="s">
        <v>1841</v>
      </c>
      <c r="J193" t="s">
        <v>1842</v>
      </c>
      <c r="K193" t="s">
        <v>74</v>
      </c>
      <c r="L193" t="s">
        <v>74</v>
      </c>
      <c r="M193" t="s">
        <v>74</v>
      </c>
      <c r="N193" t="s">
        <v>74</v>
      </c>
      <c r="O193" t="s">
        <v>74</v>
      </c>
      <c r="P193" t="s">
        <v>74</v>
      </c>
      <c r="Q193" t="s">
        <v>74</v>
      </c>
      <c r="R193" t="s">
        <v>74</v>
      </c>
      <c r="S193" t="s">
        <v>74</v>
      </c>
      <c r="T193" t="s">
        <v>74</v>
      </c>
      <c r="U193" t="s">
        <v>74</v>
      </c>
      <c r="V193" t="s">
        <v>1843</v>
      </c>
      <c r="W193" t="s">
        <v>74</v>
      </c>
      <c r="X193" t="s">
        <v>74</v>
      </c>
      <c r="Y193" t="s">
        <v>74</v>
      </c>
      <c r="Z193" t="s">
        <v>74</v>
      </c>
      <c r="AA193" t="s">
        <v>1844</v>
      </c>
      <c r="AB193" t="s">
        <v>473</v>
      </c>
      <c r="AC193" t="s">
        <v>74</v>
      </c>
      <c r="AD193" t="s">
        <v>74</v>
      </c>
      <c r="AE193" t="s">
        <v>74</v>
      </c>
      <c r="AF193" t="s">
        <v>74</v>
      </c>
      <c r="AG193" t="s">
        <v>74</v>
      </c>
      <c r="AH193" t="s">
        <v>74</v>
      </c>
      <c r="AI193" t="s">
        <v>74</v>
      </c>
      <c r="AJ193" t="s">
        <v>74</v>
      </c>
      <c r="AK193" t="s">
        <v>74</v>
      </c>
      <c r="AL193" t="s">
        <v>74</v>
      </c>
      <c r="AM193" t="s">
        <v>74</v>
      </c>
      <c r="AN193" t="s">
        <v>74</v>
      </c>
      <c r="AO193" t="s">
        <v>1845</v>
      </c>
      <c r="AP193" t="s">
        <v>1846</v>
      </c>
      <c r="AQ193" t="s">
        <v>74</v>
      </c>
      <c r="AR193" t="s">
        <v>74</v>
      </c>
      <c r="AS193" t="s">
        <v>74</v>
      </c>
      <c r="AT193" t="s">
        <v>1847</v>
      </c>
      <c r="AU193">
        <v>2024</v>
      </c>
      <c r="AV193">
        <v>63</v>
      </c>
      <c r="AW193">
        <v>30</v>
      </c>
      <c r="AX193" t="s">
        <v>74</v>
      </c>
      <c r="AY193" t="s">
        <v>74</v>
      </c>
      <c r="AZ193" t="s">
        <v>74</v>
      </c>
      <c r="BA193" t="s">
        <v>74</v>
      </c>
      <c r="BB193">
        <v>13886</v>
      </c>
      <c r="BC193">
        <v>13892</v>
      </c>
      <c r="BD193" t="s">
        <v>74</v>
      </c>
      <c r="BE193" t="s">
        <v>1848</v>
      </c>
      <c r="BF193" t="str">
        <f>HYPERLINK("http://dx.doi.org/10.1021/acs.inorgchem.4c00945","http://dx.doi.org/10.1021/acs.inorgchem.4c00945")</f>
        <v>http://dx.doi.org/10.1021/acs.inorgchem.4c00945</v>
      </c>
      <c r="BG193" t="s">
        <v>74</v>
      </c>
      <c r="BH193" t="s">
        <v>1815</v>
      </c>
      <c r="BI193" t="s">
        <v>74</v>
      </c>
      <c r="BJ193" t="s">
        <v>74</v>
      </c>
      <c r="BK193" t="s">
        <v>74</v>
      </c>
      <c r="BL193" t="s">
        <v>74</v>
      </c>
      <c r="BM193" t="s">
        <v>74</v>
      </c>
      <c r="BN193">
        <v>39012498</v>
      </c>
      <c r="BO193" t="s">
        <v>74</v>
      </c>
      <c r="BP193" t="s">
        <v>74</v>
      </c>
      <c r="BQ193" t="s">
        <v>74</v>
      </c>
      <c r="BR193" t="s">
        <v>74</v>
      </c>
      <c r="BS193" t="s">
        <v>1849</v>
      </c>
      <c r="BT193" t="str">
        <f>HYPERLINK("https%3A%2F%2Fwww.webofscience.com%2Fwos%2Fwoscc%2Ffull-record%2FWOS:001270063800001","View Full Record in Web of Science")</f>
        <v>View Full Record in Web of Science</v>
      </c>
    </row>
    <row r="194" spans="1:72" x14ac:dyDescent="0.2">
      <c r="A194" t="s">
        <v>72</v>
      </c>
      <c r="B194" t="s">
        <v>1850</v>
      </c>
      <c r="C194" t="s">
        <v>74</v>
      </c>
      <c r="D194" t="s">
        <v>74</v>
      </c>
      <c r="E194" t="s">
        <v>74</v>
      </c>
      <c r="F194" t="s">
        <v>1851</v>
      </c>
      <c r="G194" t="s">
        <v>74</v>
      </c>
      <c r="H194" t="s">
        <v>74</v>
      </c>
      <c r="I194" t="s">
        <v>1852</v>
      </c>
      <c r="J194" t="s">
        <v>151</v>
      </c>
      <c r="K194" t="s">
        <v>74</v>
      </c>
      <c r="L194" t="s">
        <v>74</v>
      </c>
      <c r="M194" t="s">
        <v>74</v>
      </c>
      <c r="N194" t="s">
        <v>74</v>
      </c>
      <c r="O194" t="s">
        <v>74</v>
      </c>
      <c r="P194" t="s">
        <v>74</v>
      </c>
      <c r="Q194" t="s">
        <v>74</v>
      </c>
      <c r="R194" t="s">
        <v>74</v>
      </c>
      <c r="S194" t="s">
        <v>74</v>
      </c>
      <c r="T194" t="s">
        <v>74</v>
      </c>
      <c r="U194" t="s">
        <v>74</v>
      </c>
      <c r="V194" t="s">
        <v>1853</v>
      </c>
      <c r="W194" t="s">
        <v>74</v>
      </c>
      <c r="X194" t="s">
        <v>74</v>
      </c>
      <c r="Y194" t="s">
        <v>74</v>
      </c>
      <c r="Z194" t="s">
        <v>74</v>
      </c>
      <c r="AA194" t="s">
        <v>1854</v>
      </c>
      <c r="AB194" t="s">
        <v>1855</v>
      </c>
      <c r="AC194" t="s">
        <v>74</v>
      </c>
      <c r="AD194" t="s">
        <v>74</v>
      </c>
      <c r="AE194" t="s">
        <v>74</v>
      </c>
      <c r="AF194" t="s">
        <v>74</v>
      </c>
      <c r="AG194" t="s">
        <v>74</v>
      </c>
      <c r="AH194" t="s">
        <v>74</v>
      </c>
      <c r="AI194" t="s">
        <v>74</v>
      </c>
      <c r="AJ194" t="s">
        <v>74</v>
      </c>
      <c r="AK194" t="s">
        <v>74</v>
      </c>
      <c r="AL194" t="s">
        <v>74</v>
      </c>
      <c r="AM194" t="s">
        <v>74</v>
      </c>
      <c r="AN194" t="s">
        <v>74</v>
      </c>
      <c r="AO194" t="s">
        <v>153</v>
      </c>
      <c r="AP194" t="s">
        <v>154</v>
      </c>
      <c r="AQ194" t="s">
        <v>74</v>
      </c>
      <c r="AR194" t="s">
        <v>74</v>
      </c>
      <c r="AS194" t="s">
        <v>74</v>
      </c>
      <c r="AT194" t="s">
        <v>629</v>
      </c>
      <c r="AU194">
        <v>2024</v>
      </c>
      <c r="AV194">
        <v>71</v>
      </c>
      <c r="AW194" t="s">
        <v>74</v>
      </c>
      <c r="AX194" t="s">
        <v>74</v>
      </c>
      <c r="AY194" t="s">
        <v>74</v>
      </c>
      <c r="AZ194" t="s">
        <v>74</v>
      </c>
      <c r="BA194" t="s">
        <v>74</v>
      </c>
      <c r="BB194" t="s">
        <v>74</v>
      </c>
      <c r="BC194" t="s">
        <v>74</v>
      </c>
      <c r="BD194">
        <v>103634</v>
      </c>
      <c r="BE194" t="s">
        <v>1856</v>
      </c>
      <c r="BF194" t="str">
        <f>HYPERLINK("http://dx.doi.org/10.1016/j.ensm.2024.103634","http://dx.doi.org/10.1016/j.ensm.2024.103634")</f>
        <v>http://dx.doi.org/10.1016/j.ensm.2024.103634</v>
      </c>
      <c r="BG194" t="s">
        <v>74</v>
      </c>
      <c r="BH194" t="s">
        <v>1815</v>
      </c>
      <c r="BI194" t="s">
        <v>74</v>
      </c>
      <c r="BJ194" t="s">
        <v>74</v>
      </c>
      <c r="BK194" t="s">
        <v>74</v>
      </c>
      <c r="BL194" t="s">
        <v>74</v>
      </c>
      <c r="BM194" t="s">
        <v>74</v>
      </c>
      <c r="BN194" t="s">
        <v>74</v>
      </c>
      <c r="BO194" t="s">
        <v>74</v>
      </c>
      <c r="BP194" t="s">
        <v>74</v>
      </c>
      <c r="BQ194" t="s">
        <v>74</v>
      </c>
      <c r="BR194" t="s">
        <v>74</v>
      </c>
      <c r="BS194" t="s">
        <v>1857</v>
      </c>
      <c r="BT194" t="str">
        <f>HYPERLINK("https%3A%2F%2Fwww.webofscience.com%2Fwos%2Fwoscc%2Ffull-record%2FWOS:001273168500001","View Full Record in Web of Science")</f>
        <v>View Full Record in Web of Science</v>
      </c>
    </row>
    <row r="195" spans="1:72" x14ac:dyDescent="0.2">
      <c r="A195" t="s">
        <v>72</v>
      </c>
      <c r="B195" t="s">
        <v>1858</v>
      </c>
      <c r="C195" t="s">
        <v>74</v>
      </c>
      <c r="D195" t="s">
        <v>74</v>
      </c>
      <c r="E195" t="s">
        <v>74</v>
      </c>
      <c r="F195" t="s">
        <v>1859</v>
      </c>
      <c r="G195" t="s">
        <v>74</v>
      </c>
      <c r="H195" t="s">
        <v>74</v>
      </c>
      <c r="I195" t="s">
        <v>1860</v>
      </c>
      <c r="J195" t="s">
        <v>411</v>
      </c>
      <c r="K195" t="s">
        <v>74</v>
      </c>
      <c r="L195" t="s">
        <v>74</v>
      </c>
      <c r="M195" t="s">
        <v>74</v>
      </c>
      <c r="N195" t="s">
        <v>74</v>
      </c>
      <c r="O195" t="s">
        <v>74</v>
      </c>
      <c r="P195" t="s">
        <v>74</v>
      </c>
      <c r="Q195" t="s">
        <v>74</v>
      </c>
      <c r="R195" t="s">
        <v>74</v>
      </c>
      <c r="S195" t="s">
        <v>74</v>
      </c>
      <c r="T195" t="s">
        <v>74</v>
      </c>
      <c r="U195" t="s">
        <v>74</v>
      </c>
      <c r="V195" t="s">
        <v>1861</v>
      </c>
      <c r="W195" t="s">
        <v>74</v>
      </c>
      <c r="X195" t="s">
        <v>74</v>
      </c>
      <c r="Y195" t="s">
        <v>74</v>
      </c>
      <c r="Z195" t="s">
        <v>74</v>
      </c>
      <c r="AA195" t="s">
        <v>1862</v>
      </c>
      <c r="AB195" t="s">
        <v>74</v>
      </c>
      <c r="AC195" t="s">
        <v>74</v>
      </c>
      <c r="AD195" t="s">
        <v>74</v>
      </c>
      <c r="AE195" t="s">
        <v>74</v>
      </c>
      <c r="AF195" t="s">
        <v>74</v>
      </c>
      <c r="AG195" t="s">
        <v>74</v>
      </c>
      <c r="AH195" t="s">
        <v>74</v>
      </c>
      <c r="AI195" t="s">
        <v>74</v>
      </c>
      <c r="AJ195" t="s">
        <v>74</v>
      </c>
      <c r="AK195" t="s">
        <v>74</v>
      </c>
      <c r="AL195" t="s">
        <v>74</v>
      </c>
      <c r="AM195" t="s">
        <v>74</v>
      </c>
      <c r="AN195" t="s">
        <v>74</v>
      </c>
      <c r="AO195" t="s">
        <v>414</v>
      </c>
      <c r="AP195" t="s">
        <v>415</v>
      </c>
      <c r="AQ195" t="s">
        <v>74</v>
      </c>
      <c r="AR195" t="s">
        <v>74</v>
      </c>
      <c r="AS195" t="s">
        <v>74</v>
      </c>
      <c r="AT195" t="s">
        <v>92</v>
      </c>
      <c r="AU195">
        <v>2024</v>
      </c>
      <c r="AV195">
        <v>20</v>
      </c>
      <c r="AW195">
        <v>44</v>
      </c>
      <c r="AX195" t="s">
        <v>74</v>
      </c>
      <c r="AY195" t="s">
        <v>74</v>
      </c>
      <c r="AZ195" t="s">
        <v>74</v>
      </c>
      <c r="BA195" t="s">
        <v>74</v>
      </c>
      <c r="BB195" t="s">
        <v>74</v>
      </c>
      <c r="BC195" t="s">
        <v>74</v>
      </c>
      <c r="BD195" t="s">
        <v>74</v>
      </c>
      <c r="BE195" t="s">
        <v>1863</v>
      </c>
      <c r="BF195" t="str">
        <f>HYPERLINK("http://dx.doi.org/10.1002/smll.202403660","http://dx.doi.org/10.1002/smll.202403660")</f>
        <v>http://dx.doi.org/10.1002/smll.202403660</v>
      </c>
      <c r="BG195" t="s">
        <v>74</v>
      </c>
      <c r="BH195" t="s">
        <v>1815</v>
      </c>
      <c r="BI195" t="s">
        <v>74</v>
      </c>
      <c r="BJ195" t="s">
        <v>74</v>
      </c>
      <c r="BK195" t="s">
        <v>74</v>
      </c>
      <c r="BL195" t="s">
        <v>74</v>
      </c>
      <c r="BM195" t="s">
        <v>74</v>
      </c>
      <c r="BN195">
        <v>39004850</v>
      </c>
      <c r="BO195" t="s">
        <v>74</v>
      </c>
      <c r="BP195" t="s">
        <v>74</v>
      </c>
      <c r="BQ195" t="s">
        <v>74</v>
      </c>
      <c r="BR195" t="s">
        <v>74</v>
      </c>
      <c r="BS195" t="s">
        <v>1864</v>
      </c>
      <c r="BT195" t="str">
        <f>HYPERLINK("https%3A%2F%2Fwww.webofscience.com%2Fwos%2Fwoscc%2Ffull-record%2FWOS:001272404200001","View Full Record in Web of Science")</f>
        <v>View Full Record in Web of Science</v>
      </c>
    </row>
    <row r="196" spans="1:72" x14ac:dyDescent="0.2">
      <c r="A196" t="s">
        <v>72</v>
      </c>
      <c r="B196" t="s">
        <v>1865</v>
      </c>
      <c r="C196" t="s">
        <v>74</v>
      </c>
      <c r="D196" t="s">
        <v>74</v>
      </c>
      <c r="E196" t="s">
        <v>74</v>
      </c>
      <c r="F196" t="s">
        <v>1866</v>
      </c>
      <c r="G196" t="s">
        <v>74</v>
      </c>
      <c r="H196" t="s">
        <v>74</v>
      </c>
      <c r="I196" t="s">
        <v>1867</v>
      </c>
      <c r="J196" t="s">
        <v>654</v>
      </c>
      <c r="K196" t="s">
        <v>74</v>
      </c>
      <c r="L196" t="s">
        <v>74</v>
      </c>
      <c r="M196" t="s">
        <v>74</v>
      </c>
      <c r="N196" t="s">
        <v>74</v>
      </c>
      <c r="O196" t="s">
        <v>74</v>
      </c>
      <c r="P196" t="s">
        <v>74</v>
      </c>
      <c r="Q196" t="s">
        <v>74</v>
      </c>
      <c r="R196" t="s">
        <v>74</v>
      </c>
      <c r="S196" t="s">
        <v>74</v>
      </c>
      <c r="T196" t="s">
        <v>74</v>
      </c>
      <c r="U196" t="s">
        <v>74</v>
      </c>
      <c r="V196" t="s">
        <v>1868</v>
      </c>
      <c r="W196" t="s">
        <v>74</v>
      </c>
      <c r="X196" t="s">
        <v>74</v>
      </c>
      <c r="Y196" t="s">
        <v>74</v>
      </c>
      <c r="Z196" t="s">
        <v>74</v>
      </c>
      <c r="AA196" t="s">
        <v>1869</v>
      </c>
      <c r="AB196" t="s">
        <v>74</v>
      </c>
      <c r="AC196" t="s">
        <v>74</v>
      </c>
      <c r="AD196" t="s">
        <v>74</v>
      </c>
      <c r="AE196" t="s">
        <v>74</v>
      </c>
      <c r="AF196" t="s">
        <v>74</v>
      </c>
      <c r="AG196" t="s">
        <v>74</v>
      </c>
      <c r="AH196" t="s">
        <v>74</v>
      </c>
      <c r="AI196" t="s">
        <v>74</v>
      </c>
      <c r="AJ196" t="s">
        <v>74</v>
      </c>
      <c r="AK196" t="s">
        <v>74</v>
      </c>
      <c r="AL196" t="s">
        <v>74</v>
      </c>
      <c r="AM196" t="s">
        <v>74</v>
      </c>
      <c r="AN196" t="s">
        <v>74</v>
      </c>
      <c r="AO196" t="s">
        <v>657</v>
      </c>
      <c r="AP196" t="s">
        <v>658</v>
      </c>
      <c r="AQ196" t="s">
        <v>74</v>
      </c>
      <c r="AR196" t="s">
        <v>74</v>
      </c>
      <c r="AS196" t="s">
        <v>74</v>
      </c>
      <c r="AT196" t="s">
        <v>1870</v>
      </c>
      <c r="AU196">
        <v>2024</v>
      </c>
      <c r="AV196">
        <v>24</v>
      </c>
      <c r="AW196">
        <v>29</v>
      </c>
      <c r="AX196" t="s">
        <v>74</v>
      </c>
      <c r="AY196" t="s">
        <v>74</v>
      </c>
      <c r="AZ196" t="s">
        <v>74</v>
      </c>
      <c r="BA196" t="s">
        <v>74</v>
      </c>
      <c r="BB196">
        <v>8826</v>
      </c>
      <c r="BC196">
        <v>8833</v>
      </c>
      <c r="BD196" t="s">
        <v>74</v>
      </c>
      <c r="BE196" t="s">
        <v>1871</v>
      </c>
      <c r="BF196" t="str">
        <f>HYPERLINK("http://dx.doi.org/10.1021/acs.nanolett.4c01104","http://dx.doi.org/10.1021/acs.nanolett.4c01104")</f>
        <v>http://dx.doi.org/10.1021/acs.nanolett.4c01104</v>
      </c>
      <c r="BG196" t="s">
        <v>74</v>
      </c>
      <c r="BH196" t="s">
        <v>1815</v>
      </c>
      <c r="BI196" t="s">
        <v>74</v>
      </c>
      <c r="BJ196" t="s">
        <v>74</v>
      </c>
      <c r="BK196" t="s">
        <v>74</v>
      </c>
      <c r="BL196" t="s">
        <v>74</v>
      </c>
      <c r="BM196" t="s">
        <v>74</v>
      </c>
      <c r="BN196">
        <v>38996000</v>
      </c>
      <c r="BO196" t="s">
        <v>74</v>
      </c>
      <c r="BP196" t="s">
        <v>74</v>
      </c>
      <c r="BQ196" t="s">
        <v>74</v>
      </c>
      <c r="BR196" t="s">
        <v>74</v>
      </c>
      <c r="BS196" t="s">
        <v>1872</v>
      </c>
      <c r="BT196" t="str">
        <f>HYPERLINK("https%3A%2F%2Fwww.webofscience.com%2Fwos%2Fwoscc%2Ffull-record%2FWOS:001268681900001","View Full Record in Web of Science")</f>
        <v>View Full Record in Web of Science</v>
      </c>
    </row>
    <row r="197" spans="1:72" x14ac:dyDescent="0.2">
      <c r="A197" t="s">
        <v>72</v>
      </c>
      <c r="B197" t="s">
        <v>1873</v>
      </c>
      <c r="C197" t="s">
        <v>74</v>
      </c>
      <c r="D197" t="s">
        <v>74</v>
      </c>
      <c r="E197" t="s">
        <v>74</v>
      </c>
      <c r="F197" t="s">
        <v>1874</v>
      </c>
      <c r="G197" t="s">
        <v>74</v>
      </c>
      <c r="H197" t="s">
        <v>74</v>
      </c>
      <c r="I197" t="s">
        <v>1875</v>
      </c>
      <c r="J197" t="s">
        <v>352</v>
      </c>
      <c r="K197" t="s">
        <v>74</v>
      </c>
      <c r="L197" t="s">
        <v>74</v>
      </c>
      <c r="M197" t="s">
        <v>74</v>
      </c>
      <c r="N197" t="s">
        <v>74</v>
      </c>
      <c r="O197" t="s">
        <v>74</v>
      </c>
      <c r="P197" t="s">
        <v>74</v>
      </c>
      <c r="Q197" t="s">
        <v>74</v>
      </c>
      <c r="R197" t="s">
        <v>74</v>
      </c>
      <c r="S197" t="s">
        <v>74</v>
      </c>
      <c r="T197" t="s">
        <v>74</v>
      </c>
      <c r="U197" t="s">
        <v>74</v>
      </c>
      <c r="V197" t="s">
        <v>1876</v>
      </c>
      <c r="W197" t="s">
        <v>74</v>
      </c>
      <c r="X197" t="s">
        <v>74</v>
      </c>
      <c r="Y197" t="s">
        <v>74</v>
      </c>
      <c r="Z197" t="s">
        <v>74</v>
      </c>
      <c r="AA197" t="s">
        <v>1877</v>
      </c>
      <c r="AB197" t="s">
        <v>1878</v>
      </c>
      <c r="AC197" t="s">
        <v>74</v>
      </c>
      <c r="AD197" t="s">
        <v>74</v>
      </c>
      <c r="AE197" t="s">
        <v>74</v>
      </c>
      <c r="AF197" t="s">
        <v>74</v>
      </c>
      <c r="AG197" t="s">
        <v>74</v>
      </c>
      <c r="AH197" t="s">
        <v>74</v>
      </c>
      <c r="AI197" t="s">
        <v>74</v>
      </c>
      <c r="AJ197" t="s">
        <v>74</v>
      </c>
      <c r="AK197" t="s">
        <v>74</v>
      </c>
      <c r="AL197" t="s">
        <v>74</v>
      </c>
      <c r="AM197" t="s">
        <v>74</v>
      </c>
      <c r="AN197" t="s">
        <v>74</v>
      </c>
      <c r="AO197" t="s">
        <v>354</v>
      </c>
      <c r="AP197" t="s">
        <v>355</v>
      </c>
      <c r="AQ197" t="s">
        <v>74</v>
      </c>
      <c r="AR197" t="s">
        <v>74</v>
      </c>
      <c r="AS197" t="s">
        <v>74</v>
      </c>
      <c r="AT197" t="s">
        <v>113</v>
      </c>
      <c r="AU197">
        <v>2024</v>
      </c>
      <c r="AV197">
        <v>14</v>
      </c>
      <c r="AW197">
        <v>38</v>
      </c>
      <c r="AX197" t="s">
        <v>74</v>
      </c>
      <c r="AY197" t="s">
        <v>74</v>
      </c>
      <c r="AZ197" t="s">
        <v>74</v>
      </c>
      <c r="BA197" t="s">
        <v>74</v>
      </c>
      <c r="BB197" t="s">
        <v>74</v>
      </c>
      <c r="BC197" t="s">
        <v>74</v>
      </c>
      <c r="BD197" t="s">
        <v>74</v>
      </c>
      <c r="BE197" t="s">
        <v>1879</v>
      </c>
      <c r="BF197" t="str">
        <f>HYPERLINK("http://dx.doi.org/10.1002/aenm.202400773","http://dx.doi.org/10.1002/aenm.202400773")</f>
        <v>http://dx.doi.org/10.1002/aenm.202400773</v>
      </c>
      <c r="BG197" t="s">
        <v>74</v>
      </c>
      <c r="BH197" t="s">
        <v>1815</v>
      </c>
      <c r="BI197" t="s">
        <v>74</v>
      </c>
      <c r="BJ197" t="s">
        <v>74</v>
      </c>
      <c r="BK197" t="s">
        <v>74</v>
      </c>
      <c r="BL197" t="s">
        <v>74</v>
      </c>
      <c r="BM197" t="s">
        <v>74</v>
      </c>
      <c r="BN197" t="s">
        <v>74</v>
      </c>
      <c r="BO197" t="s">
        <v>74</v>
      </c>
      <c r="BP197" t="s">
        <v>74</v>
      </c>
      <c r="BQ197" t="s">
        <v>74</v>
      </c>
      <c r="BR197" t="s">
        <v>74</v>
      </c>
      <c r="BS197" t="s">
        <v>1880</v>
      </c>
      <c r="BT197" t="str">
        <f>HYPERLINK("https%3A%2F%2Fwww.webofscience.com%2Fwos%2Fwoscc%2Ffull-record%2FWOS:001269158500001","View Full Record in Web of Science")</f>
        <v>View Full Record in Web of Science</v>
      </c>
    </row>
    <row r="198" spans="1:72" x14ac:dyDescent="0.2">
      <c r="A198" t="s">
        <v>72</v>
      </c>
      <c r="B198" t="s">
        <v>1881</v>
      </c>
      <c r="C198" t="s">
        <v>74</v>
      </c>
      <c r="D198" t="s">
        <v>74</v>
      </c>
      <c r="E198" t="s">
        <v>74</v>
      </c>
      <c r="F198" t="s">
        <v>1882</v>
      </c>
      <c r="G198" t="s">
        <v>74</v>
      </c>
      <c r="H198" t="s">
        <v>74</v>
      </c>
      <c r="I198" t="s">
        <v>1883</v>
      </c>
      <c r="J198" t="s">
        <v>1256</v>
      </c>
      <c r="K198" t="s">
        <v>74</v>
      </c>
      <c r="L198" t="s">
        <v>74</v>
      </c>
      <c r="M198" t="s">
        <v>74</v>
      </c>
      <c r="N198" t="s">
        <v>74</v>
      </c>
      <c r="O198" t="s">
        <v>74</v>
      </c>
      <c r="P198" t="s">
        <v>74</v>
      </c>
      <c r="Q198" t="s">
        <v>74</v>
      </c>
      <c r="R198" t="s">
        <v>74</v>
      </c>
      <c r="S198" t="s">
        <v>74</v>
      </c>
      <c r="T198" t="s">
        <v>74</v>
      </c>
      <c r="U198" t="s">
        <v>74</v>
      </c>
      <c r="V198" t="s">
        <v>1884</v>
      </c>
      <c r="W198" t="s">
        <v>74</v>
      </c>
      <c r="X198" t="s">
        <v>74</v>
      </c>
      <c r="Y198" t="s">
        <v>74</v>
      </c>
      <c r="Z198" t="s">
        <v>74</v>
      </c>
      <c r="AA198" t="s">
        <v>1885</v>
      </c>
      <c r="AB198" t="s">
        <v>1886</v>
      </c>
      <c r="AC198" t="s">
        <v>74</v>
      </c>
      <c r="AD198" t="s">
        <v>74</v>
      </c>
      <c r="AE198" t="s">
        <v>74</v>
      </c>
      <c r="AF198" t="s">
        <v>74</v>
      </c>
      <c r="AG198" t="s">
        <v>74</v>
      </c>
      <c r="AH198" t="s">
        <v>74</v>
      </c>
      <c r="AI198" t="s">
        <v>74</v>
      </c>
      <c r="AJ198" t="s">
        <v>74</v>
      </c>
      <c r="AK198" t="s">
        <v>74</v>
      </c>
      <c r="AL198" t="s">
        <v>74</v>
      </c>
      <c r="AM198" t="s">
        <v>74</v>
      </c>
      <c r="AN198" t="s">
        <v>74</v>
      </c>
      <c r="AO198" t="s">
        <v>1258</v>
      </c>
      <c r="AP198" t="s">
        <v>1259</v>
      </c>
      <c r="AQ198" t="s">
        <v>74</v>
      </c>
      <c r="AR198" t="s">
        <v>74</v>
      </c>
      <c r="AS198" t="s">
        <v>74</v>
      </c>
      <c r="AT198" t="s">
        <v>1887</v>
      </c>
      <c r="AU198">
        <v>2024</v>
      </c>
      <c r="AV198">
        <v>498</v>
      </c>
      <c r="AW198" t="s">
        <v>74</v>
      </c>
      <c r="AX198" t="s">
        <v>74</v>
      </c>
      <c r="AY198" t="s">
        <v>74</v>
      </c>
      <c r="AZ198" t="s">
        <v>74</v>
      </c>
      <c r="BA198" t="s">
        <v>74</v>
      </c>
      <c r="BB198" t="s">
        <v>74</v>
      </c>
      <c r="BC198" t="s">
        <v>74</v>
      </c>
      <c r="BD198">
        <v>144684</v>
      </c>
      <c r="BE198" t="s">
        <v>1888</v>
      </c>
      <c r="BF198" t="str">
        <f>HYPERLINK("http://dx.doi.org/10.1016/j.electacta.2024.144684","http://dx.doi.org/10.1016/j.electacta.2024.144684")</f>
        <v>http://dx.doi.org/10.1016/j.electacta.2024.144684</v>
      </c>
      <c r="BG198" t="s">
        <v>74</v>
      </c>
      <c r="BH198" t="s">
        <v>1815</v>
      </c>
      <c r="BI198" t="s">
        <v>74</v>
      </c>
      <c r="BJ198" t="s">
        <v>74</v>
      </c>
      <c r="BK198" t="s">
        <v>74</v>
      </c>
      <c r="BL198" t="s">
        <v>74</v>
      </c>
      <c r="BM198" t="s">
        <v>74</v>
      </c>
      <c r="BN198" t="s">
        <v>74</v>
      </c>
      <c r="BO198" t="s">
        <v>74</v>
      </c>
      <c r="BP198" t="s">
        <v>74</v>
      </c>
      <c r="BQ198" t="s">
        <v>74</v>
      </c>
      <c r="BR198" t="s">
        <v>74</v>
      </c>
      <c r="BS198" t="s">
        <v>1889</v>
      </c>
      <c r="BT198" t="str">
        <f>HYPERLINK("https%3A%2F%2Fwww.webofscience.com%2Fwos%2Fwoscc%2Ffull-record%2FWOS:001267252400001","View Full Record in Web of Science")</f>
        <v>View Full Record in Web of Science</v>
      </c>
    </row>
    <row r="199" spans="1:72" x14ac:dyDescent="0.2">
      <c r="A199" t="s">
        <v>72</v>
      </c>
      <c r="B199" t="s">
        <v>1890</v>
      </c>
      <c r="C199" t="s">
        <v>74</v>
      </c>
      <c r="D199" t="s">
        <v>74</v>
      </c>
      <c r="E199" t="s">
        <v>74</v>
      </c>
      <c r="F199" t="s">
        <v>1891</v>
      </c>
      <c r="G199" t="s">
        <v>74</v>
      </c>
      <c r="H199" t="s">
        <v>74</v>
      </c>
      <c r="I199" t="s">
        <v>1892</v>
      </c>
      <c r="J199" t="s">
        <v>289</v>
      </c>
      <c r="K199" t="s">
        <v>74</v>
      </c>
      <c r="L199" t="s">
        <v>74</v>
      </c>
      <c r="M199" t="s">
        <v>74</v>
      </c>
      <c r="N199" t="s">
        <v>74</v>
      </c>
      <c r="O199" t="s">
        <v>74</v>
      </c>
      <c r="P199" t="s">
        <v>74</v>
      </c>
      <c r="Q199" t="s">
        <v>74</v>
      </c>
      <c r="R199" t="s">
        <v>74</v>
      </c>
      <c r="S199" t="s">
        <v>74</v>
      </c>
      <c r="T199" t="s">
        <v>74</v>
      </c>
      <c r="U199" t="s">
        <v>74</v>
      </c>
      <c r="V199" t="s">
        <v>1893</v>
      </c>
      <c r="W199" t="s">
        <v>74</v>
      </c>
      <c r="X199" t="s">
        <v>74</v>
      </c>
      <c r="Y199" t="s">
        <v>74</v>
      </c>
      <c r="Z199" t="s">
        <v>74</v>
      </c>
      <c r="AA199" t="s">
        <v>1894</v>
      </c>
      <c r="AB199" t="s">
        <v>1895</v>
      </c>
      <c r="AC199" t="s">
        <v>74</v>
      </c>
      <c r="AD199" t="s">
        <v>74</v>
      </c>
      <c r="AE199" t="s">
        <v>74</v>
      </c>
      <c r="AF199" t="s">
        <v>74</v>
      </c>
      <c r="AG199" t="s">
        <v>74</v>
      </c>
      <c r="AH199" t="s">
        <v>74</v>
      </c>
      <c r="AI199" t="s">
        <v>74</v>
      </c>
      <c r="AJ199" t="s">
        <v>74</v>
      </c>
      <c r="AK199" t="s">
        <v>74</v>
      </c>
      <c r="AL199" t="s">
        <v>74</v>
      </c>
      <c r="AM199" t="s">
        <v>74</v>
      </c>
      <c r="AN199" t="s">
        <v>74</v>
      </c>
      <c r="AO199" t="s">
        <v>292</v>
      </c>
      <c r="AP199" t="s">
        <v>293</v>
      </c>
      <c r="AQ199" t="s">
        <v>74</v>
      </c>
      <c r="AR199" t="s">
        <v>74</v>
      </c>
      <c r="AS199" t="s">
        <v>74</v>
      </c>
      <c r="AT199" t="s">
        <v>629</v>
      </c>
      <c r="AU199">
        <v>2024</v>
      </c>
      <c r="AV199">
        <v>36</v>
      </c>
      <c r="AW199">
        <v>33</v>
      </c>
      <c r="AX199" t="s">
        <v>74</v>
      </c>
      <c r="AY199" t="s">
        <v>74</v>
      </c>
      <c r="AZ199" t="s">
        <v>74</v>
      </c>
      <c r="BA199" t="s">
        <v>74</v>
      </c>
      <c r="BB199" t="s">
        <v>74</v>
      </c>
      <c r="BC199" t="s">
        <v>74</v>
      </c>
      <c r="BD199" t="s">
        <v>74</v>
      </c>
      <c r="BE199" t="s">
        <v>1896</v>
      </c>
      <c r="BF199" t="str">
        <f>HYPERLINK("http://dx.doi.org/10.1002/adma.202401625","http://dx.doi.org/10.1002/adma.202401625")</f>
        <v>http://dx.doi.org/10.1002/adma.202401625</v>
      </c>
      <c r="BG199" t="s">
        <v>74</v>
      </c>
      <c r="BH199" t="s">
        <v>1815</v>
      </c>
      <c r="BI199" t="s">
        <v>74</v>
      </c>
      <c r="BJ199" t="s">
        <v>74</v>
      </c>
      <c r="BK199" t="s">
        <v>74</v>
      </c>
      <c r="BL199" t="s">
        <v>74</v>
      </c>
      <c r="BM199" t="s">
        <v>74</v>
      </c>
      <c r="BN199">
        <v>38934341</v>
      </c>
      <c r="BO199" t="s">
        <v>74</v>
      </c>
      <c r="BP199" t="s">
        <v>74</v>
      </c>
      <c r="BQ199" t="s">
        <v>74</v>
      </c>
      <c r="BR199" t="s">
        <v>74</v>
      </c>
      <c r="BS199" t="s">
        <v>1897</v>
      </c>
      <c r="BT199" t="str">
        <f>HYPERLINK("https%3A%2F%2Fwww.webofscience.com%2Fwos%2Fwoscc%2Ffull-record%2FWOS:001261474000001","View Full Record in Web of Science")</f>
        <v>View Full Record in Web of Science</v>
      </c>
    </row>
    <row r="200" spans="1:72" x14ac:dyDescent="0.2">
      <c r="A200" t="s">
        <v>72</v>
      </c>
      <c r="B200" t="s">
        <v>1898</v>
      </c>
      <c r="C200" t="s">
        <v>74</v>
      </c>
      <c r="D200" t="s">
        <v>74</v>
      </c>
      <c r="E200" t="s">
        <v>74</v>
      </c>
      <c r="F200" t="s">
        <v>1899</v>
      </c>
      <c r="G200" t="s">
        <v>74</v>
      </c>
      <c r="H200" t="s">
        <v>74</v>
      </c>
      <c r="I200" t="s">
        <v>1900</v>
      </c>
      <c r="J200" t="s">
        <v>931</v>
      </c>
      <c r="K200" t="s">
        <v>74</v>
      </c>
      <c r="L200" t="s">
        <v>74</v>
      </c>
      <c r="M200" t="s">
        <v>74</v>
      </c>
      <c r="N200" t="s">
        <v>74</v>
      </c>
      <c r="O200" t="s">
        <v>74</v>
      </c>
      <c r="P200" t="s">
        <v>74</v>
      </c>
      <c r="Q200" t="s">
        <v>74</v>
      </c>
      <c r="R200" t="s">
        <v>74</v>
      </c>
      <c r="S200" t="s">
        <v>74</v>
      </c>
      <c r="T200" t="s">
        <v>74</v>
      </c>
      <c r="U200" t="s">
        <v>74</v>
      </c>
      <c r="V200" t="s">
        <v>1901</v>
      </c>
      <c r="W200" t="s">
        <v>74</v>
      </c>
      <c r="X200" t="s">
        <v>74</v>
      </c>
      <c r="Y200" t="s">
        <v>74</v>
      </c>
      <c r="Z200" t="s">
        <v>74</v>
      </c>
      <c r="AA200" t="s">
        <v>1902</v>
      </c>
      <c r="AB200" t="s">
        <v>1903</v>
      </c>
      <c r="AC200" t="s">
        <v>74</v>
      </c>
      <c r="AD200" t="s">
        <v>74</v>
      </c>
      <c r="AE200" t="s">
        <v>74</v>
      </c>
      <c r="AF200" t="s">
        <v>74</v>
      </c>
      <c r="AG200" t="s">
        <v>74</v>
      </c>
      <c r="AH200" t="s">
        <v>74</v>
      </c>
      <c r="AI200" t="s">
        <v>74</v>
      </c>
      <c r="AJ200" t="s">
        <v>74</v>
      </c>
      <c r="AK200" t="s">
        <v>74</v>
      </c>
      <c r="AL200" t="s">
        <v>74</v>
      </c>
      <c r="AM200" t="s">
        <v>74</v>
      </c>
      <c r="AN200" t="s">
        <v>74</v>
      </c>
      <c r="AO200" t="s">
        <v>934</v>
      </c>
      <c r="AP200" t="s">
        <v>935</v>
      </c>
      <c r="AQ200" t="s">
        <v>74</v>
      </c>
      <c r="AR200" t="s">
        <v>74</v>
      </c>
      <c r="AS200" t="s">
        <v>74</v>
      </c>
      <c r="AT200" t="s">
        <v>1904</v>
      </c>
      <c r="AU200">
        <v>2024</v>
      </c>
      <c r="AV200">
        <v>15</v>
      </c>
      <c r="AW200">
        <v>30</v>
      </c>
      <c r="AX200" t="s">
        <v>74</v>
      </c>
      <c r="AY200" t="s">
        <v>74</v>
      </c>
      <c r="AZ200" t="s">
        <v>74</v>
      </c>
      <c r="BA200" t="s">
        <v>74</v>
      </c>
      <c r="BB200">
        <v>12108</v>
      </c>
      <c r="BC200">
        <v>12117</v>
      </c>
      <c r="BD200" t="s">
        <v>74</v>
      </c>
      <c r="BE200" t="s">
        <v>1905</v>
      </c>
      <c r="BF200" t="str">
        <f>HYPERLINK("http://dx.doi.org/10.1039/d4sc02010c","http://dx.doi.org/10.1039/d4sc02010c")</f>
        <v>http://dx.doi.org/10.1039/d4sc02010c</v>
      </c>
      <c r="BG200" t="s">
        <v>74</v>
      </c>
      <c r="BH200" t="s">
        <v>1815</v>
      </c>
      <c r="BI200" t="s">
        <v>74</v>
      </c>
      <c r="BJ200" t="s">
        <v>74</v>
      </c>
      <c r="BK200" t="s">
        <v>74</v>
      </c>
      <c r="BL200" t="s">
        <v>74</v>
      </c>
      <c r="BM200" t="s">
        <v>74</v>
      </c>
      <c r="BN200">
        <v>39092122</v>
      </c>
      <c r="BO200" t="s">
        <v>74</v>
      </c>
      <c r="BP200" t="s">
        <v>74</v>
      </c>
      <c r="BQ200" t="s">
        <v>74</v>
      </c>
      <c r="BR200" t="s">
        <v>74</v>
      </c>
      <c r="BS200" t="s">
        <v>1906</v>
      </c>
      <c r="BT200" t="str">
        <f>HYPERLINK("https%3A%2F%2Fwww.webofscience.com%2Fwos%2Fwoscc%2Ffull-record%2FWOS:001263210100001","View Full Record in Web of Science")</f>
        <v>View Full Record in Web of Science</v>
      </c>
    </row>
    <row r="201" spans="1:72" x14ac:dyDescent="0.2">
      <c r="A201" t="s">
        <v>72</v>
      </c>
      <c r="B201" t="s">
        <v>1907</v>
      </c>
      <c r="C201" t="s">
        <v>74</v>
      </c>
      <c r="D201" t="s">
        <v>74</v>
      </c>
      <c r="E201" t="s">
        <v>74</v>
      </c>
      <c r="F201" t="s">
        <v>1908</v>
      </c>
      <c r="G201" t="s">
        <v>74</v>
      </c>
      <c r="H201" t="s">
        <v>74</v>
      </c>
      <c r="I201" t="s">
        <v>1909</v>
      </c>
      <c r="J201" t="s">
        <v>1129</v>
      </c>
      <c r="K201" t="s">
        <v>74</v>
      </c>
      <c r="L201" t="s">
        <v>74</v>
      </c>
      <c r="M201" t="s">
        <v>74</v>
      </c>
      <c r="N201" t="s">
        <v>74</v>
      </c>
      <c r="O201" t="s">
        <v>74</v>
      </c>
      <c r="P201" t="s">
        <v>74</v>
      </c>
      <c r="Q201" t="s">
        <v>74</v>
      </c>
      <c r="R201" t="s">
        <v>74</v>
      </c>
      <c r="S201" t="s">
        <v>74</v>
      </c>
      <c r="T201" t="s">
        <v>74</v>
      </c>
      <c r="U201" t="s">
        <v>74</v>
      </c>
      <c r="V201" t="s">
        <v>1910</v>
      </c>
      <c r="W201" t="s">
        <v>74</v>
      </c>
      <c r="X201" t="s">
        <v>74</v>
      </c>
      <c r="Y201" t="s">
        <v>74</v>
      </c>
      <c r="Z201" t="s">
        <v>74</v>
      </c>
      <c r="AA201" t="s">
        <v>1911</v>
      </c>
      <c r="AB201" t="s">
        <v>1912</v>
      </c>
      <c r="AC201" t="s">
        <v>74</v>
      </c>
      <c r="AD201" t="s">
        <v>74</v>
      </c>
      <c r="AE201" t="s">
        <v>74</v>
      </c>
      <c r="AF201" t="s">
        <v>74</v>
      </c>
      <c r="AG201" t="s">
        <v>74</v>
      </c>
      <c r="AH201" t="s">
        <v>74</v>
      </c>
      <c r="AI201" t="s">
        <v>74</v>
      </c>
      <c r="AJ201" t="s">
        <v>74</v>
      </c>
      <c r="AK201" t="s">
        <v>74</v>
      </c>
      <c r="AL201" t="s">
        <v>74</v>
      </c>
      <c r="AM201" t="s">
        <v>74</v>
      </c>
      <c r="AN201" t="s">
        <v>74</v>
      </c>
      <c r="AO201" t="s">
        <v>74</v>
      </c>
      <c r="AP201" t="s">
        <v>1133</v>
      </c>
      <c r="AQ201" t="s">
        <v>74</v>
      </c>
      <c r="AR201" t="s">
        <v>74</v>
      </c>
      <c r="AS201" t="s">
        <v>74</v>
      </c>
      <c r="AT201" t="s">
        <v>92</v>
      </c>
      <c r="AU201">
        <v>2024</v>
      </c>
      <c r="AV201">
        <v>7</v>
      </c>
      <c r="AW201">
        <v>6</v>
      </c>
      <c r="AX201" t="s">
        <v>74</v>
      </c>
      <c r="AY201" t="s">
        <v>74</v>
      </c>
      <c r="AZ201" t="s">
        <v>74</v>
      </c>
      <c r="BA201" t="s">
        <v>74</v>
      </c>
      <c r="BB201" t="s">
        <v>74</v>
      </c>
      <c r="BC201" t="s">
        <v>74</v>
      </c>
      <c r="BD201" t="s">
        <v>74</v>
      </c>
      <c r="BE201" t="s">
        <v>1913</v>
      </c>
      <c r="BF201" t="str">
        <f>HYPERLINK("http://dx.doi.org/10.1002/eem2.12777","http://dx.doi.org/10.1002/eem2.12777")</f>
        <v>http://dx.doi.org/10.1002/eem2.12777</v>
      </c>
      <c r="BG201" t="s">
        <v>74</v>
      </c>
      <c r="BH201" t="s">
        <v>1815</v>
      </c>
      <c r="BI201" t="s">
        <v>74</v>
      </c>
      <c r="BJ201" t="s">
        <v>74</v>
      </c>
      <c r="BK201" t="s">
        <v>74</v>
      </c>
      <c r="BL201" t="s">
        <v>74</v>
      </c>
      <c r="BM201" t="s">
        <v>74</v>
      </c>
      <c r="BN201" t="s">
        <v>74</v>
      </c>
      <c r="BO201" t="s">
        <v>74</v>
      </c>
      <c r="BP201" t="s">
        <v>74</v>
      </c>
      <c r="BQ201" t="s">
        <v>74</v>
      </c>
      <c r="BR201" t="s">
        <v>74</v>
      </c>
      <c r="BS201" t="s">
        <v>1914</v>
      </c>
      <c r="BT201" t="str">
        <f>HYPERLINK("https%3A%2F%2Fwww.webofscience.com%2Fwos%2Fwoscc%2Ffull-record%2FWOS:001259471300001","View Full Record in Web of Science")</f>
        <v>View Full Record in Web of Science</v>
      </c>
    </row>
    <row r="202" spans="1:72" x14ac:dyDescent="0.2">
      <c r="A202" t="s">
        <v>72</v>
      </c>
      <c r="B202" t="s">
        <v>1915</v>
      </c>
      <c r="C202" t="s">
        <v>74</v>
      </c>
      <c r="D202" t="s">
        <v>74</v>
      </c>
      <c r="E202" t="s">
        <v>74</v>
      </c>
      <c r="F202" t="s">
        <v>1916</v>
      </c>
      <c r="G202" t="s">
        <v>74</v>
      </c>
      <c r="H202" t="s">
        <v>74</v>
      </c>
      <c r="I202" t="s">
        <v>1917</v>
      </c>
      <c r="J202" t="s">
        <v>98</v>
      </c>
      <c r="K202" t="s">
        <v>74</v>
      </c>
      <c r="L202" t="s">
        <v>74</v>
      </c>
      <c r="M202" t="s">
        <v>74</v>
      </c>
      <c r="N202" t="s">
        <v>74</v>
      </c>
      <c r="O202" t="s">
        <v>74</v>
      </c>
      <c r="P202" t="s">
        <v>74</v>
      </c>
      <c r="Q202" t="s">
        <v>74</v>
      </c>
      <c r="R202" t="s">
        <v>74</v>
      </c>
      <c r="S202" t="s">
        <v>74</v>
      </c>
      <c r="T202" t="s">
        <v>74</v>
      </c>
      <c r="U202" t="s">
        <v>74</v>
      </c>
      <c r="V202" t="s">
        <v>1918</v>
      </c>
      <c r="W202" t="s">
        <v>74</v>
      </c>
      <c r="X202" t="s">
        <v>74</v>
      </c>
      <c r="Y202" t="s">
        <v>74</v>
      </c>
      <c r="Z202" t="s">
        <v>74</v>
      </c>
      <c r="AA202" t="s">
        <v>74</v>
      </c>
      <c r="AB202" t="s">
        <v>1496</v>
      </c>
      <c r="AC202" t="s">
        <v>74</v>
      </c>
      <c r="AD202" t="s">
        <v>74</v>
      </c>
      <c r="AE202" t="s">
        <v>74</v>
      </c>
      <c r="AF202" t="s">
        <v>74</v>
      </c>
      <c r="AG202" t="s">
        <v>74</v>
      </c>
      <c r="AH202" t="s">
        <v>74</v>
      </c>
      <c r="AI202" t="s">
        <v>74</v>
      </c>
      <c r="AJ202" t="s">
        <v>74</v>
      </c>
      <c r="AK202" t="s">
        <v>74</v>
      </c>
      <c r="AL202" t="s">
        <v>74</v>
      </c>
      <c r="AM202" t="s">
        <v>74</v>
      </c>
      <c r="AN202" t="s">
        <v>74</v>
      </c>
      <c r="AO202" t="s">
        <v>101</v>
      </c>
      <c r="AP202" t="s">
        <v>102</v>
      </c>
      <c r="AQ202" t="s">
        <v>74</v>
      </c>
      <c r="AR202" t="s">
        <v>74</v>
      </c>
      <c r="AS202" t="s">
        <v>74</v>
      </c>
      <c r="AT202" t="s">
        <v>1919</v>
      </c>
      <c r="AU202">
        <v>2024</v>
      </c>
      <c r="AV202">
        <v>613</v>
      </c>
      <c r="AW202" t="s">
        <v>74</v>
      </c>
      <c r="AX202" t="s">
        <v>74</v>
      </c>
      <c r="AY202" t="s">
        <v>74</v>
      </c>
      <c r="AZ202" t="s">
        <v>74</v>
      </c>
      <c r="BA202" t="s">
        <v>74</v>
      </c>
      <c r="BB202" t="s">
        <v>74</v>
      </c>
      <c r="BC202" t="s">
        <v>74</v>
      </c>
      <c r="BD202">
        <v>234950</v>
      </c>
      <c r="BE202" t="s">
        <v>1920</v>
      </c>
      <c r="BF202" t="str">
        <f>HYPERLINK("http://dx.doi.org/10.1016/j.jpowsour.2024.234950","http://dx.doi.org/10.1016/j.jpowsour.2024.234950")</f>
        <v>http://dx.doi.org/10.1016/j.jpowsour.2024.234950</v>
      </c>
      <c r="BG202" t="s">
        <v>74</v>
      </c>
      <c r="BH202" t="s">
        <v>1921</v>
      </c>
      <c r="BI202" t="s">
        <v>74</v>
      </c>
      <c r="BJ202" t="s">
        <v>74</v>
      </c>
      <c r="BK202" t="s">
        <v>74</v>
      </c>
      <c r="BL202" t="s">
        <v>74</v>
      </c>
      <c r="BM202" t="s">
        <v>74</v>
      </c>
      <c r="BN202" t="s">
        <v>74</v>
      </c>
      <c r="BO202" t="s">
        <v>74</v>
      </c>
      <c r="BP202" t="s">
        <v>74</v>
      </c>
      <c r="BQ202" t="s">
        <v>74</v>
      </c>
      <c r="BR202" t="s">
        <v>74</v>
      </c>
      <c r="BS202" t="s">
        <v>1922</v>
      </c>
      <c r="BT202" t="str">
        <f>HYPERLINK("https%3A%2F%2Fwww.webofscience.com%2Fwos%2Fwoscc%2Ffull-record%2FWOS:001347220800001","View Full Record in Web of Science")</f>
        <v>View Full Record in Web of Science</v>
      </c>
    </row>
    <row r="203" spans="1:72" x14ac:dyDescent="0.2">
      <c r="A203" t="s">
        <v>72</v>
      </c>
      <c r="B203" t="s">
        <v>1923</v>
      </c>
      <c r="C203" t="s">
        <v>74</v>
      </c>
      <c r="D203" t="s">
        <v>74</v>
      </c>
      <c r="E203" t="s">
        <v>74</v>
      </c>
      <c r="F203" t="s">
        <v>1924</v>
      </c>
      <c r="G203" t="s">
        <v>74</v>
      </c>
      <c r="H203" t="s">
        <v>74</v>
      </c>
      <c r="I203" t="s">
        <v>1925</v>
      </c>
      <c r="J203" t="s">
        <v>161</v>
      </c>
      <c r="K203" t="s">
        <v>74</v>
      </c>
      <c r="L203" t="s">
        <v>74</v>
      </c>
      <c r="M203" t="s">
        <v>74</v>
      </c>
      <c r="N203" t="s">
        <v>74</v>
      </c>
      <c r="O203" t="s">
        <v>74</v>
      </c>
      <c r="P203" t="s">
        <v>74</v>
      </c>
      <c r="Q203" t="s">
        <v>74</v>
      </c>
      <c r="R203" t="s">
        <v>74</v>
      </c>
      <c r="S203" t="s">
        <v>74</v>
      </c>
      <c r="T203" t="s">
        <v>74</v>
      </c>
      <c r="U203" t="s">
        <v>74</v>
      </c>
      <c r="V203" t="s">
        <v>1926</v>
      </c>
      <c r="W203" t="s">
        <v>74</v>
      </c>
      <c r="X203" t="s">
        <v>74</v>
      </c>
      <c r="Y203" t="s">
        <v>74</v>
      </c>
      <c r="Z203" t="s">
        <v>74</v>
      </c>
      <c r="AA203" t="s">
        <v>1927</v>
      </c>
      <c r="AB203" t="s">
        <v>1928</v>
      </c>
      <c r="AC203" t="s">
        <v>74</v>
      </c>
      <c r="AD203" t="s">
        <v>74</v>
      </c>
      <c r="AE203" t="s">
        <v>74</v>
      </c>
      <c r="AF203" t="s">
        <v>74</v>
      </c>
      <c r="AG203" t="s">
        <v>74</v>
      </c>
      <c r="AH203" t="s">
        <v>74</v>
      </c>
      <c r="AI203" t="s">
        <v>74</v>
      </c>
      <c r="AJ203" t="s">
        <v>74</v>
      </c>
      <c r="AK203" t="s">
        <v>74</v>
      </c>
      <c r="AL203" t="s">
        <v>74</v>
      </c>
      <c r="AM203" t="s">
        <v>74</v>
      </c>
      <c r="AN203" t="s">
        <v>74</v>
      </c>
      <c r="AO203" t="s">
        <v>163</v>
      </c>
      <c r="AP203" t="s">
        <v>164</v>
      </c>
      <c r="AQ203" t="s">
        <v>74</v>
      </c>
      <c r="AR203" t="s">
        <v>74</v>
      </c>
      <c r="AS203" t="s">
        <v>74</v>
      </c>
      <c r="AT203" t="s">
        <v>165</v>
      </c>
      <c r="AU203">
        <v>2024</v>
      </c>
      <c r="AV203">
        <v>494</v>
      </c>
      <c r="AW203" t="s">
        <v>74</v>
      </c>
      <c r="AX203" t="s">
        <v>74</v>
      </c>
      <c r="AY203" t="s">
        <v>74</v>
      </c>
      <c r="AZ203" t="s">
        <v>74</v>
      </c>
      <c r="BA203" t="s">
        <v>74</v>
      </c>
      <c r="BB203" t="s">
        <v>74</v>
      </c>
      <c r="BC203" t="s">
        <v>74</v>
      </c>
      <c r="BD203">
        <v>153104</v>
      </c>
      <c r="BE203" t="s">
        <v>1929</v>
      </c>
      <c r="BF203" t="str">
        <f>HYPERLINK("http://dx.doi.org/10.1016/j.cej.2024.153104","http://dx.doi.org/10.1016/j.cej.2024.153104")</f>
        <v>http://dx.doi.org/10.1016/j.cej.2024.153104</v>
      </c>
      <c r="BG203" t="s">
        <v>74</v>
      </c>
      <c r="BH203" t="s">
        <v>1921</v>
      </c>
      <c r="BI203" t="s">
        <v>74</v>
      </c>
      <c r="BJ203" t="s">
        <v>74</v>
      </c>
      <c r="BK203" t="s">
        <v>74</v>
      </c>
      <c r="BL203" t="s">
        <v>74</v>
      </c>
      <c r="BM203" t="s">
        <v>74</v>
      </c>
      <c r="BN203" t="s">
        <v>74</v>
      </c>
      <c r="BO203" t="s">
        <v>74</v>
      </c>
      <c r="BP203" t="s">
        <v>74</v>
      </c>
      <c r="BQ203" t="s">
        <v>74</v>
      </c>
      <c r="BR203" t="s">
        <v>74</v>
      </c>
      <c r="BS203" t="s">
        <v>1930</v>
      </c>
      <c r="BT203" t="str">
        <f>HYPERLINK("https%3A%2F%2Fwww.webofscience.com%2Fwos%2Fwoscc%2Ffull-record%2FWOS:001333658800001","View Full Record in Web of Science")</f>
        <v>View Full Record in Web of Science</v>
      </c>
    </row>
    <row r="204" spans="1:72" x14ac:dyDescent="0.2">
      <c r="A204" t="s">
        <v>72</v>
      </c>
      <c r="B204" t="s">
        <v>1931</v>
      </c>
      <c r="C204" t="s">
        <v>74</v>
      </c>
      <c r="D204" t="s">
        <v>74</v>
      </c>
      <c r="E204" t="s">
        <v>74</v>
      </c>
      <c r="F204" t="s">
        <v>1932</v>
      </c>
      <c r="G204" t="s">
        <v>74</v>
      </c>
      <c r="H204" t="s">
        <v>74</v>
      </c>
      <c r="I204" t="s">
        <v>1933</v>
      </c>
      <c r="J204" t="s">
        <v>411</v>
      </c>
      <c r="K204" t="s">
        <v>74</v>
      </c>
      <c r="L204" t="s">
        <v>74</v>
      </c>
      <c r="M204" t="s">
        <v>74</v>
      </c>
      <c r="N204" t="s">
        <v>74</v>
      </c>
      <c r="O204" t="s">
        <v>74</v>
      </c>
      <c r="P204" t="s">
        <v>74</v>
      </c>
      <c r="Q204" t="s">
        <v>74</v>
      </c>
      <c r="R204" t="s">
        <v>74</v>
      </c>
      <c r="S204" t="s">
        <v>74</v>
      </c>
      <c r="T204" t="s">
        <v>74</v>
      </c>
      <c r="U204" t="s">
        <v>74</v>
      </c>
      <c r="V204" t="s">
        <v>1934</v>
      </c>
      <c r="W204" t="s">
        <v>74</v>
      </c>
      <c r="X204" t="s">
        <v>74</v>
      </c>
      <c r="Y204" t="s">
        <v>74</v>
      </c>
      <c r="Z204" t="s">
        <v>74</v>
      </c>
      <c r="AA204" t="s">
        <v>1935</v>
      </c>
      <c r="AB204" t="s">
        <v>74</v>
      </c>
      <c r="AC204" t="s">
        <v>74</v>
      </c>
      <c r="AD204" t="s">
        <v>74</v>
      </c>
      <c r="AE204" t="s">
        <v>74</v>
      </c>
      <c r="AF204" t="s">
        <v>74</v>
      </c>
      <c r="AG204" t="s">
        <v>74</v>
      </c>
      <c r="AH204" t="s">
        <v>74</v>
      </c>
      <c r="AI204" t="s">
        <v>74</v>
      </c>
      <c r="AJ204" t="s">
        <v>74</v>
      </c>
      <c r="AK204" t="s">
        <v>74</v>
      </c>
      <c r="AL204" t="s">
        <v>74</v>
      </c>
      <c r="AM204" t="s">
        <v>74</v>
      </c>
      <c r="AN204" t="s">
        <v>74</v>
      </c>
      <c r="AO204" t="s">
        <v>414</v>
      </c>
      <c r="AP204" t="s">
        <v>415</v>
      </c>
      <c r="AQ204" t="s">
        <v>74</v>
      </c>
      <c r="AR204" t="s">
        <v>74</v>
      </c>
      <c r="AS204" t="s">
        <v>74</v>
      </c>
      <c r="AT204" t="s">
        <v>113</v>
      </c>
      <c r="AU204">
        <v>2024</v>
      </c>
      <c r="AV204">
        <v>20</v>
      </c>
      <c r="AW204">
        <v>42</v>
      </c>
      <c r="AX204" t="s">
        <v>74</v>
      </c>
      <c r="AY204" t="s">
        <v>74</v>
      </c>
      <c r="AZ204" t="s">
        <v>74</v>
      </c>
      <c r="BA204" t="s">
        <v>74</v>
      </c>
      <c r="BB204" t="s">
        <v>74</v>
      </c>
      <c r="BC204" t="s">
        <v>74</v>
      </c>
      <c r="BD204" t="s">
        <v>74</v>
      </c>
      <c r="BE204" t="s">
        <v>1936</v>
      </c>
      <c r="BF204" t="str">
        <f>HYPERLINK("http://dx.doi.org/10.1002/smll.202311157","http://dx.doi.org/10.1002/smll.202311157")</f>
        <v>http://dx.doi.org/10.1002/smll.202311157</v>
      </c>
      <c r="BG204" t="s">
        <v>74</v>
      </c>
      <c r="BH204" t="s">
        <v>1921</v>
      </c>
      <c r="BI204" t="s">
        <v>74</v>
      </c>
      <c r="BJ204" t="s">
        <v>74</v>
      </c>
      <c r="BK204" t="s">
        <v>74</v>
      </c>
      <c r="BL204" t="s">
        <v>74</v>
      </c>
      <c r="BM204" t="s">
        <v>74</v>
      </c>
      <c r="BN204">
        <v>38881263</v>
      </c>
      <c r="BO204" t="s">
        <v>74</v>
      </c>
      <c r="BP204" t="s">
        <v>74</v>
      </c>
      <c r="BQ204" t="s">
        <v>74</v>
      </c>
      <c r="BR204" t="s">
        <v>74</v>
      </c>
      <c r="BS204" t="s">
        <v>1937</v>
      </c>
      <c r="BT204" t="str">
        <f>HYPERLINK("https%3A%2F%2Fwww.webofscience.com%2Fwos%2Fwoscc%2Ffull-record%2FWOS:001248813300001","View Full Record in Web of Science")</f>
        <v>View Full Record in Web of Science</v>
      </c>
    </row>
    <row r="205" spans="1:72" x14ac:dyDescent="0.2">
      <c r="A205" t="s">
        <v>72</v>
      </c>
      <c r="B205" t="s">
        <v>1938</v>
      </c>
      <c r="C205" t="s">
        <v>74</v>
      </c>
      <c r="D205" t="s">
        <v>74</v>
      </c>
      <c r="E205" t="s">
        <v>74</v>
      </c>
      <c r="F205" t="s">
        <v>1939</v>
      </c>
      <c r="G205" t="s">
        <v>74</v>
      </c>
      <c r="H205" t="s">
        <v>74</v>
      </c>
      <c r="I205" t="s">
        <v>1940</v>
      </c>
      <c r="J205" t="s">
        <v>1941</v>
      </c>
      <c r="K205" t="s">
        <v>74</v>
      </c>
      <c r="L205" t="s">
        <v>74</v>
      </c>
      <c r="M205" t="s">
        <v>74</v>
      </c>
      <c r="N205" t="s">
        <v>74</v>
      </c>
      <c r="O205" t="s">
        <v>74</v>
      </c>
      <c r="P205" t="s">
        <v>74</v>
      </c>
      <c r="Q205" t="s">
        <v>74</v>
      </c>
      <c r="R205" t="s">
        <v>74</v>
      </c>
      <c r="S205" t="s">
        <v>74</v>
      </c>
      <c r="T205" t="s">
        <v>74</v>
      </c>
      <c r="U205" t="s">
        <v>74</v>
      </c>
      <c r="V205" t="s">
        <v>1942</v>
      </c>
      <c r="W205" t="s">
        <v>74</v>
      </c>
      <c r="X205" t="s">
        <v>74</v>
      </c>
      <c r="Y205" t="s">
        <v>74</v>
      </c>
      <c r="Z205" t="s">
        <v>74</v>
      </c>
      <c r="AA205" t="s">
        <v>1943</v>
      </c>
      <c r="AB205" t="s">
        <v>1944</v>
      </c>
      <c r="AC205" t="s">
        <v>74</v>
      </c>
      <c r="AD205" t="s">
        <v>74</v>
      </c>
      <c r="AE205" t="s">
        <v>74</v>
      </c>
      <c r="AF205" t="s">
        <v>74</v>
      </c>
      <c r="AG205" t="s">
        <v>74</v>
      </c>
      <c r="AH205" t="s">
        <v>74</v>
      </c>
      <c r="AI205" t="s">
        <v>74</v>
      </c>
      <c r="AJ205" t="s">
        <v>74</v>
      </c>
      <c r="AK205" t="s">
        <v>74</v>
      </c>
      <c r="AL205" t="s">
        <v>74</v>
      </c>
      <c r="AM205" t="s">
        <v>74</v>
      </c>
      <c r="AN205" t="s">
        <v>74</v>
      </c>
      <c r="AO205" t="s">
        <v>74</v>
      </c>
      <c r="AP205" t="s">
        <v>1945</v>
      </c>
      <c r="AQ205" t="s">
        <v>74</v>
      </c>
      <c r="AR205" t="s">
        <v>74</v>
      </c>
      <c r="AS205" t="s">
        <v>74</v>
      </c>
      <c r="AT205" t="s">
        <v>1946</v>
      </c>
      <c r="AU205">
        <v>2024</v>
      </c>
      <c r="AV205">
        <v>7</v>
      </c>
      <c r="AW205">
        <v>12</v>
      </c>
      <c r="AX205" t="s">
        <v>74</v>
      </c>
      <c r="AY205" t="s">
        <v>74</v>
      </c>
      <c r="AZ205" t="s">
        <v>74</v>
      </c>
      <c r="BA205" t="s">
        <v>74</v>
      </c>
      <c r="BB205">
        <v>14654</v>
      </c>
      <c r="BC205">
        <v>14664</v>
      </c>
      <c r="BD205" t="s">
        <v>74</v>
      </c>
      <c r="BE205" t="s">
        <v>1947</v>
      </c>
      <c r="BF205" t="str">
        <f>HYPERLINK("http://dx.doi.org/10.1021/acsanm.4c02221","http://dx.doi.org/10.1021/acsanm.4c02221")</f>
        <v>http://dx.doi.org/10.1021/acsanm.4c02221</v>
      </c>
      <c r="BG205" t="s">
        <v>74</v>
      </c>
      <c r="BH205" t="s">
        <v>1921</v>
      </c>
      <c r="BI205" t="s">
        <v>74</v>
      </c>
      <c r="BJ205" t="s">
        <v>74</v>
      </c>
      <c r="BK205" t="s">
        <v>74</v>
      </c>
      <c r="BL205" t="s">
        <v>74</v>
      </c>
      <c r="BM205" t="s">
        <v>74</v>
      </c>
      <c r="BN205" t="s">
        <v>74</v>
      </c>
      <c r="BO205" t="s">
        <v>74</v>
      </c>
      <c r="BP205" t="s">
        <v>74</v>
      </c>
      <c r="BQ205" t="s">
        <v>74</v>
      </c>
      <c r="BR205" t="s">
        <v>74</v>
      </c>
      <c r="BS205" t="s">
        <v>1948</v>
      </c>
      <c r="BT205" t="str">
        <f>HYPERLINK("https%3A%2F%2Fwww.webofscience.com%2Fwos%2Fwoscc%2Ffull-record%2FWOS:001247403900001","View Full Record in Web of Science")</f>
        <v>View Full Record in Web of Science</v>
      </c>
    </row>
    <row r="206" spans="1:72" x14ac:dyDescent="0.2">
      <c r="A206" t="s">
        <v>72</v>
      </c>
      <c r="B206" t="s">
        <v>1949</v>
      </c>
      <c r="C206" t="s">
        <v>74</v>
      </c>
      <c r="D206" t="s">
        <v>74</v>
      </c>
      <c r="E206" t="s">
        <v>74</v>
      </c>
      <c r="F206" t="s">
        <v>1950</v>
      </c>
      <c r="G206" t="s">
        <v>74</v>
      </c>
      <c r="H206" t="s">
        <v>74</v>
      </c>
      <c r="I206" t="s">
        <v>1951</v>
      </c>
      <c r="J206" t="s">
        <v>411</v>
      </c>
      <c r="K206" t="s">
        <v>74</v>
      </c>
      <c r="L206" t="s">
        <v>74</v>
      </c>
      <c r="M206" t="s">
        <v>74</v>
      </c>
      <c r="N206" t="s">
        <v>74</v>
      </c>
      <c r="O206" t="s">
        <v>74</v>
      </c>
      <c r="P206" t="s">
        <v>74</v>
      </c>
      <c r="Q206" t="s">
        <v>74</v>
      </c>
      <c r="R206" t="s">
        <v>74</v>
      </c>
      <c r="S206" t="s">
        <v>74</v>
      </c>
      <c r="T206" t="s">
        <v>74</v>
      </c>
      <c r="U206" t="s">
        <v>74</v>
      </c>
      <c r="V206" t="s">
        <v>1952</v>
      </c>
      <c r="W206" t="s">
        <v>74</v>
      </c>
      <c r="X206" t="s">
        <v>74</v>
      </c>
      <c r="Y206" t="s">
        <v>74</v>
      </c>
      <c r="Z206" t="s">
        <v>74</v>
      </c>
      <c r="AA206" t="s">
        <v>1953</v>
      </c>
      <c r="AB206" t="s">
        <v>1954</v>
      </c>
      <c r="AC206" t="s">
        <v>74</v>
      </c>
      <c r="AD206" t="s">
        <v>74</v>
      </c>
      <c r="AE206" t="s">
        <v>74</v>
      </c>
      <c r="AF206" t="s">
        <v>74</v>
      </c>
      <c r="AG206" t="s">
        <v>74</v>
      </c>
      <c r="AH206" t="s">
        <v>74</v>
      </c>
      <c r="AI206" t="s">
        <v>74</v>
      </c>
      <c r="AJ206" t="s">
        <v>74</v>
      </c>
      <c r="AK206" t="s">
        <v>74</v>
      </c>
      <c r="AL206" t="s">
        <v>74</v>
      </c>
      <c r="AM206" t="s">
        <v>74</v>
      </c>
      <c r="AN206" t="s">
        <v>74</v>
      </c>
      <c r="AO206" t="s">
        <v>414</v>
      </c>
      <c r="AP206" t="s">
        <v>415</v>
      </c>
      <c r="AQ206" t="s">
        <v>74</v>
      </c>
      <c r="AR206" t="s">
        <v>74</v>
      </c>
      <c r="AS206" t="s">
        <v>74</v>
      </c>
      <c r="AT206" t="s">
        <v>113</v>
      </c>
      <c r="AU206">
        <v>2024</v>
      </c>
      <c r="AV206">
        <v>20</v>
      </c>
      <c r="AW206">
        <v>40</v>
      </c>
      <c r="AX206" t="s">
        <v>74</v>
      </c>
      <c r="AY206" t="s">
        <v>74</v>
      </c>
      <c r="AZ206" t="s">
        <v>74</v>
      </c>
      <c r="BA206" t="s">
        <v>74</v>
      </c>
      <c r="BB206" t="s">
        <v>74</v>
      </c>
      <c r="BC206" t="s">
        <v>74</v>
      </c>
      <c r="BD206">
        <v>2401439</v>
      </c>
      <c r="BE206" t="s">
        <v>1955</v>
      </c>
      <c r="BF206" t="str">
        <f>HYPERLINK("http://dx.doi.org/10.1002/smll.202401439","http://dx.doi.org/10.1002/smll.202401439")</f>
        <v>http://dx.doi.org/10.1002/smll.202401439</v>
      </c>
      <c r="BG206" t="s">
        <v>74</v>
      </c>
      <c r="BH206" t="s">
        <v>1921</v>
      </c>
      <c r="BI206" t="s">
        <v>74</v>
      </c>
      <c r="BJ206" t="s">
        <v>74</v>
      </c>
      <c r="BK206" t="s">
        <v>74</v>
      </c>
      <c r="BL206" t="s">
        <v>74</v>
      </c>
      <c r="BM206" t="s">
        <v>74</v>
      </c>
      <c r="BN206">
        <v>38845528</v>
      </c>
      <c r="BO206" t="s">
        <v>74</v>
      </c>
      <c r="BP206" t="s">
        <v>74</v>
      </c>
      <c r="BQ206" t="s">
        <v>74</v>
      </c>
      <c r="BR206" t="s">
        <v>74</v>
      </c>
      <c r="BS206" t="s">
        <v>1956</v>
      </c>
      <c r="BT206" t="str">
        <f>HYPERLINK("https%3A%2F%2Fwww.webofscience.com%2Fwos%2Fwoscc%2Ffull-record%2FWOS:001239923400001","View Full Record in Web of Science")</f>
        <v>View Full Record in Web of Science</v>
      </c>
    </row>
    <row r="207" spans="1:72" x14ac:dyDescent="0.2">
      <c r="A207" t="s">
        <v>72</v>
      </c>
      <c r="B207" t="s">
        <v>1957</v>
      </c>
      <c r="C207" t="s">
        <v>74</v>
      </c>
      <c r="D207" t="s">
        <v>74</v>
      </c>
      <c r="E207" t="s">
        <v>74</v>
      </c>
      <c r="F207" t="s">
        <v>1958</v>
      </c>
      <c r="G207" t="s">
        <v>74</v>
      </c>
      <c r="H207" t="s">
        <v>74</v>
      </c>
      <c r="I207" t="s">
        <v>1959</v>
      </c>
      <c r="J207" t="s">
        <v>231</v>
      </c>
      <c r="K207" t="s">
        <v>74</v>
      </c>
      <c r="L207" t="s">
        <v>74</v>
      </c>
      <c r="M207" t="s">
        <v>74</v>
      </c>
      <c r="N207" t="s">
        <v>74</v>
      </c>
      <c r="O207" t="s">
        <v>74</v>
      </c>
      <c r="P207" t="s">
        <v>74</v>
      </c>
      <c r="Q207" t="s">
        <v>74</v>
      </c>
      <c r="R207" t="s">
        <v>74</v>
      </c>
      <c r="S207" t="s">
        <v>74</v>
      </c>
      <c r="T207" t="s">
        <v>74</v>
      </c>
      <c r="U207" t="s">
        <v>74</v>
      </c>
      <c r="V207" t="s">
        <v>1960</v>
      </c>
      <c r="W207" t="s">
        <v>74</v>
      </c>
      <c r="X207" t="s">
        <v>74</v>
      </c>
      <c r="Y207" t="s">
        <v>74</v>
      </c>
      <c r="Z207" t="s">
        <v>74</v>
      </c>
      <c r="AA207" t="s">
        <v>1961</v>
      </c>
      <c r="AB207" t="s">
        <v>74</v>
      </c>
      <c r="AC207" t="s">
        <v>74</v>
      </c>
      <c r="AD207" t="s">
        <v>74</v>
      </c>
      <c r="AE207" t="s">
        <v>74</v>
      </c>
      <c r="AF207" t="s">
        <v>74</v>
      </c>
      <c r="AG207" t="s">
        <v>74</v>
      </c>
      <c r="AH207" t="s">
        <v>74</v>
      </c>
      <c r="AI207" t="s">
        <v>74</v>
      </c>
      <c r="AJ207" t="s">
        <v>74</v>
      </c>
      <c r="AK207" t="s">
        <v>74</v>
      </c>
      <c r="AL207" t="s">
        <v>74</v>
      </c>
      <c r="AM207" t="s">
        <v>74</v>
      </c>
      <c r="AN207" t="s">
        <v>74</v>
      </c>
      <c r="AO207" t="s">
        <v>74</v>
      </c>
      <c r="AP207" t="s">
        <v>234</v>
      </c>
      <c r="AQ207" t="s">
        <v>74</v>
      </c>
      <c r="AR207" t="s">
        <v>74</v>
      </c>
      <c r="AS207" t="s">
        <v>74</v>
      </c>
      <c r="AT207" t="s">
        <v>378</v>
      </c>
      <c r="AU207">
        <v>2024</v>
      </c>
      <c r="AV207">
        <v>63</v>
      </c>
      <c r="AW207">
        <v>27</v>
      </c>
      <c r="AX207" t="s">
        <v>74</v>
      </c>
      <c r="AY207" t="s">
        <v>74</v>
      </c>
      <c r="AZ207" t="s">
        <v>74</v>
      </c>
      <c r="BA207" t="s">
        <v>74</v>
      </c>
      <c r="BB207" t="s">
        <v>74</v>
      </c>
      <c r="BC207" t="s">
        <v>74</v>
      </c>
      <c r="BD207" t="s">
        <v>74</v>
      </c>
      <c r="BE207" t="s">
        <v>1962</v>
      </c>
      <c r="BF207" t="str">
        <f>HYPERLINK("http://dx.doi.org/10.1002/anie.202403527","http://dx.doi.org/10.1002/anie.202403527")</f>
        <v>http://dx.doi.org/10.1002/anie.202403527</v>
      </c>
      <c r="BG207" t="s">
        <v>74</v>
      </c>
      <c r="BH207" t="s">
        <v>1921</v>
      </c>
      <c r="BI207" t="s">
        <v>74</v>
      </c>
      <c r="BJ207" t="s">
        <v>74</v>
      </c>
      <c r="BK207" t="s">
        <v>74</v>
      </c>
      <c r="BL207" t="s">
        <v>74</v>
      </c>
      <c r="BM207" t="s">
        <v>74</v>
      </c>
      <c r="BN207">
        <v>38648110</v>
      </c>
      <c r="BO207" t="s">
        <v>74</v>
      </c>
      <c r="BP207" t="s">
        <v>74</v>
      </c>
      <c r="BQ207" t="s">
        <v>74</v>
      </c>
      <c r="BR207" t="s">
        <v>74</v>
      </c>
      <c r="BS207" t="s">
        <v>1963</v>
      </c>
      <c r="BT207" t="str">
        <f>HYPERLINK("https%3A%2F%2Fwww.webofscience.com%2Fwos%2Fwoscc%2Ffull-record%2FWOS:001237670500001","View Full Record in Web of Science")</f>
        <v>View Full Record in Web of Science</v>
      </c>
    </row>
    <row r="208" spans="1:72" x14ac:dyDescent="0.2">
      <c r="A208" t="s">
        <v>72</v>
      </c>
      <c r="B208" t="s">
        <v>1964</v>
      </c>
      <c r="C208" t="s">
        <v>74</v>
      </c>
      <c r="D208" t="s">
        <v>74</v>
      </c>
      <c r="E208" t="s">
        <v>74</v>
      </c>
      <c r="F208" t="s">
        <v>1965</v>
      </c>
      <c r="G208" t="s">
        <v>74</v>
      </c>
      <c r="H208" t="s">
        <v>74</v>
      </c>
      <c r="I208" t="s">
        <v>1966</v>
      </c>
      <c r="J208" t="s">
        <v>1967</v>
      </c>
      <c r="K208" t="s">
        <v>74</v>
      </c>
      <c r="L208" t="s">
        <v>74</v>
      </c>
      <c r="M208" t="s">
        <v>74</v>
      </c>
      <c r="N208" t="s">
        <v>74</v>
      </c>
      <c r="O208" t="s">
        <v>74</v>
      </c>
      <c r="P208" t="s">
        <v>74</v>
      </c>
      <c r="Q208" t="s">
        <v>74</v>
      </c>
      <c r="R208" t="s">
        <v>74</v>
      </c>
      <c r="S208" t="s">
        <v>74</v>
      </c>
      <c r="T208" t="s">
        <v>74</v>
      </c>
      <c r="U208" t="s">
        <v>74</v>
      </c>
      <c r="V208" t="s">
        <v>1968</v>
      </c>
      <c r="W208" t="s">
        <v>74</v>
      </c>
      <c r="X208" t="s">
        <v>74</v>
      </c>
      <c r="Y208" t="s">
        <v>74</v>
      </c>
      <c r="Z208" t="s">
        <v>74</v>
      </c>
      <c r="AA208" t="s">
        <v>1969</v>
      </c>
      <c r="AB208" t="s">
        <v>1970</v>
      </c>
      <c r="AC208" t="s">
        <v>74</v>
      </c>
      <c r="AD208" t="s">
        <v>74</v>
      </c>
      <c r="AE208" t="s">
        <v>74</v>
      </c>
      <c r="AF208" t="s">
        <v>74</v>
      </c>
      <c r="AG208" t="s">
        <v>74</v>
      </c>
      <c r="AH208" t="s">
        <v>74</v>
      </c>
      <c r="AI208" t="s">
        <v>74</v>
      </c>
      <c r="AJ208" t="s">
        <v>74</v>
      </c>
      <c r="AK208" t="s">
        <v>74</v>
      </c>
      <c r="AL208" t="s">
        <v>74</v>
      </c>
      <c r="AM208" t="s">
        <v>74</v>
      </c>
      <c r="AN208" t="s">
        <v>74</v>
      </c>
      <c r="AO208" t="s">
        <v>74</v>
      </c>
      <c r="AP208" t="s">
        <v>1971</v>
      </c>
      <c r="AQ208" t="s">
        <v>74</v>
      </c>
      <c r="AR208" t="s">
        <v>74</v>
      </c>
      <c r="AS208" t="s">
        <v>74</v>
      </c>
      <c r="AT208" t="s">
        <v>1972</v>
      </c>
      <c r="AU208">
        <v>2024</v>
      </c>
      <c r="AV208">
        <v>10</v>
      </c>
      <c r="AW208">
        <v>6</v>
      </c>
      <c r="AX208" t="s">
        <v>74</v>
      </c>
      <c r="AY208" t="s">
        <v>74</v>
      </c>
      <c r="AZ208" t="s">
        <v>74</v>
      </c>
      <c r="BA208" t="s">
        <v>74</v>
      </c>
      <c r="BB208" t="s">
        <v>74</v>
      </c>
      <c r="BC208" t="s">
        <v>74</v>
      </c>
      <c r="BD208">
        <v>389</v>
      </c>
      <c r="BE208" t="s">
        <v>1973</v>
      </c>
      <c r="BF208" t="str">
        <f>HYPERLINK("http://dx.doi.org/10.3390/gels10060389","http://dx.doi.org/10.3390/gels10060389")</f>
        <v>http://dx.doi.org/10.3390/gels10060389</v>
      </c>
      <c r="BG208" t="s">
        <v>74</v>
      </c>
      <c r="BH208" t="s">
        <v>74</v>
      </c>
      <c r="BI208" t="s">
        <v>74</v>
      </c>
      <c r="BJ208" t="s">
        <v>74</v>
      </c>
      <c r="BK208" t="s">
        <v>74</v>
      </c>
      <c r="BL208" t="s">
        <v>74</v>
      </c>
      <c r="BM208" t="s">
        <v>74</v>
      </c>
      <c r="BN208">
        <v>38920935</v>
      </c>
      <c r="BO208" t="s">
        <v>74</v>
      </c>
      <c r="BP208" t="s">
        <v>74</v>
      </c>
      <c r="BQ208" t="s">
        <v>74</v>
      </c>
      <c r="BR208" t="s">
        <v>74</v>
      </c>
      <c r="BS208" t="s">
        <v>1974</v>
      </c>
      <c r="BT208" t="str">
        <f>HYPERLINK("https%3A%2F%2Fwww.webofscience.com%2Fwos%2Fwoscc%2Ffull-record%2FWOS:001256148600001","View Full Record in Web of Science")</f>
        <v>View Full Record in Web of Science</v>
      </c>
    </row>
    <row r="209" spans="1:72" x14ac:dyDescent="0.2">
      <c r="A209" t="s">
        <v>72</v>
      </c>
      <c r="B209" t="s">
        <v>1975</v>
      </c>
      <c r="C209" t="s">
        <v>74</v>
      </c>
      <c r="D209" t="s">
        <v>74</v>
      </c>
      <c r="E209" t="s">
        <v>74</v>
      </c>
      <c r="F209" t="s">
        <v>1976</v>
      </c>
      <c r="G209" t="s">
        <v>74</v>
      </c>
      <c r="H209" t="s">
        <v>74</v>
      </c>
      <c r="I209" t="s">
        <v>1977</v>
      </c>
      <c r="J209" t="s">
        <v>278</v>
      </c>
      <c r="K209" t="s">
        <v>74</v>
      </c>
      <c r="L209" t="s">
        <v>74</v>
      </c>
      <c r="M209" t="s">
        <v>74</v>
      </c>
      <c r="N209" t="s">
        <v>74</v>
      </c>
      <c r="O209" t="s">
        <v>74</v>
      </c>
      <c r="P209" t="s">
        <v>74</v>
      </c>
      <c r="Q209" t="s">
        <v>74</v>
      </c>
      <c r="R209" t="s">
        <v>74</v>
      </c>
      <c r="S209" t="s">
        <v>74</v>
      </c>
      <c r="T209" t="s">
        <v>74</v>
      </c>
      <c r="U209" t="s">
        <v>74</v>
      </c>
      <c r="V209" t="s">
        <v>1978</v>
      </c>
      <c r="W209" t="s">
        <v>74</v>
      </c>
      <c r="X209" t="s">
        <v>74</v>
      </c>
      <c r="Y209" t="s">
        <v>74</v>
      </c>
      <c r="Z209" t="s">
        <v>74</v>
      </c>
      <c r="AA209" t="s">
        <v>1979</v>
      </c>
      <c r="AB209" t="s">
        <v>1980</v>
      </c>
      <c r="AC209" t="s">
        <v>74</v>
      </c>
      <c r="AD209" t="s">
        <v>74</v>
      </c>
      <c r="AE209" t="s">
        <v>74</v>
      </c>
      <c r="AF209" t="s">
        <v>74</v>
      </c>
      <c r="AG209" t="s">
        <v>74</v>
      </c>
      <c r="AH209" t="s">
        <v>74</v>
      </c>
      <c r="AI209" t="s">
        <v>74</v>
      </c>
      <c r="AJ209" t="s">
        <v>74</v>
      </c>
      <c r="AK209" t="s">
        <v>74</v>
      </c>
      <c r="AL209" t="s">
        <v>74</v>
      </c>
      <c r="AM209" t="s">
        <v>74</v>
      </c>
      <c r="AN209" t="s">
        <v>74</v>
      </c>
      <c r="AO209" t="s">
        <v>281</v>
      </c>
      <c r="AP209" t="s">
        <v>282</v>
      </c>
      <c r="AQ209" t="s">
        <v>74</v>
      </c>
      <c r="AR209" t="s">
        <v>74</v>
      </c>
      <c r="AS209" t="s">
        <v>74</v>
      </c>
      <c r="AT209" t="s">
        <v>1847</v>
      </c>
      <c r="AU209">
        <v>2024</v>
      </c>
      <c r="AV209">
        <v>12</v>
      </c>
      <c r="AW209">
        <v>28</v>
      </c>
      <c r="AX209" t="s">
        <v>74</v>
      </c>
      <c r="AY209" t="s">
        <v>74</v>
      </c>
      <c r="AZ209" t="s">
        <v>74</v>
      </c>
      <c r="BA209" t="s">
        <v>74</v>
      </c>
      <c r="BB209">
        <v>17453</v>
      </c>
      <c r="BC209">
        <v>17462</v>
      </c>
      <c r="BD209" t="s">
        <v>74</v>
      </c>
      <c r="BE209" t="s">
        <v>1981</v>
      </c>
      <c r="BF209" t="str">
        <f>HYPERLINK("http://dx.doi.org/10.1039/d4ta01913j","http://dx.doi.org/10.1039/d4ta01913j")</f>
        <v>http://dx.doi.org/10.1039/d4ta01913j</v>
      </c>
      <c r="BG209" t="s">
        <v>74</v>
      </c>
      <c r="BH209" t="s">
        <v>1982</v>
      </c>
      <c r="BI209" t="s">
        <v>74</v>
      </c>
      <c r="BJ209" t="s">
        <v>74</v>
      </c>
      <c r="BK209" t="s">
        <v>74</v>
      </c>
      <c r="BL209" t="s">
        <v>74</v>
      </c>
      <c r="BM209" t="s">
        <v>74</v>
      </c>
      <c r="BN209" t="s">
        <v>74</v>
      </c>
      <c r="BO209" t="s">
        <v>74</v>
      </c>
      <c r="BP209" t="s">
        <v>74</v>
      </c>
      <c r="BQ209" t="s">
        <v>74</v>
      </c>
      <c r="BR209" t="s">
        <v>74</v>
      </c>
      <c r="BS209" t="s">
        <v>1983</v>
      </c>
      <c r="BT209" t="str">
        <f>HYPERLINK("https%3A%2F%2Fwww.webofscience.com%2Fwos%2Fwoscc%2Ffull-record%2FWOS:001248723300001","View Full Record in Web of Science")</f>
        <v>View Full Record in Web of Science</v>
      </c>
    </row>
    <row r="210" spans="1:72" x14ac:dyDescent="0.2">
      <c r="A210" t="s">
        <v>72</v>
      </c>
      <c r="B210" t="s">
        <v>1984</v>
      </c>
      <c r="C210" t="s">
        <v>74</v>
      </c>
      <c r="D210" t="s">
        <v>74</v>
      </c>
      <c r="E210" t="s">
        <v>74</v>
      </c>
      <c r="F210" t="s">
        <v>1985</v>
      </c>
      <c r="G210" t="s">
        <v>74</v>
      </c>
      <c r="H210" t="s">
        <v>74</v>
      </c>
      <c r="I210" t="s">
        <v>1986</v>
      </c>
      <c r="J210" t="s">
        <v>352</v>
      </c>
      <c r="K210" t="s">
        <v>74</v>
      </c>
      <c r="L210" t="s">
        <v>74</v>
      </c>
      <c r="M210" t="s">
        <v>74</v>
      </c>
      <c r="N210" t="s">
        <v>74</v>
      </c>
      <c r="O210" t="s">
        <v>74</v>
      </c>
      <c r="P210" t="s">
        <v>74</v>
      </c>
      <c r="Q210" t="s">
        <v>74</v>
      </c>
      <c r="R210" t="s">
        <v>74</v>
      </c>
      <c r="S210" t="s">
        <v>74</v>
      </c>
      <c r="T210" t="s">
        <v>74</v>
      </c>
      <c r="U210" t="s">
        <v>74</v>
      </c>
      <c r="V210" t="s">
        <v>1987</v>
      </c>
      <c r="W210" t="s">
        <v>74</v>
      </c>
      <c r="X210" t="s">
        <v>74</v>
      </c>
      <c r="Y210" t="s">
        <v>74</v>
      </c>
      <c r="Z210" t="s">
        <v>74</v>
      </c>
      <c r="AA210" t="s">
        <v>1988</v>
      </c>
      <c r="AB210" t="s">
        <v>1989</v>
      </c>
      <c r="AC210" t="s">
        <v>74</v>
      </c>
      <c r="AD210" t="s">
        <v>74</v>
      </c>
      <c r="AE210" t="s">
        <v>74</v>
      </c>
      <c r="AF210" t="s">
        <v>74</v>
      </c>
      <c r="AG210" t="s">
        <v>74</v>
      </c>
      <c r="AH210" t="s">
        <v>74</v>
      </c>
      <c r="AI210" t="s">
        <v>74</v>
      </c>
      <c r="AJ210" t="s">
        <v>74</v>
      </c>
      <c r="AK210" t="s">
        <v>74</v>
      </c>
      <c r="AL210" t="s">
        <v>74</v>
      </c>
      <c r="AM210" t="s">
        <v>74</v>
      </c>
      <c r="AN210" t="s">
        <v>74</v>
      </c>
      <c r="AO210" t="s">
        <v>354</v>
      </c>
      <c r="AP210" t="s">
        <v>355</v>
      </c>
      <c r="AQ210" t="s">
        <v>74</v>
      </c>
      <c r="AR210" t="s">
        <v>74</v>
      </c>
      <c r="AS210" t="s">
        <v>74</v>
      </c>
      <c r="AT210" t="s">
        <v>629</v>
      </c>
      <c r="AU210">
        <v>2024</v>
      </c>
      <c r="AV210">
        <v>14</v>
      </c>
      <c r="AW210">
        <v>30</v>
      </c>
      <c r="AX210" t="s">
        <v>74</v>
      </c>
      <c r="AY210" t="s">
        <v>74</v>
      </c>
      <c r="AZ210" t="s">
        <v>74</v>
      </c>
      <c r="BA210" t="s">
        <v>74</v>
      </c>
      <c r="BB210" t="s">
        <v>74</v>
      </c>
      <c r="BC210" t="s">
        <v>74</v>
      </c>
      <c r="BD210" t="s">
        <v>74</v>
      </c>
      <c r="BE210" t="s">
        <v>1990</v>
      </c>
      <c r="BF210" t="str">
        <f>HYPERLINK("http://dx.doi.org/10.1002/aenm.202401407","http://dx.doi.org/10.1002/aenm.202401407")</f>
        <v>http://dx.doi.org/10.1002/aenm.202401407</v>
      </c>
      <c r="BG210" t="s">
        <v>74</v>
      </c>
      <c r="BH210" t="s">
        <v>1982</v>
      </c>
      <c r="BI210" t="s">
        <v>74</v>
      </c>
      <c r="BJ210" t="s">
        <v>74</v>
      </c>
      <c r="BK210" t="s">
        <v>74</v>
      </c>
      <c r="BL210" t="s">
        <v>74</v>
      </c>
      <c r="BM210" t="s">
        <v>74</v>
      </c>
      <c r="BN210" t="s">
        <v>74</v>
      </c>
      <c r="BO210" t="s">
        <v>74</v>
      </c>
      <c r="BP210" t="s">
        <v>74</v>
      </c>
      <c r="BQ210" t="s">
        <v>74</v>
      </c>
      <c r="BR210" t="s">
        <v>74</v>
      </c>
      <c r="BS210" t="s">
        <v>1991</v>
      </c>
      <c r="BT210" t="str">
        <f>HYPERLINK("https%3A%2F%2Fwww.webofscience.com%2Fwos%2Fwoscc%2Ffull-record%2FWOS:001227675100001","View Full Record in Web of Science")</f>
        <v>View Full Record in Web of Science</v>
      </c>
    </row>
    <row r="211" spans="1:72" x14ac:dyDescent="0.2">
      <c r="A211" t="s">
        <v>72</v>
      </c>
      <c r="B211" t="s">
        <v>1992</v>
      </c>
      <c r="C211" t="s">
        <v>74</v>
      </c>
      <c r="D211" t="s">
        <v>74</v>
      </c>
      <c r="E211" t="s">
        <v>74</v>
      </c>
      <c r="F211" t="s">
        <v>1993</v>
      </c>
      <c r="G211" t="s">
        <v>74</v>
      </c>
      <c r="H211" t="s">
        <v>74</v>
      </c>
      <c r="I211" t="s">
        <v>1994</v>
      </c>
      <c r="J211" t="s">
        <v>1995</v>
      </c>
      <c r="K211" t="s">
        <v>74</v>
      </c>
      <c r="L211" t="s">
        <v>74</v>
      </c>
      <c r="M211" t="s">
        <v>74</v>
      </c>
      <c r="N211" t="s">
        <v>74</v>
      </c>
      <c r="O211" t="s">
        <v>74</v>
      </c>
      <c r="P211" t="s">
        <v>74</v>
      </c>
      <c r="Q211" t="s">
        <v>74</v>
      </c>
      <c r="R211" t="s">
        <v>74</v>
      </c>
      <c r="S211" t="s">
        <v>74</v>
      </c>
      <c r="T211" t="s">
        <v>74</v>
      </c>
      <c r="U211" t="s">
        <v>74</v>
      </c>
      <c r="V211" t="s">
        <v>1996</v>
      </c>
      <c r="W211" t="s">
        <v>74</v>
      </c>
      <c r="X211" t="s">
        <v>74</v>
      </c>
      <c r="Y211" t="s">
        <v>74</v>
      </c>
      <c r="Z211" t="s">
        <v>74</v>
      </c>
      <c r="AA211" t="s">
        <v>111</v>
      </c>
      <c r="AB211" t="s">
        <v>74</v>
      </c>
      <c r="AC211" t="s">
        <v>74</v>
      </c>
      <c r="AD211" t="s">
        <v>74</v>
      </c>
      <c r="AE211" t="s">
        <v>74</v>
      </c>
      <c r="AF211" t="s">
        <v>74</v>
      </c>
      <c r="AG211" t="s">
        <v>74</v>
      </c>
      <c r="AH211" t="s">
        <v>74</v>
      </c>
      <c r="AI211" t="s">
        <v>74</v>
      </c>
      <c r="AJ211" t="s">
        <v>74</v>
      </c>
      <c r="AK211" t="s">
        <v>74</v>
      </c>
      <c r="AL211" t="s">
        <v>74</v>
      </c>
      <c r="AM211" t="s">
        <v>74</v>
      </c>
      <c r="AN211" t="s">
        <v>74</v>
      </c>
      <c r="AO211" t="s">
        <v>1997</v>
      </c>
      <c r="AP211" t="s">
        <v>1998</v>
      </c>
      <c r="AQ211" t="s">
        <v>74</v>
      </c>
      <c r="AR211" t="s">
        <v>74</v>
      </c>
      <c r="AS211" t="s">
        <v>74</v>
      </c>
      <c r="AT211" t="s">
        <v>243</v>
      </c>
      <c r="AU211">
        <v>2024</v>
      </c>
      <c r="AV211">
        <v>515</v>
      </c>
      <c r="AW211" t="s">
        <v>74</v>
      </c>
      <c r="AX211" t="s">
        <v>74</v>
      </c>
      <c r="AY211" t="s">
        <v>74</v>
      </c>
      <c r="AZ211" t="s">
        <v>74</v>
      </c>
      <c r="BA211" t="s">
        <v>74</v>
      </c>
      <c r="BB211" t="s">
        <v>74</v>
      </c>
      <c r="BC211" t="s">
        <v>74</v>
      </c>
      <c r="BD211">
        <v>215956</v>
      </c>
      <c r="BE211" t="s">
        <v>1999</v>
      </c>
      <c r="BF211" t="str">
        <f>HYPERLINK("http://dx.doi.org/10.1016/j.ccr.2024.215956","http://dx.doi.org/10.1016/j.ccr.2024.215956")</f>
        <v>http://dx.doi.org/10.1016/j.ccr.2024.215956</v>
      </c>
      <c r="BG211" t="s">
        <v>74</v>
      </c>
      <c r="BH211" t="s">
        <v>1982</v>
      </c>
      <c r="BI211" t="s">
        <v>74</v>
      </c>
      <c r="BJ211" t="s">
        <v>74</v>
      </c>
      <c r="BK211" t="s">
        <v>74</v>
      </c>
      <c r="BL211" t="s">
        <v>74</v>
      </c>
      <c r="BM211" t="s">
        <v>74</v>
      </c>
      <c r="BN211" t="s">
        <v>74</v>
      </c>
      <c r="BO211" t="s">
        <v>74</v>
      </c>
      <c r="BP211" t="s">
        <v>74</v>
      </c>
      <c r="BQ211" t="s">
        <v>74</v>
      </c>
      <c r="BR211" t="s">
        <v>74</v>
      </c>
      <c r="BS211" t="s">
        <v>2000</v>
      </c>
      <c r="BT211" t="str">
        <f>HYPERLINK("https%3A%2F%2Fwww.webofscience.com%2Fwos%2Fwoscc%2Ffull-record%2FWOS:001343605800001","View Full Record in Web of Science")</f>
        <v>View Full Record in Web of Science</v>
      </c>
    </row>
    <row r="212" spans="1:72" x14ac:dyDescent="0.2">
      <c r="A212" t="s">
        <v>72</v>
      </c>
      <c r="B212" t="s">
        <v>2001</v>
      </c>
      <c r="C212" t="s">
        <v>74</v>
      </c>
      <c r="D212" t="s">
        <v>74</v>
      </c>
      <c r="E212" t="s">
        <v>74</v>
      </c>
      <c r="F212" t="s">
        <v>2002</v>
      </c>
      <c r="G212" t="s">
        <v>74</v>
      </c>
      <c r="H212" t="s">
        <v>74</v>
      </c>
      <c r="I212" t="s">
        <v>2003</v>
      </c>
      <c r="J212" t="s">
        <v>151</v>
      </c>
      <c r="K212" t="s">
        <v>74</v>
      </c>
      <c r="L212" t="s">
        <v>74</v>
      </c>
      <c r="M212" t="s">
        <v>74</v>
      </c>
      <c r="N212" t="s">
        <v>74</v>
      </c>
      <c r="O212" t="s">
        <v>74</v>
      </c>
      <c r="P212" t="s">
        <v>74</v>
      </c>
      <c r="Q212" t="s">
        <v>74</v>
      </c>
      <c r="R212" t="s">
        <v>74</v>
      </c>
      <c r="S212" t="s">
        <v>74</v>
      </c>
      <c r="T212" t="s">
        <v>74</v>
      </c>
      <c r="U212" t="s">
        <v>74</v>
      </c>
      <c r="V212" t="s">
        <v>2004</v>
      </c>
      <c r="W212" t="s">
        <v>74</v>
      </c>
      <c r="X212" t="s">
        <v>74</v>
      </c>
      <c r="Y212" t="s">
        <v>74</v>
      </c>
      <c r="Z212" t="s">
        <v>74</v>
      </c>
      <c r="AA212" t="s">
        <v>2005</v>
      </c>
      <c r="AB212" t="s">
        <v>74</v>
      </c>
      <c r="AC212" t="s">
        <v>74</v>
      </c>
      <c r="AD212" t="s">
        <v>74</v>
      </c>
      <c r="AE212" t="s">
        <v>74</v>
      </c>
      <c r="AF212" t="s">
        <v>74</v>
      </c>
      <c r="AG212" t="s">
        <v>74</v>
      </c>
      <c r="AH212" t="s">
        <v>74</v>
      </c>
      <c r="AI212" t="s">
        <v>74</v>
      </c>
      <c r="AJ212" t="s">
        <v>74</v>
      </c>
      <c r="AK212" t="s">
        <v>74</v>
      </c>
      <c r="AL212" t="s">
        <v>74</v>
      </c>
      <c r="AM212" t="s">
        <v>74</v>
      </c>
      <c r="AN212" t="s">
        <v>74</v>
      </c>
      <c r="AO212" t="s">
        <v>153</v>
      </c>
      <c r="AP212" t="s">
        <v>154</v>
      </c>
      <c r="AQ212" t="s">
        <v>74</v>
      </c>
      <c r="AR212" t="s">
        <v>74</v>
      </c>
      <c r="AS212" t="s">
        <v>74</v>
      </c>
      <c r="AT212" t="s">
        <v>1972</v>
      </c>
      <c r="AU212">
        <v>2024</v>
      </c>
      <c r="AV212">
        <v>70</v>
      </c>
      <c r="AW212" t="s">
        <v>74</v>
      </c>
      <c r="AX212" t="s">
        <v>74</v>
      </c>
      <c r="AY212" t="s">
        <v>74</v>
      </c>
      <c r="AZ212" t="s">
        <v>74</v>
      </c>
      <c r="BA212" t="s">
        <v>74</v>
      </c>
      <c r="BB212" t="s">
        <v>74</v>
      </c>
      <c r="BC212" t="s">
        <v>74</v>
      </c>
      <c r="BD212">
        <v>103492</v>
      </c>
      <c r="BE212" t="s">
        <v>2006</v>
      </c>
      <c r="BF212" t="str">
        <f>HYPERLINK("http://dx.doi.org/10.1016/j.ensm.2024.103492","http://dx.doi.org/10.1016/j.ensm.2024.103492")</f>
        <v>http://dx.doi.org/10.1016/j.ensm.2024.103492</v>
      </c>
      <c r="BG212" t="s">
        <v>74</v>
      </c>
      <c r="BH212" t="s">
        <v>1982</v>
      </c>
      <c r="BI212" t="s">
        <v>74</v>
      </c>
      <c r="BJ212" t="s">
        <v>74</v>
      </c>
      <c r="BK212" t="s">
        <v>74</v>
      </c>
      <c r="BL212" t="s">
        <v>74</v>
      </c>
      <c r="BM212" t="s">
        <v>74</v>
      </c>
      <c r="BN212" t="s">
        <v>74</v>
      </c>
      <c r="BO212" t="s">
        <v>74</v>
      </c>
      <c r="BP212" t="s">
        <v>74</v>
      </c>
      <c r="BQ212" t="s">
        <v>74</v>
      </c>
      <c r="BR212" t="s">
        <v>74</v>
      </c>
      <c r="BS212" t="s">
        <v>2007</v>
      </c>
      <c r="BT212" t="str">
        <f>HYPERLINK("https%3A%2F%2Fwww.webofscience.com%2Fwos%2Fwoscc%2Ffull-record%2FWOS:001243046400001","View Full Record in Web of Science")</f>
        <v>View Full Record in Web of Science</v>
      </c>
    </row>
    <row r="213" spans="1:72" x14ac:dyDescent="0.2">
      <c r="A213" t="s">
        <v>72</v>
      </c>
      <c r="B213" t="s">
        <v>2008</v>
      </c>
      <c r="C213" t="s">
        <v>74</v>
      </c>
      <c r="D213" t="s">
        <v>74</v>
      </c>
      <c r="E213" t="s">
        <v>74</v>
      </c>
      <c r="F213" t="s">
        <v>2009</v>
      </c>
      <c r="G213" t="s">
        <v>74</v>
      </c>
      <c r="H213" t="s">
        <v>74</v>
      </c>
      <c r="I213" t="s">
        <v>2010</v>
      </c>
      <c r="J213" t="s">
        <v>1941</v>
      </c>
      <c r="K213" t="s">
        <v>74</v>
      </c>
      <c r="L213" t="s">
        <v>74</v>
      </c>
      <c r="M213" t="s">
        <v>74</v>
      </c>
      <c r="N213" t="s">
        <v>74</v>
      </c>
      <c r="O213" t="s">
        <v>74</v>
      </c>
      <c r="P213" t="s">
        <v>74</v>
      </c>
      <c r="Q213" t="s">
        <v>74</v>
      </c>
      <c r="R213" t="s">
        <v>74</v>
      </c>
      <c r="S213" t="s">
        <v>74</v>
      </c>
      <c r="T213" t="s">
        <v>74</v>
      </c>
      <c r="U213" t="s">
        <v>74</v>
      </c>
      <c r="V213" t="s">
        <v>2011</v>
      </c>
      <c r="W213" t="s">
        <v>74</v>
      </c>
      <c r="X213" t="s">
        <v>74</v>
      </c>
      <c r="Y213" t="s">
        <v>74</v>
      </c>
      <c r="Z213" t="s">
        <v>74</v>
      </c>
      <c r="AA213" t="s">
        <v>2012</v>
      </c>
      <c r="AB213" t="s">
        <v>2013</v>
      </c>
      <c r="AC213" t="s">
        <v>74</v>
      </c>
      <c r="AD213" t="s">
        <v>74</v>
      </c>
      <c r="AE213" t="s">
        <v>74</v>
      </c>
      <c r="AF213" t="s">
        <v>74</v>
      </c>
      <c r="AG213" t="s">
        <v>74</v>
      </c>
      <c r="AH213" t="s">
        <v>74</v>
      </c>
      <c r="AI213" t="s">
        <v>74</v>
      </c>
      <c r="AJ213" t="s">
        <v>74</v>
      </c>
      <c r="AK213" t="s">
        <v>74</v>
      </c>
      <c r="AL213" t="s">
        <v>74</v>
      </c>
      <c r="AM213" t="s">
        <v>74</v>
      </c>
      <c r="AN213" t="s">
        <v>74</v>
      </c>
      <c r="AO213" t="s">
        <v>74</v>
      </c>
      <c r="AP213" t="s">
        <v>1945</v>
      </c>
      <c r="AQ213" t="s">
        <v>74</v>
      </c>
      <c r="AR213" t="s">
        <v>74</v>
      </c>
      <c r="AS213" t="s">
        <v>74</v>
      </c>
      <c r="AT213" t="s">
        <v>2014</v>
      </c>
      <c r="AU213">
        <v>2024</v>
      </c>
      <c r="AV213">
        <v>7</v>
      </c>
      <c r="AW213">
        <v>11</v>
      </c>
      <c r="AX213" t="s">
        <v>74</v>
      </c>
      <c r="AY213" t="s">
        <v>74</v>
      </c>
      <c r="AZ213" t="s">
        <v>74</v>
      </c>
      <c r="BA213" t="s">
        <v>74</v>
      </c>
      <c r="BB213">
        <v>13230</v>
      </c>
      <c r="BC213">
        <v>13240</v>
      </c>
      <c r="BD213" t="s">
        <v>74</v>
      </c>
      <c r="BE213" t="s">
        <v>2015</v>
      </c>
      <c r="BF213" t="str">
        <f>HYPERLINK("http://dx.doi.org/10.1021/acsanm.4c01757","http://dx.doi.org/10.1021/acsanm.4c01757")</f>
        <v>http://dx.doi.org/10.1021/acsanm.4c01757</v>
      </c>
      <c r="BG213" t="s">
        <v>74</v>
      </c>
      <c r="BH213" t="s">
        <v>1982</v>
      </c>
      <c r="BI213" t="s">
        <v>74</v>
      </c>
      <c r="BJ213" t="s">
        <v>74</v>
      </c>
      <c r="BK213" t="s">
        <v>74</v>
      </c>
      <c r="BL213" t="s">
        <v>74</v>
      </c>
      <c r="BM213" t="s">
        <v>74</v>
      </c>
      <c r="BN213" t="s">
        <v>74</v>
      </c>
      <c r="BO213" t="s">
        <v>74</v>
      </c>
      <c r="BP213" t="s">
        <v>74</v>
      </c>
      <c r="BQ213" t="s">
        <v>74</v>
      </c>
      <c r="BR213" t="s">
        <v>74</v>
      </c>
      <c r="BS213" t="s">
        <v>2016</v>
      </c>
      <c r="BT213" t="str">
        <f>HYPERLINK("https%3A%2F%2Fwww.webofscience.com%2Fwos%2Fwoscc%2Ffull-record%2FWOS:001227292700001","View Full Record in Web of Science")</f>
        <v>View Full Record in Web of Science</v>
      </c>
    </row>
    <row r="214" spans="1:72" x14ac:dyDescent="0.2">
      <c r="A214" t="s">
        <v>72</v>
      </c>
      <c r="B214" t="s">
        <v>2017</v>
      </c>
      <c r="C214" t="s">
        <v>74</v>
      </c>
      <c r="D214" t="s">
        <v>74</v>
      </c>
      <c r="E214" t="s">
        <v>74</v>
      </c>
      <c r="F214" t="s">
        <v>2018</v>
      </c>
      <c r="G214" t="s">
        <v>74</v>
      </c>
      <c r="H214" t="s">
        <v>74</v>
      </c>
      <c r="I214" t="s">
        <v>2019</v>
      </c>
      <c r="J214" t="s">
        <v>1040</v>
      </c>
      <c r="K214" t="s">
        <v>74</v>
      </c>
      <c r="L214" t="s">
        <v>74</v>
      </c>
      <c r="M214" t="s">
        <v>74</v>
      </c>
      <c r="N214" t="s">
        <v>74</v>
      </c>
      <c r="O214" t="s">
        <v>74</v>
      </c>
      <c r="P214" t="s">
        <v>74</v>
      </c>
      <c r="Q214" t="s">
        <v>74</v>
      </c>
      <c r="R214" t="s">
        <v>74</v>
      </c>
      <c r="S214" t="s">
        <v>74</v>
      </c>
      <c r="T214" t="s">
        <v>74</v>
      </c>
      <c r="U214" t="s">
        <v>74</v>
      </c>
      <c r="V214" t="s">
        <v>2020</v>
      </c>
      <c r="W214" t="s">
        <v>74</v>
      </c>
      <c r="X214" t="s">
        <v>74</v>
      </c>
      <c r="Y214" t="s">
        <v>74</v>
      </c>
      <c r="Z214" t="s">
        <v>74</v>
      </c>
      <c r="AA214" t="s">
        <v>2021</v>
      </c>
      <c r="AB214" t="s">
        <v>2022</v>
      </c>
      <c r="AC214" t="s">
        <v>74</v>
      </c>
      <c r="AD214" t="s">
        <v>74</v>
      </c>
      <c r="AE214" t="s">
        <v>74</v>
      </c>
      <c r="AF214" t="s">
        <v>74</v>
      </c>
      <c r="AG214" t="s">
        <v>74</v>
      </c>
      <c r="AH214" t="s">
        <v>74</v>
      </c>
      <c r="AI214" t="s">
        <v>74</v>
      </c>
      <c r="AJ214" t="s">
        <v>74</v>
      </c>
      <c r="AK214" t="s">
        <v>74</v>
      </c>
      <c r="AL214" t="s">
        <v>74</v>
      </c>
      <c r="AM214" t="s">
        <v>74</v>
      </c>
      <c r="AN214" t="s">
        <v>74</v>
      </c>
      <c r="AO214" t="s">
        <v>1043</v>
      </c>
      <c r="AP214" t="s">
        <v>1044</v>
      </c>
      <c r="AQ214" t="s">
        <v>74</v>
      </c>
      <c r="AR214" t="s">
        <v>74</v>
      </c>
      <c r="AS214" t="s">
        <v>74</v>
      </c>
      <c r="AT214" t="s">
        <v>2023</v>
      </c>
      <c r="AU214">
        <v>2024</v>
      </c>
      <c r="AV214">
        <v>26</v>
      </c>
      <c r="AW214">
        <v>22</v>
      </c>
      <c r="AX214" t="s">
        <v>74</v>
      </c>
      <c r="AY214" t="s">
        <v>74</v>
      </c>
      <c r="AZ214" t="s">
        <v>74</v>
      </c>
      <c r="BA214" t="s">
        <v>74</v>
      </c>
      <c r="BB214">
        <v>16175</v>
      </c>
      <c r="BC214">
        <v>16183</v>
      </c>
      <c r="BD214" t="s">
        <v>74</v>
      </c>
      <c r="BE214" t="s">
        <v>2024</v>
      </c>
      <c r="BF214" t="str">
        <f>HYPERLINK("http://dx.doi.org/10.1039/d4cp01079e","http://dx.doi.org/10.1039/d4cp01079e")</f>
        <v>http://dx.doi.org/10.1039/d4cp01079e</v>
      </c>
      <c r="BG214" t="s">
        <v>74</v>
      </c>
      <c r="BH214" t="s">
        <v>1982</v>
      </c>
      <c r="BI214" t="s">
        <v>74</v>
      </c>
      <c r="BJ214" t="s">
        <v>74</v>
      </c>
      <c r="BK214" t="s">
        <v>74</v>
      </c>
      <c r="BL214" t="s">
        <v>74</v>
      </c>
      <c r="BM214" t="s">
        <v>74</v>
      </c>
      <c r="BN214">
        <v>38804017</v>
      </c>
      <c r="BO214" t="s">
        <v>74</v>
      </c>
      <c r="BP214" t="s">
        <v>74</v>
      </c>
      <c r="BQ214" t="s">
        <v>74</v>
      </c>
      <c r="BR214" t="s">
        <v>74</v>
      </c>
      <c r="BS214" t="s">
        <v>2025</v>
      </c>
      <c r="BT214" t="str">
        <f>HYPERLINK("https%3A%2F%2Fwww.webofscience.com%2Fwos%2Fwoscc%2Ffull-record%2FWOS:001232937100001","View Full Record in Web of Science")</f>
        <v>View Full Record in Web of Science</v>
      </c>
    </row>
    <row r="215" spans="1:72" x14ac:dyDescent="0.2">
      <c r="A215" t="s">
        <v>72</v>
      </c>
      <c r="B215" t="s">
        <v>2026</v>
      </c>
      <c r="C215" t="s">
        <v>74</v>
      </c>
      <c r="D215" t="s">
        <v>74</v>
      </c>
      <c r="E215" t="s">
        <v>74</v>
      </c>
      <c r="F215" t="s">
        <v>2027</v>
      </c>
      <c r="G215" t="s">
        <v>74</v>
      </c>
      <c r="H215" t="s">
        <v>74</v>
      </c>
      <c r="I215" t="s">
        <v>2028</v>
      </c>
      <c r="J215" t="s">
        <v>2029</v>
      </c>
      <c r="K215" t="s">
        <v>74</v>
      </c>
      <c r="L215" t="s">
        <v>74</v>
      </c>
      <c r="M215" t="s">
        <v>74</v>
      </c>
      <c r="N215" t="s">
        <v>74</v>
      </c>
      <c r="O215" t="s">
        <v>74</v>
      </c>
      <c r="P215" t="s">
        <v>74</v>
      </c>
      <c r="Q215" t="s">
        <v>74</v>
      </c>
      <c r="R215" t="s">
        <v>74</v>
      </c>
      <c r="S215" t="s">
        <v>74</v>
      </c>
      <c r="T215" t="s">
        <v>74</v>
      </c>
      <c r="U215" t="s">
        <v>74</v>
      </c>
      <c r="V215" t="s">
        <v>2030</v>
      </c>
      <c r="W215" t="s">
        <v>74</v>
      </c>
      <c r="X215" t="s">
        <v>74</v>
      </c>
      <c r="Y215" t="s">
        <v>74</v>
      </c>
      <c r="Z215" t="s">
        <v>74</v>
      </c>
      <c r="AA215" t="s">
        <v>2031</v>
      </c>
      <c r="AB215" t="s">
        <v>74</v>
      </c>
      <c r="AC215" t="s">
        <v>74</v>
      </c>
      <c r="AD215" t="s">
        <v>74</v>
      </c>
      <c r="AE215" t="s">
        <v>74</v>
      </c>
      <c r="AF215" t="s">
        <v>74</v>
      </c>
      <c r="AG215" t="s">
        <v>74</v>
      </c>
      <c r="AH215" t="s">
        <v>74</v>
      </c>
      <c r="AI215" t="s">
        <v>74</v>
      </c>
      <c r="AJ215" t="s">
        <v>74</v>
      </c>
      <c r="AK215" t="s">
        <v>74</v>
      </c>
      <c r="AL215" t="s">
        <v>74</v>
      </c>
      <c r="AM215" t="s">
        <v>74</v>
      </c>
      <c r="AN215" t="s">
        <v>74</v>
      </c>
      <c r="AO215" t="s">
        <v>2032</v>
      </c>
      <c r="AP215" t="s">
        <v>2033</v>
      </c>
      <c r="AQ215" t="s">
        <v>74</v>
      </c>
      <c r="AR215" t="s">
        <v>74</v>
      </c>
      <c r="AS215" t="s">
        <v>74</v>
      </c>
      <c r="AT215" t="s">
        <v>1972</v>
      </c>
      <c r="AU215">
        <v>2024</v>
      </c>
      <c r="AV215">
        <v>12</v>
      </c>
      <c r="AW215">
        <v>3</v>
      </c>
      <c r="AX215" t="s">
        <v>74</v>
      </c>
      <c r="AY215" t="s">
        <v>74</v>
      </c>
      <c r="AZ215" t="s">
        <v>74</v>
      </c>
      <c r="BA215" t="s">
        <v>74</v>
      </c>
      <c r="BB215" t="s">
        <v>74</v>
      </c>
      <c r="BC215" t="s">
        <v>74</v>
      </c>
      <c r="BD215">
        <v>112871</v>
      </c>
      <c r="BE215" t="s">
        <v>2034</v>
      </c>
      <c r="BF215" t="str">
        <f>HYPERLINK("http://dx.doi.org/10.1016/j.jece.2024.112871","http://dx.doi.org/10.1016/j.jece.2024.112871")</f>
        <v>http://dx.doi.org/10.1016/j.jece.2024.112871</v>
      </c>
      <c r="BG215" t="s">
        <v>74</v>
      </c>
      <c r="BH215" t="s">
        <v>1982</v>
      </c>
      <c r="BI215" t="s">
        <v>74</v>
      </c>
      <c r="BJ215" t="s">
        <v>74</v>
      </c>
      <c r="BK215" t="s">
        <v>74</v>
      </c>
      <c r="BL215" t="s">
        <v>74</v>
      </c>
      <c r="BM215" t="s">
        <v>74</v>
      </c>
      <c r="BN215" t="s">
        <v>74</v>
      </c>
      <c r="BO215" t="s">
        <v>74</v>
      </c>
      <c r="BP215" t="s">
        <v>74</v>
      </c>
      <c r="BQ215" t="s">
        <v>74</v>
      </c>
      <c r="BR215" t="s">
        <v>74</v>
      </c>
      <c r="BS215" t="s">
        <v>2035</v>
      </c>
      <c r="BT215" t="str">
        <f>HYPERLINK("https%3A%2F%2Fwww.webofscience.com%2Fwos%2Fwoscc%2Ffull-record%2FWOS:001241675600001","View Full Record in Web of Science")</f>
        <v>View Full Record in Web of Science</v>
      </c>
    </row>
    <row r="216" spans="1:72" x14ac:dyDescent="0.2">
      <c r="A216" t="s">
        <v>72</v>
      </c>
      <c r="B216" t="s">
        <v>2036</v>
      </c>
      <c r="C216" t="s">
        <v>74</v>
      </c>
      <c r="D216" t="s">
        <v>74</v>
      </c>
      <c r="E216" t="s">
        <v>74</v>
      </c>
      <c r="F216" t="s">
        <v>2037</v>
      </c>
      <c r="G216" t="s">
        <v>74</v>
      </c>
      <c r="H216" t="s">
        <v>74</v>
      </c>
      <c r="I216" t="s">
        <v>2038</v>
      </c>
      <c r="J216" t="s">
        <v>161</v>
      </c>
      <c r="K216" t="s">
        <v>74</v>
      </c>
      <c r="L216" t="s">
        <v>74</v>
      </c>
      <c r="M216" t="s">
        <v>74</v>
      </c>
      <c r="N216" t="s">
        <v>74</v>
      </c>
      <c r="O216" t="s">
        <v>74</v>
      </c>
      <c r="P216" t="s">
        <v>74</v>
      </c>
      <c r="Q216" t="s">
        <v>74</v>
      </c>
      <c r="R216" t="s">
        <v>74</v>
      </c>
      <c r="S216" t="s">
        <v>74</v>
      </c>
      <c r="T216" t="s">
        <v>74</v>
      </c>
      <c r="U216" t="s">
        <v>74</v>
      </c>
      <c r="V216" t="s">
        <v>2039</v>
      </c>
      <c r="W216" t="s">
        <v>74</v>
      </c>
      <c r="X216" t="s">
        <v>74</v>
      </c>
      <c r="Y216" t="s">
        <v>74</v>
      </c>
      <c r="Z216" t="s">
        <v>74</v>
      </c>
      <c r="AA216" t="s">
        <v>2040</v>
      </c>
      <c r="AB216" t="s">
        <v>74</v>
      </c>
      <c r="AC216" t="s">
        <v>74</v>
      </c>
      <c r="AD216" t="s">
        <v>74</v>
      </c>
      <c r="AE216" t="s">
        <v>74</v>
      </c>
      <c r="AF216" t="s">
        <v>74</v>
      </c>
      <c r="AG216" t="s">
        <v>74</v>
      </c>
      <c r="AH216" t="s">
        <v>74</v>
      </c>
      <c r="AI216" t="s">
        <v>74</v>
      </c>
      <c r="AJ216" t="s">
        <v>74</v>
      </c>
      <c r="AK216" t="s">
        <v>74</v>
      </c>
      <c r="AL216" t="s">
        <v>74</v>
      </c>
      <c r="AM216" t="s">
        <v>74</v>
      </c>
      <c r="AN216" t="s">
        <v>74</v>
      </c>
      <c r="AO216" t="s">
        <v>163</v>
      </c>
      <c r="AP216" t="s">
        <v>164</v>
      </c>
      <c r="AQ216" t="s">
        <v>74</v>
      </c>
      <c r="AR216" t="s">
        <v>74</v>
      </c>
      <c r="AS216" t="s">
        <v>74</v>
      </c>
      <c r="AT216" t="s">
        <v>378</v>
      </c>
      <c r="AU216">
        <v>2024</v>
      </c>
      <c r="AV216">
        <v>491</v>
      </c>
      <c r="AW216" t="s">
        <v>74</v>
      </c>
      <c r="AX216" t="s">
        <v>74</v>
      </c>
      <c r="AY216" t="s">
        <v>74</v>
      </c>
      <c r="AZ216" t="s">
        <v>74</v>
      </c>
      <c r="BA216" t="s">
        <v>74</v>
      </c>
      <c r="BB216" t="s">
        <v>74</v>
      </c>
      <c r="BC216" t="s">
        <v>74</v>
      </c>
      <c r="BD216">
        <v>151946</v>
      </c>
      <c r="BE216" t="s">
        <v>2041</v>
      </c>
      <c r="BF216" t="str">
        <f>HYPERLINK("http://dx.doi.org/10.1016/j.cej.2024.151946","http://dx.doi.org/10.1016/j.cej.2024.151946")</f>
        <v>http://dx.doi.org/10.1016/j.cej.2024.151946</v>
      </c>
      <c r="BG216" t="s">
        <v>74</v>
      </c>
      <c r="BH216" t="s">
        <v>1982</v>
      </c>
      <c r="BI216" t="s">
        <v>74</v>
      </c>
      <c r="BJ216" t="s">
        <v>74</v>
      </c>
      <c r="BK216" t="s">
        <v>74</v>
      </c>
      <c r="BL216" t="s">
        <v>74</v>
      </c>
      <c r="BM216" t="s">
        <v>74</v>
      </c>
      <c r="BN216" t="s">
        <v>74</v>
      </c>
      <c r="BO216" t="s">
        <v>74</v>
      </c>
      <c r="BP216" t="s">
        <v>74</v>
      </c>
      <c r="BQ216" t="s">
        <v>74</v>
      </c>
      <c r="BR216" t="s">
        <v>74</v>
      </c>
      <c r="BS216" t="s">
        <v>2042</v>
      </c>
      <c r="BT216" t="str">
        <f>HYPERLINK("https%3A%2F%2Fwww.webofscience.com%2Fwos%2Fwoscc%2Ffull-record%2FWOS:001239316300001","View Full Record in Web of Science")</f>
        <v>View Full Record in Web of Science</v>
      </c>
    </row>
    <row r="217" spans="1:72" x14ac:dyDescent="0.2">
      <c r="A217" t="s">
        <v>72</v>
      </c>
      <c r="B217" t="s">
        <v>2043</v>
      </c>
      <c r="C217" t="s">
        <v>74</v>
      </c>
      <c r="D217" t="s">
        <v>74</v>
      </c>
      <c r="E217" t="s">
        <v>74</v>
      </c>
      <c r="F217" t="s">
        <v>2044</v>
      </c>
      <c r="G217" t="s">
        <v>74</v>
      </c>
      <c r="H217" t="s">
        <v>74</v>
      </c>
      <c r="I217" t="s">
        <v>2045</v>
      </c>
      <c r="J217" t="s">
        <v>221</v>
      </c>
      <c r="K217" t="s">
        <v>74</v>
      </c>
      <c r="L217" t="s">
        <v>74</v>
      </c>
      <c r="M217" t="s">
        <v>74</v>
      </c>
      <c r="N217" t="s">
        <v>74</v>
      </c>
      <c r="O217" t="s">
        <v>74</v>
      </c>
      <c r="P217" t="s">
        <v>74</v>
      </c>
      <c r="Q217" t="s">
        <v>74</v>
      </c>
      <c r="R217" t="s">
        <v>74</v>
      </c>
      <c r="S217" t="s">
        <v>74</v>
      </c>
      <c r="T217" t="s">
        <v>74</v>
      </c>
      <c r="U217" t="s">
        <v>74</v>
      </c>
      <c r="V217" t="s">
        <v>2046</v>
      </c>
      <c r="W217" t="s">
        <v>74</v>
      </c>
      <c r="X217" t="s">
        <v>74</v>
      </c>
      <c r="Y217" t="s">
        <v>74</v>
      </c>
      <c r="Z217" t="s">
        <v>74</v>
      </c>
      <c r="AA217" t="s">
        <v>2047</v>
      </c>
      <c r="AB217" t="s">
        <v>2048</v>
      </c>
      <c r="AC217" t="s">
        <v>74</v>
      </c>
      <c r="AD217" t="s">
        <v>74</v>
      </c>
      <c r="AE217" t="s">
        <v>74</v>
      </c>
      <c r="AF217" t="s">
        <v>74</v>
      </c>
      <c r="AG217" t="s">
        <v>74</v>
      </c>
      <c r="AH217" t="s">
        <v>74</v>
      </c>
      <c r="AI217" t="s">
        <v>74</v>
      </c>
      <c r="AJ217" t="s">
        <v>74</v>
      </c>
      <c r="AK217" t="s">
        <v>74</v>
      </c>
      <c r="AL217" t="s">
        <v>74</v>
      </c>
      <c r="AM217" t="s">
        <v>74</v>
      </c>
      <c r="AN217" t="s">
        <v>74</v>
      </c>
      <c r="AO217" t="s">
        <v>224</v>
      </c>
      <c r="AP217" t="s">
        <v>74</v>
      </c>
      <c r="AQ217" t="s">
        <v>74</v>
      </c>
      <c r="AR217" t="s">
        <v>74</v>
      </c>
      <c r="AS217" t="s">
        <v>74</v>
      </c>
      <c r="AT217" t="s">
        <v>729</v>
      </c>
      <c r="AU217">
        <v>2024</v>
      </c>
      <c r="AV217">
        <v>15</v>
      </c>
      <c r="AW217">
        <v>19</v>
      </c>
      <c r="AX217" t="s">
        <v>74</v>
      </c>
      <c r="AY217" t="s">
        <v>74</v>
      </c>
      <c r="AZ217" t="s">
        <v>74</v>
      </c>
      <c r="BA217" t="s">
        <v>74</v>
      </c>
      <c r="BB217">
        <v>5096</v>
      </c>
      <c r="BC217">
        <v>5102</v>
      </c>
      <c r="BD217" t="s">
        <v>74</v>
      </c>
      <c r="BE217" t="s">
        <v>2049</v>
      </c>
      <c r="BF217" t="str">
        <f>HYPERLINK("http://dx.doi.org/10.1021/acs.jpclett.4c00969","http://dx.doi.org/10.1021/acs.jpclett.4c00969")</f>
        <v>http://dx.doi.org/10.1021/acs.jpclett.4c00969</v>
      </c>
      <c r="BG217" t="s">
        <v>74</v>
      </c>
      <c r="BH217" t="s">
        <v>1982</v>
      </c>
      <c r="BI217" t="s">
        <v>74</v>
      </c>
      <c r="BJ217" t="s">
        <v>74</v>
      </c>
      <c r="BK217" t="s">
        <v>74</v>
      </c>
      <c r="BL217" t="s">
        <v>74</v>
      </c>
      <c r="BM217" t="s">
        <v>74</v>
      </c>
      <c r="BN217">
        <v>38709010</v>
      </c>
      <c r="BO217" t="s">
        <v>74</v>
      </c>
      <c r="BP217" t="s">
        <v>74</v>
      </c>
      <c r="BQ217" t="s">
        <v>74</v>
      </c>
      <c r="BR217" t="s">
        <v>74</v>
      </c>
      <c r="BS217" t="s">
        <v>2050</v>
      </c>
      <c r="BT217" t="str">
        <f>HYPERLINK("https%3A%2F%2Fwww.webofscience.com%2Fwos%2Fwoscc%2Ffull-record%2FWOS:001225109700001","View Full Record in Web of Science")</f>
        <v>View Full Record in Web of Science</v>
      </c>
    </row>
    <row r="218" spans="1:72" x14ac:dyDescent="0.2">
      <c r="A218" t="s">
        <v>72</v>
      </c>
      <c r="B218" t="s">
        <v>2051</v>
      </c>
      <c r="C218" t="s">
        <v>74</v>
      </c>
      <c r="D218" t="s">
        <v>74</v>
      </c>
      <c r="E218" t="s">
        <v>74</v>
      </c>
      <c r="F218" t="s">
        <v>2052</v>
      </c>
      <c r="G218" t="s">
        <v>74</v>
      </c>
      <c r="H218" t="s">
        <v>74</v>
      </c>
      <c r="I218" t="s">
        <v>2053</v>
      </c>
      <c r="J218" t="s">
        <v>1457</v>
      </c>
      <c r="K218" t="s">
        <v>74</v>
      </c>
      <c r="L218" t="s">
        <v>74</v>
      </c>
      <c r="M218" t="s">
        <v>74</v>
      </c>
      <c r="N218" t="s">
        <v>74</v>
      </c>
      <c r="O218" t="s">
        <v>74</v>
      </c>
      <c r="P218" t="s">
        <v>74</v>
      </c>
      <c r="Q218" t="s">
        <v>74</v>
      </c>
      <c r="R218" t="s">
        <v>74</v>
      </c>
      <c r="S218" t="s">
        <v>74</v>
      </c>
      <c r="T218" t="s">
        <v>74</v>
      </c>
      <c r="U218" t="s">
        <v>74</v>
      </c>
      <c r="V218" t="s">
        <v>2054</v>
      </c>
      <c r="W218" t="s">
        <v>74</v>
      </c>
      <c r="X218" t="s">
        <v>74</v>
      </c>
      <c r="Y218" t="s">
        <v>74</v>
      </c>
      <c r="Z218" t="s">
        <v>74</v>
      </c>
      <c r="AA218" t="s">
        <v>74</v>
      </c>
      <c r="AB218" t="s">
        <v>74</v>
      </c>
      <c r="AC218" t="s">
        <v>74</v>
      </c>
      <c r="AD218" t="s">
        <v>74</v>
      </c>
      <c r="AE218" t="s">
        <v>74</v>
      </c>
      <c r="AF218" t="s">
        <v>74</v>
      </c>
      <c r="AG218" t="s">
        <v>74</v>
      </c>
      <c r="AH218" t="s">
        <v>74</v>
      </c>
      <c r="AI218" t="s">
        <v>74</v>
      </c>
      <c r="AJ218" t="s">
        <v>74</v>
      </c>
      <c r="AK218" t="s">
        <v>74</v>
      </c>
      <c r="AL218" t="s">
        <v>74</v>
      </c>
      <c r="AM218" t="s">
        <v>74</v>
      </c>
      <c r="AN218" t="s">
        <v>74</v>
      </c>
      <c r="AO218" t="s">
        <v>1461</v>
      </c>
      <c r="AP218" t="s">
        <v>1462</v>
      </c>
      <c r="AQ218" t="s">
        <v>74</v>
      </c>
      <c r="AR218" t="s">
        <v>74</v>
      </c>
      <c r="AS218" t="s">
        <v>74</v>
      </c>
      <c r="AT218" t="s">
        <v>1803</v>
      </c>
      <c r="AU218">
        <v>2024</v>
      </c>
      <c r="AV218">
        <v>663</v>
      </c>
      <c r="AW218" t="s">
        <v>74</v>
      </c>
      <c r="AX218" t="s">
        <v>74</v>
      </c>
      <c r="AY218" t="s">
        <v>74</v>
      </c>
      <c r="AZ218" t="s">
        <v>74</v>
      </c>
      <c r="BA218" t="s">
        <v>74</v>
      </c>
      <c r="BB218" t="s">
        <v>74</v>
      </c>
      <c r="BC218" t="s">
        <v>74</v>
      </c>
      <c r="BD218">
        <v>160195</v>
      </c>
      <c r="BE218" t="s">
        <v>2055</v>
      </c>
      <c r="BF218" t="str">
        <f>HYPERLINK("http://dx.doi.org/10.1016/j.apsusc.2024.160195","http://dx.doi.org/10.1016/j.apsusc.2024.160195")</f>
        <v>http://dx.doi.org/10.1016/j.apsusc.2024.160195</v>
      </c>
      <c r="BG218" t="s">
        <v>74</v>
      </c>
      <c r="BH218" t="s">
        <v>1982</v>
      </c>
      <c r="BI218" t="s">
        <v>74</v>
      </c>
      <c r="BJ218" t="s">
        <v>74</v>
      </c>
      <c r="BK218" t="s">
        <v>74</v>
      </c>
      <c r="BL218" t="s">
        <v>74</v>
      </c>
      <c r="BM218" t="s">
        <v>74</v>
      </c>
      <c r="BN218" t="s">
        <v>74</v>
      </c>
      <c r="BO218" t="s">
        <v>74</v>
      </c>
      <c r="BP218" t="s">
        <v>74</v>
      </c>
      <c r="BQ218" t="s">
        <v>74</v>
      </c>
      <c r="BR218" t="s">
        <v>74</v>
      </c>
      <c r="BS218" t="s">
        <v>2056</v>
      </c>
      <c r="BT218" t="str">
        <f>HYPERLINK("https%3A%2F%2Fwww.webofscience.com%2Fwos%2Fwoscc%2Ffull-record%2FWOS:001238715400001","View Full Record in Web of Science")</f>
        <v>View Full Record in Web of Science</v>
      </c>
    </row>
    <row r="219" spans="1:72" x14ac:dyDescent="0.2">
      <c r="A219" t="s">
        <v>72</v>
      </c>
      <c r="B219" t="s">
        <v>2057</v>
      </c>
      <c r="C219" t="s">
        <v>74</v>
      </c>
      <c r="D219" t="s">
        <v>74</v>
      </c>
      <c r="E219" t="s">
        <v>74</v>
      </c>
      <c r="F219" t="s">
        <v>2058</v>
      </c>
      <c r="G219" t="s">
        <v>74</v>
      </c>
      <c r="H219" t="s">
        <v>74</v>
      </c>
      <c r="I219" t="s">
        <v>2059</v>
      </c>
      <c r="J219" t="s">
        <v>374</v>
      </c>
      <c r="K219" t="s">
        <v>74</v>
      </c>
      <c r="L219" t="s">
        <v>74</v>
      </c>
      <c r="M219" t="s">
        <v>74</v>
      </c>
      <c r="N219" t="s">
        <v>74</v>
      </c>
      <c r="O219" t="s">
        <v>74</v>
      </c>
      <c r="P219" t="s">
        <v>74</v>
      </c>
      <c r="Q219" t="s">
        <v>74</v>
      </c>
      <c r="R219" t="s">
        <v>74</v>
      </c>
      <c r="S219" t="s">
        <v>74</v>
      </c>
      <c r="T219" t="s">
        <v>74</v>
      </c>
      <c r="U219" t="s">
        <v>74</v>
      </c>
      <c r="V219" t="s">
        <v>2060</v>
      </c>
      <c r="W219" t="s">
        <v>74</v>
      </c>
      <c r="X219" t="s">
        <v>74</v>
      </c>
      <c r="Y219" t="s">
        <v>74</v>
      </c>
      <c r="Z219" t="s">
        <v>74</v>
      </c>
      <c r="AA219" t="s">
        <v>2061</v>
      </c>
      <c r="AB219" t="s">
        <v>2062</v>
      </c>
      <c r="AC219" t="s">
        <v>74</v>
      </c>
      <c r="AD219" t="s">
        <v>74</v>
      </c>
      <c r="AE219" t="s">
        <v>74</v>
      </c>
      <c r="AF219" t="s">
        <v>74</v>
      </c>
      <c r="AG219" t="s">
        <v>74</v>
      </c>
      <c r="AH219" t="s">
        <v>74</v>
      </c>
      <c r="AI219" t="s">
        <v>74</v>
      </c>
      <c r="AJ219" t="s">
        <v>74</v>
      </c>
      <c r="AK219" t="s">
        <v>74</v>
      </c>
      <c r="AL219" t="s">
        <v>74</v>
      </c>
      <c r="AM219" t="s">
        <v>74</v>
      </c>
      <c r="AN219" t="s">
        <v>74</v>
      </c>
      <c r="AO219" t="s">
        <v>377</v>
      </c>
      <c r="AP219" t="s">
        <v>74</v>
      </c>
      <c r="AQ219" t="s">
        <v>74</v>
      </c>
      <c r="AR219" t="s">
        <v>74</v>
      </c>
      <c r="AS219" t="s">
        <v>74</v>
      </c>
      <c r="AT219" t="s">
        <v>2063</v>
      </c>
      <c r="AU219">
        <v>2024</v>
      </c>
      <c r="AV219">
        <v>9</v>
      </c>
      <c r="AW219">
        <v>6</v>
      </c>
      <c r="AX219" t="s">
        <v>74</v>
      </c>
      <c r="AY219" t="s">
        <v>74</v>
      </c>
      <c r="AZ219" t="s">
        <v>74</v>
      </c>
      <c r="BA219" t="s">
        <v>74</v>
      </c>
      <c r="BB219">
        <v>2492</v>
      </c>
      <c r="BC219">
        <v>2499</v>
      </c>
      <c r="BD219" t="s">
        <v>74</v>
      </c>
      <c r="BE219" t="s">
        <v>2064</v>
      </c>
      <c r="BF219" t="str">
        <f>HYPERLINK("http://dx.doi.org/10.1021/acsenergylett.4c00856","http://dx.doi.org/10.1021/acsenergylett.4c00856")</f>
        <v>http://dx.doi.org/10.1021/acsenergylett.4c00856</v>
      </c>
      <c r="BG219" t="s">
        <v>74</v>
      </c>
      <c r="BH219" t="s">
        <v>1982</v>
      </c>
      <c r="BI219" t="s">
        <v>74</v>
      </c>
      <c r="BJ219" t="s">
        <v>74</v>
      </c>
      <c r="BK219" t="s">
        <v>74</v>
      </c>
      <c r="BL219" t="s">
        <v>74</v>
      </c>
      <c r="BM219" t="s">
        <v>74</v>
      </c>
      <c r="BN219">
        <v>38911534</v>
      </c>
      <c r="BO219" t="s">
        <v>74</v>
      </c>
      <c r="BP219" t="s">
        <v>74</v>
      </c>
      <c r="BQ219" t="s">
        <v>74</v>
      </c>
      <c r="BR219" t="s">
        <v>74</v>
      </c>
      <c r="BS219" t="s">
        <v>2065</v>
      </c>
      <c r="BT219" t="str">
        <f>HYPERLINK("https%3A%2F%2Fwww.webofscience.com%2Fwos%2Fwoscc%2Ffull-record%2FWOS:001225157200001","View Full Record in Web of Science")</f>
        <v>View Full Record in Web of Science</v>
      </c>
    </row>
    <row r="220" spans="1:72" x14ac:dyDescent="0.2">
      <c r="A220" t="s">
        <v>72</v>
      </c>
      <c r="B220" t="s">
        <v>2066</v>
      </c>
      <c r="C220" t="s">
        <v>74</v>
      </c>
      <c r="D220" t="s">
        <v>74</v>
      </c>
      <c r="E220" t="s">
        <v>74</v>
      </c>
      <c r="F220" t="s">
        <v>2067</v>
      </c>
      <c r="G220" t="s">
        <v>74</v>
      </c>
      <c r="H220" t="s">
        <v>74</v>
      </c>
      <c r="I220" t="s">
        <v>2068</v>
      </c>
      <c r="J220" t="s">
        <v>433</v>
      </c>
      <c r="K220" t="s">
        <v>74</v>
      </c>
      <c r="L220" t="s">
        <v>74</v>
      </c>
      <c r="M220" t="s">
        <v>74</v>
      </c>
      <c r="N220" t="s">
        <v>74</v>
      </c>
      <c r="O220" t="s">
        <v>74</v>
      </c>
      <c r="P220" t="s">
        <v>74</v>
      </c>
      <c r="Q220" t="s">
        <v>74</v>
      </c>
      <c r="R220" t="s">
        <v>74</v>
      </c>
      <c r="S220" t="s">
        <v>74</v>
      </c>
      <c r="T220" t="s">
        <v>74</v>
      </c>
      <c r="U220" t="s">
        <v>74</v>
      </c>
      <c r="V220" t="s">
        <v>2069</v>
      </c>
      <c r="W220" t="s">
        <v>74</v>
      </c>
      <c r="X220" t="s">
        <v>74</v>
      </c>
      <c r="Y220" t="s">
        <v>74</v>
      </c>
      <c r="Z220" t="s">
        <v>74</v>
      </c>
      <c r="AA220" t="s">
        <v>2070</v>
      </c>
      <c r="AB220" t="s">
        <v>74</v>
      </c>
      <c r="AC220" t="s">
        <v>74</v>
      </c>
      <c r="AD220" t="s">
        <v>74</v>
      </c>
      <c r="AE220" t="s">
        <v>74</v>
      </c>
      <c r="AF220" t="s">
        <v>74</v>
      </c>
      <c r="AG220" t="s">
        <v>74</v>
      </c>
      <c r="AH220" t="s">
        <v>74</v>
      </c>
      <c r="AI220" t="s">
        <v>74</v>
      </c>
      <c r="AJ220" t="s">
        <v>74</v>
      </c>
      <c r="AK220" t="s">
        <v>74</v>
      </c>
      <c r="AL220" t="s">
        <v>74</v>
      </c>
      <c r="AM220" t="s">
        <v>74</v>
      </c>
      <c r="AN220" t="s">
        <v>74</v>
      </c>
      <c r="AO220" t="s">
        <v>435</v>
      </c>
      <c r="AP220" t="s">
        <v>436</v>
      </c>
      <c r="AQ220" t="s">
        <v>74</v>
      </c>
      <c r="AR220" t="s">
        <v>74</v>
      </c>
      <c r="AS220" t="s">
        <v>74</v>
      </c>
      <c r="AT220" t="s">
        <v>2071</v>
      </c>
      <c r="AU220">
        <v>2024</v>
      </c>
      <c r="AV220">
        <v>992</v>
      </c>
      <c r="AW220" t="s">
        <v>74</v>
      </c>
      <c r="AX220" t="s">
        <v>74</v>
      </c>
      <c r="AY220" t="s">
        <v>74</v>
      </c>
      <c r="AZ220" t="s">
        <v>74</v>
      </c>
      <c r="BA220" t="s">
        <v>74</v>
      </c>
      <c r="BB220" t="s">
        <v>74</v>
      </c>
      <c r="BC220" t="s">
        <v>74</v>
      </c>
      <c r="BD220">
        <v>174600</v>
      </c>
      <c r="BE220" t="s">
        <v>2072</v>
      </c>
      <c r="BF220" t="str">
        <f>HYPERLINK("http://dx.doi.org/10.1016/j.jallcom.2024.174600","http://dx.doi.org/10.1016/j.jallcom.2024.174600")</f>
        <v>http://dx.doi.org/10.1016/j.jallcom.2024.174600</v>
      </c>
      <c r="BG220" t="s">
        <v>74</v>
      </c>
      <c r="BH220" t="s">
        <v>2073</v>
      </c>
      <c r="BI220" t="s">
        <v>74</v>
      </c>
      <c r="BJ220" t="s">
        <v>74</v>
      </c>
      <c r="BK220" t="s">
        <v>74</v>
      </c>
      <c r="BL220" t="s">
        <v>74</v>
      </c>
      <c r="BM220" t="s">
        <v>74</v>
      </c>
      <c r="BN220" t="s">
        <v>74</v>
      </c>
      <c r="BO220" t="s">
        <v>74</v>
      </c>
      <c r="BP220" t="s">
        <v>74</v>
      </c>
      <c r="BQ220" t="s">
        <v>74</v>
      </c>
      <c r="BR220" t="s">
        <v>74</v>
      </c>
      <c r="BS220" t="s">
        <v>2074</v>
      </c>
      <c r="BT220" t="str">
        <f>HYPERLINK("https%3A%2F%2Fwww.webofscience.com%2Fwos%2Fwoscc%2Ffull-record%2FWOS:001236498700001","View Full Record in Web of Science")</f>
        <v>View Full Record in Web of Science</v>
      </c>
    </row>
    <row r="221" spans="1:72" x14ac:dyDescent="0.2">
      <c r="A221" t="s">
        <v>72</v>
      </c>
      <c r="B221" t="s">
        <v>2075</v>
      </c>
      <c r="C221" t="s">
        <v>74</v>
      </c>
      <c r="D221" t="s">
        <v>74</v>
      </c>
      <c r="E221" t="s">
        <v>74</v>
      </c>
      <c r="F221" t="s">
        <v>2076</v>
      </c>
      <c r="G221" t="s">
        <v>74</v>
      </c>
      <c r="H221" t="s">
        <v>74</v>
      </c>
      <c r="I221" t="s">
        <v>2077</v>
      </c>
      <c r="J221" t="s">
        <v>98</v>
      </c>
      <c r="K221" t="s">
        <v>74</v>
      </c>
      <c r="L221" t="s">
        <v>74</v>
      </c>
      <c r="M221" t="s">
        <v>74</v>
      </c>
      <c r="N221" t="s">
        <v>74</v>
      </c>
      <c r="O221" t="s">
        <v>74</v>
      </c>
      <c r="P221" t="s">
        <v>74</v>
      </c>
      <c r="Q221" t="s">
        <v>74</v>
      </c>
      <c r="R221" t="s">
        <v>74</v>
      </c>
      <c r="S221" t="s">
        <v>74</v>
      </c>
      <c r="T221" t="s">
        <v>74</v>
      </c>
      <c r="U221" t="s">
        <v>74</v>
      </c>
      <c r="V221" t="s">
        <v>2078</v>
      </c>
      <c r="W221" t="s">
        <v>74</v>
      </c>
      <c r="X221" t="s">
        <v>74</v>
      </c>
      <c r="Y221" t="s">
        <v>74</v>
      </c>
      <c r="Z221" t="s">
        <v>74</v>
      </c>
      <c r="AA221" t="s">
        <v>2079</v>
      </c>
      <c r="AB221" t="s">
        <v>74</v>
      </c>
      <c r="AC221" t="s">
        <v>74</v>
      </c>
      <c r="AD221" t="s">
        <v>74</v>
      </c>
      <c r="AE221" t="s">
        <v>74</v>
      </c>
      <c r="AF221" t="s">
        <v>74</v>
      </c>
      <c r="AG221" t="s">
        <v>74</v>
      </c>
      <c r="AH221" t="s">
        <v>74</v>
      </c>
      <c r="AI221" t="s">
        <v>74</v>
      </c>
      <c r="AJ221" t="s">
        <v>74</v>
      </c>
      <c r="AK221" t="s">
        <v>74</v>
      </c>
      <c r="AL221" t="s">
        <v>74</v>
      </c>
      <c r="AM221" t="s">
        <v>74</v>
      </c>
      <c r="AN221" t="s">
        <v>74</v>
      </c>
      <c r="AO221" t="s">
        <v>101</v>
      </c>
      <c r="AP221" t="s">
        <v>102</v>
      </c>
      <c r="AQ221" t="s">
        <v>74</v>
      </c>
      <c r="AR221" t="s">
        <v>74</v>
      </c>
      <c r="AS221" t="s">
        <v>74</v>
      </c>
      <c r="AT221" t="s">
        <v>378</v>
      </c>
      <c r="AU221">
        <v>2024</v>
      </c>
      <c r="AV221">
        <v>607</v>
      </c>
      <c r="AW221" t="s">
        <v>74</v>
      </c>
      <c r="AX221" t="s">
        <v>74</v>
      </c>
      <c r="AY221" t="s">
        <v>74</v>
      </c>
      <c r="AZ221" t="s">
        <v>74</v>
      </c>
      <c r="BA221" t="s">
        <v>74</v>
      </c>
      <c r="BB221" t="s">
        <v>74</v>
      </c>
      <c r="BC221" t="s">
        <v>74</v>
      </c>
      <c r="BD221">
        <v>234550</v>
      </c>
      <c r="BE221" t="s">
        <v>2080</v>
      </c>
      <c r="BF221" t="str">
        <f>HYPERLINK("http://dx.doi.org/10.1016/j.jpowsour.2024.234550","http://dx.doi.org/10.1016/j.jpowsour.2024.234550")</f>
        <v>http://dx.doi.org/10.1016/j.jpowsour.2024.234550</v>
      </c>
      <c r="BG221" t="s">
        <v>74</v>
      </c>
      <c r="BH221" t="s">
        <v>2073</v>
      </c>
      <c r="BI221" t="s">
        <v>74</v>
      </c>
      <c r="BJ221" t="s">
        <v>74</v>
      </c>
      <c r="BK221" t="s">
        <v>74</v>
      </c>
      <c r="BL221" t="s">
        <v>74</v>
      </c>
      <c r="BM221" t="s">
        <v>74</v>
      </c>
      <c r="BN221" t="s">
        <v>74</v>
      </c>
      <c r="BO221" t="s">
        <v>74</v>
      </c>
      <c r="BP221" t="s">
        <v>74</v>
      </c>
      <c r="BQ221" t="s">
        <v>74</v>
      </c>
      <c r="BR221" t="s">
        <v>74</v>
      </c>
      <c r="BS221" t="s">
        <v>2081</v>
      </c>
      <c r="BT221" t="str">
        <f>HYPERLINK("https%3A%2F%2Fwww.webofscience.com%2Fwos%2Fwoscc%2Ffull-record%2FWOS:001235007400001","View Full Record in Web of Science")</f>
        <v>View Full Record in Web of Science</v>
      </c>
    </row>
    <row r="222" spans="1:72" x14ac:dyDescent="0.2">
      <c r="A222" t="s">
        <v>72</v>
      </c>
      <c r="B222" t="s">
        <v>2082</v>
      </c>
      <c r="C222" t="s">
        <v>74</v>
      </c>
      <c r="D222" t="s">
        <v>74</v>
      </c>
      <c r="E222" t="s">
        <v>74</v>
      </c>
      <c r="F222" t="s">
        <v>2083</v>
      </c>
      <c r="G222" t="s">
        <v>74</v>
      </c>
      <c r="H222" t="s">
        <v>74</v>
      </c>
      <c r="I222" t="s">
        <v>2084</v>
      </c>
      <c r="J222" t="s">
        <v>109</v>
      </c>
      <c r="K222" t="s">
        <v>74</v>
      </c>
      <c r="L222" t="s">
        <v>74</v>
      </c>
      <c r="M222" t="s">
        <v>74</v>
      </c>
      <c r="N222" t="s">
        <v>74</v>
      </c>
      <c r="O222" t="s">
        <v>74</v>
      </c>
      <c r="P222" t="s">
        <v>74</v>
      </c>
      <c r="Q222" t="s">
        <v>74</v>
      </c>
      <c r="R222" t="s">
        <v>74</v>
      </c>
      <c r="S222" t="s">
        <v>74</v>
      </c>
      <c r="T222" t="s">
        <v>74</v>
      </c>
      <c r="U222" t="s">
        <v>74</v>
      </c>
      <c r="V222" t="s">
        <v>2085</v>
      </c>
      <c r="W222" t="s">
        <v>74</v>
      </c>
      <c r="X222" t="s">
        <v>74</v>
      </c>
      <c r="Y222" t="s">
        <v>74</v>
      </c>
      <c r="Z222" t="s">
        <v>74</v>
      </c>
      <c r="AA222" t="s">
        <v>2086</v>
      </c>
      <c r="AB222" t="s">
        <v>2087</v>
      </c>
      <c r="AC222" t="s">
        <v>74</v>
      </c>
      <c r="AD222" t="s">
        <v>74</v>
      </c>
      <c r="AE222" t="s">
        <v>74</v>
      </c>
      <c r="AF222" t="s">
        <v>74</v>
      </c>
      <c r="AG222" t="s">
        <v>74</v>
      </c>
      <c r="AH222" t="s">
        <v>74</v>
      </c>
      <c r="AI222" t="s">
        <v>74</v>
      </c>
      <c r="AJ222" t="s">
        <v>74</v>
      </c>
      <c r="AK222" t="s">
        <v>74</v>
      </c>
      <c r="AL222" t="s">
        <v>74</v>
      </c>
      <c r="AM222" t="s">
        <v>74</v>
      </c>
      <c r="AN222" t="s">
        <v>74</v>
      </c>
      <c r="AO222" t="s">
        <v>112</v>
      </c>
      <c r="AP222" t="s">
        <v>74</v>
      </c>
      <c r="AQ222" t="s">
        <v>74</v>
      </c>
      <c r="AR222" t="s">
        <v>74</v>
      </c>
      <c r="AS222" t="s">
        <v>74</v>
      </c>
      <c r="AT222" t="s">
        <v>629</v>
      </c>
      <c r="AU222">
        <v>2024</v>
      </c>
      <c r="AV222">
        <v>95</v>
      </c>
      <c r="AW222" t="s">
        <v>74</v>
      </c>
      <c r="AX222" t="s">
        <v>74</v>
      </c>
      <c r="AY222" t="s">
        <v>74</v>
      </c>
      <c r="AZ222" t="s">
        <v>74</v>
      </c>
      <c r="BA222" t="s">
        <v>74</v>
      </c>
      <c r="BB222">
        <v>577</v>
      </c>
      <c r="BC222">
        <v>587</v>
      </c>
      <c r="BD222" t="s">
        <v>74</v>
      </c>
      <c r="BE222" t="s">
        <v>2088</v>
      </c>
      <c r="BF222" t="str">
        <f>HYPERLINK("http://dx.doi.org/10.1016/j.jechem.2024.03.055","http://dx.doi.org/10.1016/j.jechem.2024.03.055")</f>
        <v>http://dx.doi.org/10.1016/j.jechem.2024.03.055</v>
      </c>
      <c r="BG222" t="s">
        <v>74</v>
      </c>
      <c r="BH222" t="s">
        <v>2073</v>
      </c>
      <c r="BI222" t="s">
        <v>74</v>
      </c>
      <c r="BJ222" t="s">
        <v>74</v>
      </c>
      <c r="BK222" t="s">
        <v>74</v>
      </c>
      <c r="BL222" t="s">
        <v>74</v>
      </c>
      <c r="BM222" t="s">
        <v>74</v>
      </c>
      <c r="BN222" t="s">
        <v>74</v>
      </c>
      <c r="BO222" t="s">
        <v>74</v>
      </c>
      <c r="BP222" t="s">
        <v>74</v>
      </c>
      <c r="BQ222" t="s">
        <v>74</v>
      </c>
      <c r="BR222" t="s">
        <v>74</v>
      </c>
      <c r="BS222" t="s">
        <v>2089</v>
      </c>
      <c r="BT222" t="str">
        <f>HYPERLINK("https%3A%2F%2Fwww.webofscience.com%2Fwos%2Fwoscc%2Ffull-record%2FWOS:001233882600001","View Full Record in Web of Science")</f>
        <v>View Full Record in Web of Science</v>
      </c>
    </row>
    <row r="223" spans="1:72" x14ac:dyDescent="0.2">
      <c r="A223" t="s">
        <v>72</v>
      </c>
      <c r="B223" t="s">
        <v>2090</v>
      </c>
      <c r="C223" t="s">
        <v>74</v>
      </c>
      <c r="D223" t="s">
        <v>74</v>
      </c>
      <c r="E223" t="s">
        <v>74</v>
      </c>
      <c r="F223" t="s">
        <v>2091</v>
      </c>
      <c r="G223" t="s">
        <v>74</v>
      </c>
      <c r="H223" t="s">
        <v>74</v>
      </c>
      <c r="I223" t="s">
        <v>2092</v>
      </c>
      <c r="J223" t="s">
        <v>528</v>
      </c>
      <c r="K223" t="s">
        <v>74</v>
      </c>
      <c r="L223" t="s">
        <v>74</v>
      </c>
      <c r="M223" t="s">
        <v>74</v>
      </c>
      <c r="N223" t="s">
        <v>74</v>
      </c>
      <c r="O223" t="s">
        <v>74</v>
      </c>
      <c r="P223" t="s">
        <v>74</v>
      </c>
      <c r="Q223" t="s">
        <v>74</v>
      </c>
      <c r="R223" t="s">
        <v>74</v>
      </c>
      <c r="S223" t="s">
        <v>74</v>
      </c>
      <c r="T223" t="s">
        <v>74</v>
      </c>
      <c r="U223" t="s">
        <v>74</v>
      </c>
      <c r="V223" t="s">
        <v>2093</v>
      </c>
      <c r="W223" t="s">
        <v>74</v>
      </c>
      <c r="X223" t="s">
        <v>74</v>
      </c>
      <c r="Y223" t="s">
        <v>74</v>
      </c>
      <c r="Z223" t="s">
        <v>74</v>
      </c>
      <c r="AA223" t="s">
        <v>2094</v>
      </c>
      <c r="AB223" t="s">
        <v>74</v>
      </c>
      <c r="AC223" t="s">
        <v>74</v>
      </c>
      <c r="AD223" t="s">
        <v>74</v>
      </c>
      <c r="AE223" t="s">
        <v>74</v>
      </c>
      <c r="AF223" t="s">
        <v>74</v>
      </c>
      <c r="AG223" t="s">
        <v>74</v>
      </c>
      <c r="AH223" t="s">
        <v>74</v>
      </c>
      <c r="AI223" t="s">
        <v>74</v>
      </c>
      <c r="AJ223" t="s">
        <v>74</v>
      </c>
      <c r="AK223" t="s">
        <v>74</v>
      </c>
      <c r="AL223" t="s">
        <v>74</v>
      </c>
      <c r="AM223" t="s">
        <v>74</v>
      </c>
      <c r="AN223" t="s">
        <v>74</v>
      </c>
      <c r="AO223" t="s">
        <v>532</v>
      </c>
      <c r="AP223" t="s">
        <v>533</v>
      </c>
      <c r="AQ223" t="s">
        <v>74</v>
      </c>
      <c r="AR223" t="s">
        <v>74</v>
      </c>
      <c r="AS223" t="s">
        <v>74</v>
      </c>
      <c r="AT223" t="s">
        <v>2095</v>
      </c>
      <c r="AU223">
        <v>2024</v>
      </c>
      <c r="AV223">
        <v>16</v>
      </c>
      <c r="AW223">
        <v>17</v>
      </c>
      <c r="AX223" t="s">
        <v>74</v>
      </c>
      <c r="AY223" t="s">
        <v>74</v>
      </c>
      <c r="AZ223" t="s">
        <v>74</v>
      </c>
      <c r="BA223" t="s">
        <v>74</v>
      </c>
      <c r="BB223">
        <v>21924</v>
      </c>
      <c r="BC223">
        <v>21931</v>
      </c>
      <c r="BD223" t="s">
        <v>74</v>
      </c>
      <c r="BE223" t="s">
        <v>2096</v>
      </c>
      <c r="BF223" t="str">
        <f>HYPERLINK("http://dx.doi.org/10.1021/acsami.4c02031","http://dx.doi.org/10.1021/acsami.4c02031")</f>
        <v>http://dx.doi.org/10.1021/acsami.4c02031</v>
      </c>
      <c r="BG223" t="s">
        <v>74</v>
      </c>
      <c r="BH223" t="s">
        <v>2073</v>
      </c>
      <c r="BI223" t="s">
        <v>74</v>
      </c>
      <c r="BJ223" t="s">
        <v>74</v>
      </c>
      <c r="BK223" t="s">
        <v>74</v>
      </c>
      <c r="BL223" t="s">
        <v>74</v>
      </c>
      <c r="BM223" t="s">
        <v>74</v>
      </c>
      <c r="BN223">
        <v>38647706</v>
      </c>
      <c r="BO223" t="s">
        <v>74</v>
      </c>
      <c r="BP223" t="s">
        <v>74</v>
      </c>
      <c r="BQ223" t="s">
        <v>74</v>
      </c>
      <c r="BR223" t="s">
        <v>74</v>
      </c>
      <c r="BS223" t="s">
        <v>2097</v>
      </c>
      <c r="BT223" t="str">
        <f>HYPERLINK("https%3A%2F%2Fwww.webofscience.com%2Fwos%2Fwoscc%2Ffull-record%2FWOS:001241360100001","View Full Record in Web of Science")</f>
        <v>View Full Record in Web of Science</v>
      </c>
    </row>
    <row r="224" spans="1:72" x14ac:dyDescent="0.2">
      <c r="A224" t="s">
        <v>72</v>
      </c>
      <c r="B224" t="s">
        <v>2098</v>
      </c>
      <c r="C224" t="s">
        <v>74</v>
      </c>
      <c r="D224" t="s">
        <v>74</v>
      </c>
      <c r="E224" t="s">
        <v>74</v>
      </c>
      <c r="F224" t="s">
        <v>2099</v>
      </c>
      <c r="G224" t="s">
        <v>74</v>
      </c>
      <c r="H224" t="s">
        <v>74</v>
      </c>
      <c r="I224" t="s">
        <v>2100</v>
      </c>
      <c r="J224" t="s">
        <v>2101</v>
      </c>
      <c r="K224" t="s">
        <v>74</v>
      </c>
      <c r="L224" t="s">
        <v>74</v>
      </c>
      <c r="M224" t="s">
        <v>74</v>
      </c>
      <c r="N224" t="s">
        <v>74</v>
      </c>
      <c r="O224" t="s">
        <v>74</v>
      </c>
      <c r="P224" t="s">
        <v>74</v>
      </c>
      <c r="Q224" t="s">
        <v>74</v>
      </c>
      <c r="R224" t="s">
        <v>74</v>
      </c>
      <c r="S224" t="s">
        <v>74</v>
      </c>
      <c r="T224" t="s">
        <v>74</v>
      </c>
      <c r="U224" t="s">
        <v>74</v>
      </c>
      <c r="V224" t="s">
        <v>2102</v>
      </c>
      <c r="W224" t="s">
        <v>74</v>
      </c>
      <c r="X224" t="s">
        <v>74</v>
      </c>
      <c r="Y224" t="s">
        <v>74</v>
      </c>
      <c r="Z224" t="s">
        <v>74</v>
      </c>
      <c r="AA224" t="s">
        <v>2103</v>
      </c>
      <c r="AB224" t="s">
        <v>74</v>
      </c>
      <c r="AC224" t="s">
        <v>74</v>
      </c>
      <c r="AD224" t="s">
        <v>74</v>
      </c>
      <c r="AE224" t="s">
        <v>74</v>
      </c>
      <c r="AF224" t="s">
        <v>74</v>
      </c>
      <c r="AG224" t="s">
        <v>74</v>
      </c>
      <c r="AH224" t="s">
        <v>74</v>
      </c>
      <c r="AI224" t="s">
        <v>74</v>
      </c>
      <c r="AJ224" t="s">
        <v>74</v>
      </c>
      <c r="AK224" t="s">
        <v>74</v>
      </c>
      <c r="AL224" t="s">
        <v>74</v>
      </c>
      <c r="AM224" t="s">
        <v>74</v>
      </c>
      <c r="AN224" t="s">
        <v>74</v>
      </c>
      <c r="AO224" t="s">
        <v>2104</v>
      </c>
      <c r="AP224" t="s">
        <v>74</v>
      </c>
      <c r="AQ224" t="s">
        <v>74</v>
      </c>
      <c r="AR224" t="s">
        <v>74</v>
      </c>
      <c r="AS224" t="s">
        <v>74</v>
      </c>
      <c r="AT224" t="s">
        <v>545</v>
      </c>
      <c r="AU224">
        <v>2024</v>
      </c>
      <c r="AV224">
        <v>48</v>
      </c>
      <c r="AW224" t="s">
        <v>74</v>
      </c>
      <c r="AX224" t="s">
        <v>74</v>
      </c>
      <c r="AY224" t="s">
        <v>74</v>
      </c>
      <c r="AZ224" t="s">
        <v>74</v>
      </c>
      <c r="BA224" t="s">
        <v>74</v>
      </c>
      <c r="BB224" t="s">
        <v>74</v>
      </c>
      <c r="BC224" t="s">
        <v>74</v>
      </c>
      <c r="BD224">
        <v>104309</v>
      </c>
      <c r="BE224" t="s">
        <v>2105</v>
      </c>
      <c r="BF224" t="str">
        <f>HYPERLINK("http://dx.doi.org/10.1016/j.surfin.2024.104309","http://dx.doi.org/10.1016/j.surfin.2024.104309")</f>
        <v>http://dx.doi.org/10.1016/j.surfin.2024.104309</v>
      </c>
      <c r="BG224" t="s">
        <v>74</v>
      </c>
      <c r="BH224" t="s">
        <v>2073</v>
      </c>
      <c r="BI224" t="s">
        <v>74</v>
      </c>
      <c r="BJ224" t="s">
        <v>74</v>
      </c>
      <c r="BK224" t="s">
        <v>74</v>
      </c>
      <c r="BL224" t="s">
        <v>74</v>
      </c>
      <c r="BM224" t="s">
        <v>74</v>
      </c>
      <c r="BN224" t="s">
        <v>74</v>
      </c>
      <c r="BO224" t="s">
        <v>74</v>
      </c>
      <c r="BP224" t="s">
        <v>74</v>
      </c>
      <c r="BQ224" t="s">
        <v>74</v>
      </c>
      <c r="BR224" t="s">
        <v>74</v>
      </c>
      <c r="BS224" t="s">
        <v>2106</v>
      </c>
      <c r="BT224" t="str">
        <f>HYPERLINK("https%3A%2F%2Fwww.webofscience.com%2Fwos%2Fwoscc%2Ffull-record%2FWOS:001298857000001","View Full Record in Web of Science")</f>
        <v>View Full Record in Web of Science</v>
      </c>
    </row>
    <row r="225" spans="1:72" x14ac:dyDescent="0.2">
      <c r="A225" t="s">
        <v>72</v>
      </c>
      <c r="B225" t="s">
        <v>2107</v>
      </c>
      <c r="C225" t="s">
        <v>74</v>
      </c>
      <c r="D225" t="s">
        <v>74</v>
      </c>
      <c r="E225" t="s">
        <v>74</v>
      </c>
      <c r="F225" t="s">
        <v>2108</v>
      </c>
      <c r="G225" t="s">
        <v>74</v>
      </c>
      <c r="H225" t="s">
        <v>74</v>
      </c>
      <c r="I225" t="s">
        <v>2109</v>
      </c>
      <c r="J225" t="s">
        <v>267</v>
      </c>
      <c r="K225" t="s">
        <v>74</v>
      </c>
      <c r="L225" t="s">
        <v>74</v>
      </c>
      <c r="M225" t="s">
        <v>74</v>
      </c>
      <c r="N225" t="s">
        <v>74</v>
      </c>
      <c r="O225" t="s">
        <v>74</v>
      </c>
      <c r="P225" t="s">
        <v>74</v>
      </c>
      <c r="Q225" t="s">
        <v>74</v>
      </c>
      <c r="R225" t="s">
        <v>74</v>
      </c>
      <c r="S225" t="s">
        <v>74</v>
      </c>
      <c r="T225" t="s">
        <v>74</v>
      </c>
      <c r="U225" t="s">
        <v>74</v>
      </c>
      <c r="V225" t="s">
        <v>2110</v>
      </c>
      <c r="W225" t="s">
        <v>74</v>
      </c>
      <c r="X225" t="s">
        <v>74</v>
      </c>
      <c r="Y225" t="s">
        <v>74</v>
      </c>
      <c r="Z225" t="s">
        <v>74</v>
      </c>
      <c r="AA225" t="s">
        <v>2111</v>
      </c>
      <c r="AB225" t="s">
        <v>74</v>
      </c>
      <c r="AC225" t="s">
        <v>74</v>
      </c>
      <c r="AD225" t="s">
        <v>74</v>
      </c>
      <c r="AE225" t="s">
        <v>74</v>
      </c>
      <c r="AF225" t="s">
        <v>74</v>
      </c>
      <c r="AG225" t="s">
        <v>74</v>
      </c>
      <c r="AH225" t="s">
        <v>74</v>
      </c>
      <c r="AI225" t="s">
        <v>74</v>
      </c>
      <c r="AJ225" t="s">
        <v>74</v>
      </c>
      <c r="AK225" t="s">
        <v>74</v>
      </c>
      <c r="AL225" t="s">
        <v>74</v>
      </c>
      <c r="AM225" t="s">
        <v>74</v>
      </c>
      <c r="AN225" t="s">
        <v>74</v>
      </c>
      <c r="AO225" t="s">
        <v>270</v>
      </c>
      <c r="AP225" t="s">
        <v>271</v>
      </c>
      <c r="AQ225" t="s">
        <v>74</v>
      </c>
      <c r="AR225" t="s">
        <v>74</v>
      </c>
      <c r="AS225" t="s">
        <v>74</v>
      </c>
      <c r="AT225" t="s">
        <v>155</v>
      </c>
      <c r="AU225">
        <v>2024</v>
      </c>
      <c r="AV225">
        <v>34</v>
      </c>
      <c r="AW225">
        <v>37</v>
      </c>
      <c r="AX225" t="s">
        <v>74</v>
      </c>
      <c r="AY225" t="s">
        <v>74</v>
      </c>
      <c r="AZ225" t="s">
        <v>74</v>
      </c>
      <c r="BA225" t="s">
        <v>74</v>
      </c>
      <c r="BB225" t="s">
        <v>74</v>
      </c>
      <c r="BC225" t="s">
        <v>74</v>
      </c>
      <c r="BD225" t="s">
        <v>74</v>
      </c>
      <c r="BE225" t="s">
        <v>2112</v>
      </c>
      <c r="BF225" t="str">
        <f>HYPERLINK("http://dx.doi.org/10.1002/adfm.202402065","http://dx.doi.org/10.1002/adfm.202402065")</f>
        <v>http://dx.doi.org/10.1002/adfm.202402065</v>
      </c>
      <c r="BG225" t="s">
        <v>74</v>
      </c>
      <c r="BH225" t="s">
        <v>2073</v>
      </c>
      <c r="BI225" t="s">
        <v>74</v>
      </c>
      <c r="BJ225" t="s">
        <v>74</v>
      </c>
      <c r="BK225" t="s">
        <v>74</v>
      </c>
      <c r="BL225" t="s">
        <v>74</v>
      </c>
      <c r="BM225" t="s">
        <v>74</v>
      </c>
      <c r="BN225" t="s">
        <v>74</v>
      </c>
      <c r="BO225" t="s">
        <v>74</v>
      </c>
      <c r="BP225" t="s">
        <v>74</v>
      </c>
      <c r="BQ225" t="s">
        <v>74</v>
      </c>
      <c r="BR225" t="s">
        <v>74</v>
      </c>
      <c r="BS225" t="s">
        <v>2113</v>
      </c>
      <c r="BT225" t="str">
        <f>HYPERLINK("https%3A%2F%2Fwww.webofscience.com%2Fwos%2Fwoscc%2Ffull-record%2FWOS:001205053800001","View Full Record in Web of Science")</f>
        <v>View Full Record in Web of Science</v>
      </c>
    </row>
    <row r="226" spans="1:72" x14ac:dyDescent="0.2">
      <c r="A226" t="s">
        <v>72</v>
      </c>
      <c r="B226" t="s">
        <v>2114</v>
      </c>
      <c r="C226" t="s">
        <v>74</v>
      </c>
      <c r="D226" t="s">
        <v>74</v>
      </c>
      <c r="E226" t="s">
        <v>74</v>
      </c>
      <c r="F226" t="s">
        <v>2115</v>
      </c>
      <c r="G226" t="s">
        <v>74</v>
      </c>
      <c r="H226" t="s">
        <v>74</v>
      </c>
      <c r="I226" t="s">
        <v>2116</v>
      </c>
      <c r="J226" t="s">
        <v>1941</v>
      </c>
      <c r="K226" t="s">
        <v>74</v>
      </c>
      <c r="L226" t="s">
        <v>74</v>
      </c>
      <c r="M226" t="s">
        <v>74</v>
      </c>
      <c r="N226" t="s">
        <v>74</v>
      </c>
      <c r="O226" t="s">
        <v>74</v>
      </c>
      <c r="P226" t="s">
        <v>74</v>
      </c>
      <c r="Q226" t="s">
        <v>74</v>
      </c>
      <c r="R226" t="s">
        <v>74</v>
      </c>
      <c r="S226" t="s">
        <v>74</v>
      </c>
      <c r="T226" t="s">
        <v>74</v>
      </c>
      <c r="U226" t="s">
        <v>74</v>
      </c>
      <c r="V226" t="s">
        <v>2117</v>
      </c>
      <c r="W226" t="s">
        <v>74</v>
      </c>
      <c r="X226" t="s">
        <v>74</v>
      </c>
      <c r="Y226" t="s">
        <v>74</v>
      </c>
      <c r="Z226" t="s">
        <v>74</v>
      </c>
      <c r="AA226" t="s">
        <v>74</v>
      </c>
      <c r="AB226" t="s">
        <v>2118</v>
      </c>
      <c r="AC226" t="s">
        <v>74</v>
      </c>
      <c r="AD226" t="s">
        <v>74</v>
      </c>
      <c r="AE226" t="s">
        <v>74</v>
      </c>
      <c r="AF226" t="s">
        <v>74</v>
      </c>
      <c r="AG226" t="s">
        <v>74</v>
      </c>
      <c r="AH226" t="s">
        <v>74</v>
      </c>
      <c r="AI226" t="s">
        <v>74</v>
      </c>
      <c r="AJ226" t="s">
        <v>74</v>
      </c>
      <c r="AK226" t="s">
        <v>74</v>
      </c>
      <c r="AL226" t="s">
        <v>74</v>
      </c>
      <c r="AM226" t="s">
        <v>74</v>
      </c>
      <c r="AN226" t="s">
        <v>74</v>
      </c>
      <c r="AO226" t="s">
        <v>74</v>
      </c>
      <c r="AP226" t="s">
        <v>1945</v>
      </c>
      <c r="AQ226" t="s">
        <v>74</v>
      </c>
      <c r="AR226" t="s">
        <v>74</v>
      </c>
      <c r="AS226" t="s">
        <v>74</v>
      </c>
      <c r="AT226" t="s">
        <v>2119</v>
      </c>
      <c r="AU226">
        <v>2024</v>
      </c>
      <c r="AV226">
        <v>7</v>
      </c>
      <c r="AW226">
        <v>9</v>
      </c>
      <c r="AX226" t="s">
        <v>74</v>
      </c>
      <c r="AY226" t="s">
        <v>74</v>
      </c>
      <c r="AZ226" t="s">
        <v>74</v>
      </c>
      <c r="BA226" t="s">
        <v>74</v>
      </c>
      <c r="BB226">
        <v>10829</v>
      </c>
      <c r="BC226">
        <v>10839</v>
      </c>
      <c r="BD226" t="s">
        <v>74</v>
      </c>
      <c r="BE226" t="s">
        <v>2120</v>
      </c>
      <c r="BF226" t="str">
        <f>HYPERLINK("http://dx.doi.org/10.1021/acsanm.4c01121","http://dx.doi.org/10.1021/acsanm.4c01121")</f>
        <v>http://dx.doi.org/10.1021/acsanm.4c01121</v>
      </c>
      <c r="BG226" t="s">
        <v>74</v>
      </c>
      <c r="BH226" t="s">
        <v>2073</v>
      </c>
      <c r="BI226" t="s">
        <v>74</v>
      </c>
      <c r="BJ226" t="s">
        <v>74</v>
      </c>
      <c r="BK226" t="s">
        <v>74</v>
      </c>
      <c r="BL226" t="s">
        <v>74</v>
      </c>
      <c r="BM226" t="s">
        <v>74</v>
      </c>
      <c r="BN226" t="s">
        <v>74</v>
      </c>
      <c r="BO226" t="s">
        <v>74</v>
      </c>
      <c r="BP226" t="s">
        <v>74</v>
      </c>
      <c r="BQ226" t="s">
        <v>74</v>
      </c>
      <c r="BR226" t="s">
        <v>74</v>
      </c>
      <c r="BS226" t="s">
        <v>2121</v>
      </c>
      <c r="BT226" t="str">
        <f>HYPERLINK("https%3A%2F%2Fwww.webofscience.com%2Fwos%2Fwoscc%2Ffull-record%2FWOS:001226324200001","View Full Record in Web of Science")</f>
        <v>View Full Record in Web of Science</v>
      </c>
    </row>
    <row r="227" spans="1:72" x14ac:dyDescent="0.2">
      <c r="A227" t="s">
        <v>72</v>
      </c>
      <c r="B227" t="s">
        <v>2122</v>
      </c>
      <c r="C227" t="s">
        <v>74</v>
      </c>
      <c r="D227" t="s">
        <v>74</v>
      </c>
      <c r="E227" t="s">
        <v>74</v>
      </c>
      <c r="F227" t="s">
        <v>2123</v>
      </c>
      <c r="G227" t="s">
        <v>74</v>
      </c>
      <c r="H227" t="s">
        <v>74</v>
      </c>
      <c r="I227" t="s">
        <v>2124</v>
      </c>
      <c r="J227" t="s">
        <v>2125</v>
      </c>
      <c r="K227" t="s">
        <v>74</v>
      </c>
      <c r="L227" t="s">
        <v>74</v>
      </c>
      <c r="M227" t="s">
        <v>74</v>
      </c>
      <c r="N227" t="s">
        <v>74</v>
      </c>
      <c r="O227" t="s">
        <v>74</v>
      </c>
      <c r="P227" t="s">
        <v>74</v>
      </c>
      <c r="Q227" t="s">
        <v>74</v>
      </c>
      <c r="R227" t="s">
        <v>74</v>
      </c>
      <c r="S227" t="s">
        <v>74</v>
      </c>
      <c r="T227" t="s">
        <v>74</v>
      </c>
      <c r="U227" t="s">
        <v>74</v>
      </c>
      <c r="V227" t="s">
        <v>2126</v>
      </c>
      <c r="W227" t="s">
        <v>74</v>
      </c>
      <c r="X227" t="s">
        <v>74</v>
      </c>
      <c r="Y227" t="s">
        <v>74</v>
      </c>
      <c r="Z227" t="s">
        <v>74</v>
      </c>
      <c r="AA227" t="s">
        <v>2127</v>
      </c>
      <c r="AB227" t="s">
        <v>2128</v>
      </c>
      <c r="AC227" t="s">
        <v>74</v>
      </c>
      <c r="AD227" t="s">
        <v>74</v>
      </c>
      <c r="AE227" t="s">
        <v>74</v>
      </c>
      <c r="AF227" t="s">
        <v>74</v>
      </c>
      <c r="AG227" t="s">
        <v>74</v>
      </c>
      <c r="AH227" t="s">
        <v>74</v>
      </c>
      <c r="AI227" t="s">
        <v>74</v>
      </c>
      <c r="AJ227" t="s">
        <v>74</v>
      </c>
      <c r="AK227" t="s">
        <v>74</v>
      </c>
      <c r="AL227" t="s">
        <v>74</v>
      </c>
      <c r="AM227" t="s">
        <v>74</v>
      </c>
      <c r="AN227" t="s">
        <v>74</v>
      </c>
      <c r="AO227" t="s">
        <v>2129</v>
      </c>
      <c r="AP227" t="s">
        <v>2130</v>
      </c>
      <c r="AQ227" t="s">
        <v>74</v>
      </c>
      <c r="AR227" t="s">
        <v>74</v>
      </c>
      <c r="AS227" t="s">
        <v>74</v>
      </c>
      <c r="AT227" t="s">
        <v>798</v>
      </c>
      <c r="AU227">
        <v>2024</v>
      </c>
      <c r="AV227">
        <v>57</v>
      </c>
      <c r="AW227">
        <v>9</v>
      </c>
      <c r="AX227" t="s">
        <v>74</v>
      </c>
      <c r="AY227" t="s">
        <v>74</v>
      </c>
      <c r="AZ227" t="s">
        <v>74</v>
      </c>
      <c r="BA227" t="s">
        <v>74</v>
      </c>
      <c r="BB227">
        <v>1310</v>
      </c>
      <c r="BC227">
        <v>1324</v>
      </c>
      <c r="BD227" t="s">
        <v>74</v>
      </c>
      <c r="BE227" t="s">
        <v>2131</v>
      </c>
      <c r="BF227" t="str">
        <f>HYPERLINK("http://dx.doi.org/10.1021/acs.accounts.4c00040","http://dx.doi.org/10.1021/acs.accounts.4c00040")</f>
        <v>http://dx.doi.org/10.1021/acs.accounts.4c00040</v>
      </c>
      <c r="BG227" t="s">
        <v>74</v>
      </c>
      <c r="BH227" t="s">
        <v>2073</v>
      </c>
      <c r="BI227" t="s">
        <v>74</v>
      </c>
      <c r="BJ227" t="s">
        <v>74</v>
      </c>
      <c r="BK227" t="s">
        <v>74</v>
      </c>
      <c r="BL227" t="s">
        <v>74</v>
      </c>
      <c r="BM227" t="s">
        <v>74</v>
      </c>
      <c r="BN227">
        <v>38619089</v>
      </c>
      <c r="BO227" t="s">
        <v>74</v>
      </c>
      <c r="BP227" t="s">
        <v>74</v>
      </c>
      <c r="BQ227" t="s">
        <v>74</v>
      </c>
      <c r="BR227" t="s">
        <v>74</v>
      </c>
      <c r="BS227" t="s">
        <v>2132</v>
      </c>
      <c r="BT227" t="str">
        <f>HYPERLINK("https%3A%2F%2Fwww.webofscience.com%2Fwos%2Fwoscc%2Ffull-record%2FWOS:001203969200001","View Full Record in Web of Science")</f>
        <v>View Full Record in Web of Science</v>
      </c>
    </row>
    <row r="228" spans="1:72" x14ac:dyDescent="0.2">
      <c r="A228" t="s">
        <v>72</v>
      </c>
      <c r="B228" t="s">
        <v>2133</v>
      </c>
      <c r="C228" t="s">
        <v>74</v>
      </c>
      <c r="D228" t="s">
        <v>74</v>
      </c>
      <c r="E228" t="s">
        <v>74</v>
      </c>
      <c r="F228" t="s">
        <v>2134</v>
      </c>
      <c r="G228" t="s">
        <v>74</v>
      </c>
      <c r="H228" t="s">
        <v>74</v>
      </c>
      <c r="I228" t="s">
        <v>2135</v>
      </c>
      <c r="J228" t="s">
        <v>411</v>
      </c>
      <c r="K228" t="s">
        <v>74</v>
      </c>
      <c r="L228" t="s">
        <v>74</v>
      </c>
      <c r="M228" t="s">
        <v>74</v>
      </c>
      <c r="N228" t="s">
        <v>74</v>
      </c>
      <c r="O228" t="s">
        <v>74</v>
      </c>
      <c r="P228" t="s">
        <v>74</v>
      </c>
      <c r="Q228" t="s">
        <v>74</v>
      </c>
      <c r="R228" t="s">
        <v>74</v>
      </c>
      <c r="S228" t="s">
        <v>74</v>
      </c>
      <c r="T228" t="s">
        <v>74</v>
      </c>
      <c r="U228" t="s">
        <v>74</v>
      </c>
      <c r="V228" t="s">
        <v>2136</v>
      </c>
      <c r="W228" t="s">
        <v>74</v>
      </c>
      <c r="X228" t="s">
        <v>74</v>
      </c>
      <c r="Y228" t="s">
        <v>74</v>
      </c>
      <c r="Z228" t="s">
        <v>74</v>
      </c>
      <c r="AA228" t="s">
        <v>2137</v>
      </c>
      <c r="AB228" t="s">
        <v>74</v>
      </c>
      <c r="AC228" t="s">
        <v>74</v>
      </c>
      <c r="AD228" t="s">
        <v>74</v>
      </c>
      <c r="AE228" t="s">
        <v>74</v>
      </c>
      <c r="AF228" t="s">
        <v>74</v>
      </c>
      <c r="AG228" t="s">
        <v>74</v>
      </c>
      <c r="AH228" t="s">
        <v>74</v>
      </c>
      <c r="AI228" t="s">
        <v>74</v>
      </c>
      <c r="AJ228" t="s">
        <v>74</v>
      </c>
      <c r="AK228" t="s">
        <v>74</v>
      </c>
      <c r="AL228" t="s">
        <v>74</v>
      </c>
      <c r="AM228" t="s">
        <v>74</v>
      </c>
      <c r="AN228" t="s">
        <v>74</v>
      </c>
      <c r="AO228" t="s">
        <v>414</v>
      </c>
      <c r="AP228" t="s">
        <v>415</v>
      </c>
      <c r="AQ228" t="s">
        <v>74</v>
      </c>
      <c r="AR228" t="s">
        <v>74</v>
      </c>
      <c r="AS228" t="s">
        <v>74</v>
      </c>
      <c r="AT228" t="s">
        <v>629</v>
      </c>
      <c r="AU228">
        <v>2024</v>
      </c>
      <c r="AV228">
        <v>20</v>
      </c>
      <c r="AW228">
        <v>34</v>
      </c>
      <c r="AX228" t="s">
        <v>74</v>
      </c>
      <c r="AY228" t="s">
        <v>74</v>
      </c>
      <c r="AZ228" t="s">
        <v>74</v>
      </c>
      <c r="BA228" t="s">
        <v>74</v>
      </c>
      <c r="BB228" t="s">
        <v>74</v>
      </c>
      <c r="BC228" t="s">
        <v>74</v>
      </c>
      <c r="BD228" t="s">
        <v>74</v>
      </c>
      <c r="BE228" t="s">
        <v>2138</v>
      </c>
      <c r="BF228" t="str">
        <f>HYPERLINK("http://dx.doi.org/10.1002/smll.202310845","http://dx.doi.org/10.1002/smll.202310845")</f>
        <v>http://dx.doi.org/10.1002/smll.202310845</v>
      </c>
      <c r="BG228" t="s">
        <v>74</v>
      </c>
      <c r="BH228" t="s">
        <v>2073</v>
      </c>
      <c r="BI228" t="s">
        <v>74</v>
      </c>
      <c r="BJ228" t="s">
        <v>74</v>
      </c>
      <c r="BK228" t="s">
        <v>74</v>
      </c>
      <c r="BL228" t="s">
        <v>74</v>
      </c>
      <c r="BM228" t="s">
        <v>74</v>
      </c>
      <c r="BN228">
        <v>38593367</v>
      </c>
      <c r="BO228" t="s">
        <v>74</v>
      </c>
      <c r="BP228" t="s">
        <v>74</v>
      </c>
      <c r="BQ228" t="s">
        <v>74</v>
      </c>
      <c r="BR228" t="s">
        <v>74</v>
      </c>
      <c r="BS228" t="s">
        <v>2139</v>
      </c>
      <c r="BT228" t="str">
        <f>HYPERLINK("https%3A%2F%2Fwww.webofscience.com%2Fwos%2Fwoscc%2Ffull-record%2FWOS:001198757300001","View Full Record in Web of Science")</f>
        <v>View Full Record in Web of Science</v>
      </c>
    </row>
    <row r="229" spans="1:72" x14ac:dyDescent="0.2">
      <c r="A229" t="s">
        <v>72</v>
      </c>
      <c r="B229" t="s">
        <v>2140</v>
      </c>
      <c r="C229" t="s">
        <v>74</v>
      </c>
      <c r="D229" t="s">
        <v>74</v>
      </c>
      <c r="E229" t="s">
        <v>74</v>
      </c>
      <c r="F229" t="s">
        <v>2141</v>
      </c>
      <c r="G229" t="s">
        <v>74</v>
      </c>
      <c r="H229" t="s">
        <v>74</v>
      </c>
      <c r="I229" t="s">
        <v>2142</v>
      </c>
      <c r="J229" t="s">
        <v>278</v>
      </c>
      <c r="K229" t="s">
        <v>74</v>
      </c>
      <c r="L229" t="s">
        <v>74</v>
      </c>
      <c r="M229" t="s">
        <v>74</v>
      </c>
      <c r="N229" t="s">
        <v>74</v>
      </c>
      <c r="O229" t="s">
        <v>74</v>
      </c>
      <c r="P229" t="s">
        <v>74</v>
      </c>
      <c r="Q229" t="s">
        <v>74</v>
      </c>
      <c r="R229" t="s">
        <v>74</v>
      </c>
      <c r="S229" t="s">
        <v>74</v>
      </c>
      <c r="T229" t="s">
        <v>74</v>
      </c>
      <c r="U229" t="s">
        <v>74</v>
      </c>
      <c r="V229" t="s">
        <v>2143</v>
      </c>
      <c r="W229" t="s">
        <v>74</v>
      </c>
      <c r="X229" t="s">
        <v>74</v>
      </c>
      <c r="Y229" t="s">
        <v>74</v>
      </c>
      <c r="Z229" t="s">
        <v>74</v>
      </c>
      <c r="AA229" t="s">
        <v>2144</v>
      </c>
      <c r="AB229" t="s">
        <v>2145</v>
      </c>
      <c r="AC229" t="s">
        <v>74</v>
      </c>
      <c r="AD229" t="s">
        <v>74</v>
      </c>
      <c r="AE229" t="s">
        <v>74</v>
      </c>
      <c r="AF229" t="s">
        <v>74</v>
      </c>
      <c r="AG229" t="s">
        <v>74</v>
      </c>
      <c r="AH229" t="s">
        <v>74</v>
      </c>
      <c r="AI229" t="s">
        <v>74</v>
      </c>
      <c r="AJ229" t="s">
        <v>74</v>
      </c>
      <c r="AK229" t="s">
        <v>74</v>
      </c>
      <c r="AL229" t="s">
        <v>74</v>
      </c>
      <c r="AM229" t="s">
        <v>74</v>
      </c>
      <c r="AN229" t="s">
        <v>74</v>
      </c>
      <c r="AO229" t="s">
        <v>281</v>
      </c>
      <c r="AP229" t="s">
        <v>282</v>
      </c>
      <c r="AQ229" t="s">
        <v>74</v>
      </c>
      <c r="AR229" t="s">
        <v>74</v>
      </c>
      <c r="AS229" t="s">
        <v>74</v>
      </c>
      <c r="AT229" t="s">
        <v>2146</v>
      </c>
      <c r="AU229">
        <v>2024</v>
      </c>
      <c r="AV229">
        <v>12</v>
      </c>
      <c r="AW229">
        <v>19</v>
      </c>
      <c r="AX229" t="s">
        <v>74</v>
      </c>
      <c r="AY229" t="s">
        <v>74</v>
      </c>
      <c r="AZ229" t="s">
        <v>74</v>
      </c>
      <c r="BA229" t="s">
        <v>74</v>
      </c>
      <c r="BB229">
        <v>11551</v>
      </c>
      <c r="BC229">
        <v>11562</v>
      </c>
      <c r="BD229" t="s">
        <v>74</v>
      </c>
      <c r="BE229" t="s">
        <v>2147</v>
      </c>
      <c r="BF229" t="str">
        <f>HYPERLINK("http://dx.doi.org/10.1039/d4ta01234h","http://dx.doi.org/10.1039/d4ta01234h")</f>
        <v>http://dx.doi.org/10.1039/d4ta01234h</v>
      </c>
      <c r="BG229" t="s">
        <v>74</v>
      </c>
      <c r="BH229" t="s">
        <v>2073</v>
      </c>
      <c r="BI229" t="s">
        <v>74</v>
      </c>
      <c r="BJ229" t="s">
        <v>74</v>
      </c>
      <c r="BK229" t="s">
        <v>74</v>
      </c>
      <c r="BL229" t="s">
        <v>74</v>
      </c>
      <c r="BM229" t="s">
        <v>74</v>
      </c>
      <c r="BN229" t="s">
        <v>74</v>
      </c>
      <c r="BO229" t="s">
        <v>74</v>
      </c>
      <c r="BP229" t="s">
        <v>74</v>
      </c>
      <c r="BQ229" t="s">
        <v>74</v>
      </c>
      <c r="BR229" t="s">
        <v>74</v>
      </c>
      <c r="BS229" t="s">
        <v>2148</v>
      </c>
      <c r="BT229" t="str">
        <f>HYPERLINK("https%3A%2F%2Fwww.webofscience.com%2Fwos%2Fwoscc%2Ffull-record%2FWOS:001204196100001","View Full Record in Web of Science")</f>
        <v>View Full Record in Web of Science</v>
      </c>
    </row>
    <row r="230" spans="1:72" x14ac:dyDescent="0.2">
      <c r="A230" t="s">
        <v>72</v>
      </c>
      <c r="B230" t="s">
        <v>2149</v>
      </c>
      <c r="C230" t="s">
        <v>74</v>
      </c>
      <c r="D230" t="s">
        <v>74</v>
      </c>
      <c r="E230" t="s">
        <v>74</v>
      </c>
      <c r="F230" t="s">
        <v>2150</v>
      </c>
      <c r="G230" t="s">
        <v>74</v>
      </c>
      <c r="H230" t="s">
        <v>74</v>
      </c>
      <c r="I230" t="s">
        <v>2151</v>
      </c>
      <c r="J230" t="s">
        <v>488</v>
      </c>
      <c r="K230" t="s">
        <v>74</v>
      </c>
      <c r="L230" t="s">
        <v>74</v>
      </c>
      <c r="M230" t="s">
        <v>74</v>
      </c>
      <c r="N230" t="s">
        <v>74</v>
      </c>
      <c r="O230" t="s">
        <v>74</v>
      </c>
      <c r="P230" t="s">
        <v>74</v>
      </c>
      <c r="Q230" t="s">
        <v>74</v>
      </c>
      <c r="R230" t="s">
        <v>74</v>
      </c>
      <c r="S230" t="s">
        <v>74</v>
      </c>
      <c r="T230" t="s">
        <v>74</v>
      </c>
      <c r="U230" t="s">
        <v>74</v>
      </c>
      <c r="V230" t="s">
        <v>2152</v>
      </c>
      <c r="W230" t="s">
        <v>74</v>
      </c>
      <c r="X230" t="s">
        <v>74</v>
      </c>
      <c r="Y230" t="s">
        <v>74</v>
      </c>
      <c r="Z230" t="s">
        <v>74</v>
      </c>
      <c r="AA230" t="s">
        <v>2153</v>
      </c>
      <c r="AB230" t="s">
        <v>74</v>
      </c>
      <c r="AC230" t="s">
        <v>74</v>
      </c>
      <c r="AD230" t="s">
        <v>74</v>
      </c>
      <c r="AE230" t="s">
        <v>74</v>
      </c>
      <c r="AF230" t="s">
        <v>74</v>
      </c>
      <c r="AG230" t="s">
        <v>74</v>
      </c>
      <c r="AH230" t="s">
        <v>74</v>
      </c>
      <c r="AI230" t="s">
        <v>74</v>
      </c>
      <c r="AJ230" t="s">
        <v>74</v>
      </c>
      <c r="AK230" t="s">
        <v>74</v>
      </c>
      <c r="AL230" t="s">
        <v>74</v>
      </c>
      <c r="AM230" t="s">
        <v>74</v>
      </c>
      <c r="AN230" t="s">
        <v>74</v>
      </c>
      <c r="AO230" t="s">
        <v>491</v>
      </c>
      <c r="AP230" t="s">
        <v>74</v>
      </c>
      <c r="AQ230" t="s">
        <v>74</v>
      </c>
      <c r="AR230" t="s">
        <v>74</v>
      </c>
      <c r="AS230" t="s">
        <v>74</v>
      </c>
      <c r="AT230" t="s">
        <v>2154</v>
      </c>
      <c r="AU230">
        <v>2024</v>
      </c>
      <c r="AV230">
        <v>12</v>
      </c>
      <c r="AW230">
        <v>15</v>
      </c>
      <c r="AX230" t="s">
        <v>74</v>
      </c>
      <c r="AY230" t="s">
        <v>74</v>
      </c>
      <c r="AZ230" t="s">
        <v>74</v>
      </c>
      <c r="BA230" t="s">
        <v>74</v>
      </c>
      <c r="BB230">
        <v>5766</v>
      </c>
      <c r="BC230">
        <v>5779</v>
      </c>
      <c r="BD230" t="s">
        <v>74</v>
      </c>
      <c r="BE230" t="s">
        <v>2155</v>
      </c>
      <c r="BF230" t="str">
        <f>HYPERLINK("http://dx.doi.org/10.1021/acssuschemeng.3c06945","http://dx.doi.org/10.1021/acssuschemeng.3c06945")</f>
        <v>http://dx.doi.org/10.1021/acssuschemeng.3c06945</v>
      </c>
      <c r="BG230" t="s">
        <v>74</v>
      </c>
      <c r="BH230" t="s">
        <v>2073</v>
      </c>
      <c r="BI230" t="s">
        <v>74</v>
      </c>
      <c r="BJ230" t="s">
        <v>74</v>
      </c>
      <c r="BK230" t="s">
        <v>74</v>
      </c>
      <c r="BL230" t="s">
        <v>74</v>
      </c>
      <c r="BM230" t="s">
        <v>74</v>
      </c>
      <c r="BN230" t="s">
        <v>74</v>
      </c>
      <c r="BO230" t="s">
        <v>74</v>
      </c>
      <c r="BP230" t="s">
        <v>74</v>
      </c>
      <c r="BQ230" t="s">
        <v>74</v>
      </c>
      <c r="BR230" t="s">
        <v>74</v>
      </c>
      <c r="BS230" t="s">
        <v>2156</v>
      </c>
      <c r="BT230" t="str">
        <f>HYPERLINK("https%3A%2F%2Fwww.webofscience.com%2Fwos%2Fwoscc%2Ffull-record%2FWOS:001196475300001","View Full Record in Web of Science")</f>
        <v>View Full Record in Web of Science</v>
      </c>
    </row>
    <row r="231" spans="1:72" x14ac:dyDescent="0.2">
      <c r="A231" t="s">
        <v>72</v>
      </c>
      <c r="B231" t="s">
        <v>2157</v>
      </c>
      <c r="C231" t="s">
        <v>74</v>
      </c>
      <c r="D231" t="s">
        <v>74</v>
      </c>
      <c r="E231" t="s">
        <v>74</v>
      </c>
      <c r="F231" t="s">
        <v>2158</v>
      </c>
      <c r="G231" t="s">
        <v>74</v>
      </c>
      <c r="H231" t="s">
        <v>74</v>
      </c>
      <c r="I231" t="s">
        <v>2159</v>
      </c>
      <c r="J231" t="s">
        <v>109</v>
      </c>
      <c r="K231" t="s">
        <v>74</v>
      </c>
      <c r="L231" t="s">
        <v>74</v>
      </c>
      <c r="M231" t="s">
        <v>74</v>
      </c>
      <c r="N231" t="s">
        <v>74</v>
      </c>
      <c r="O231" t="s">
        <v>74</v>
      </c>
      <c r="P231" t="s">
        <v>74</v>
      </c>
      <c r="Q231" t="s">
        <v>74</v>
      </c>
      <c r="R231" t="s">
        <v>74</v>
      </c>
      <c r="S231" t="s">
        <v>74</v>
      </c>
      <c r="T231" t="s">
        <v>74</v>
      </c>
      <c r="U231" t="s">
        <v>74</v>
      </c>
      <c r="V231" t="s">
        <v>2160</v>
      </c>
      <c r="W231" t="s">
        <v>74</v>
      </c>
      <c r="X231" t="s">
        <v>74</v>
      </c>
      <c r="Y231" t="s">
        <v>74</v>
      </c>
      <c r="Z231" t="s">
        <v>74</v>
      </c>
      <c r="AA231" t="s">
        <v>2161</v>
      </c>
      <c r="AB231" t="s">
        <v>2162</v>
      </c>
      <c r="AC231" t="s">
        <v>74</v>
      </c>
      <c r="AD231" t="s">
        <v>74</v>
      </c>
      <c r="AE231" t="s">
        <v>74</v>
      </c>
      <c r="AF231" t="s">
        <v>74</v>
      </c>
      <c r="AG231" t="s">
        <v>74</v>
      </c>
      <c r="AH231" t="s">
        <v>74</v>
      </c>
      <c r="AI231" t="s">
        <v>74</v>
      </c>
      <c r="AJ231" t="s">
        <v>74</v>
      </c>
      <c r="AK231" t="s">
        <v>74</v>
      </c>
      <c r="AL231" t="s">
        <v>74</v>
      </c>
      <c r="AM231" t="s">
        <v>74</v>
      </c>
      <c r="AN231" t="s">
        <v>74</v>
      </c>
      <c r="AO231" t="s">
        <v>112</v>
      </c>
      <c r="AP231" t="s">
        <v>74</v>
      </c>
      <c r="AQ231" t="s">
        <v>74</v>
      </c>
      <c r="AR231" t="s">
        <v>74</v>
      </c>
      <c r="AS231" t="s">
        <v>74</v>
      </c>
      <c r="AT231" t="s">
        <v>368</v>
      </c>
      <c r="AU231">
        <v>2024</v>
      </c>
      <c r="AV231">
        <v>94</v>
      </c>
      <c r="AW231" t="s">
        <v>74</v>
      </c>
      <c r="AX231" t="s">
        <v>74</v>
      </c>
      <c r="AY231" t="s">
        <v>74</v>
      </c>
      <c r="AZ231" t="s">
        <v>74</v>
      </c>
      <c r="BA231" t="s">
        <v>74</v>
      </c>
      <c r="BB231">
        <v>656</v>
      </c>
      <c r="BC231">
        <v>676</v>
      </c>
      <c r="BD231" t="s">
        <v>74</v>
      </c>
      <c r="BE231" t="s">
        <v>2163</v>
      </c>
      <c r="BF231" t="str">
        <f>HYPERLINK("http://dx.doi.org/10.1016/j.jechem.2024.03.015","http://dx.doi.org/10.1016/j.jechem.2024.03.015")</f>
        <v>http://dx.doi.org/10.1016/j.jechem.2024.03.015</v>
      </c>
      <c r="BG231" t="s">
        <v>74</v>
      </c>
      <c r="BH231" t="s">
        <v>2073</v>
      </c>
      <c r="BI231" t="s">
        <v>74</v>
      </c>
      <c r="BJ231" t="s">
        <v>74</v>
      </c>
      <c r="BK231" t="s">
        <v>74</v>
      </c>
      <c r="BL231" t="s">
        <v>74</v>
      </c>
      <c r="BM231" t="s">
        <v>74</v>
      </c>
      <c r="BN231" t="s">
        <v>74</v>
      </c>
      <c r="BO231" t="s">
        <v>74</v>
      </c>
      <c r="BP231" t="s">
        <v>74</v>
      </c>
      <c r="BQ231" t="s">
        <v>74</v>
      </c>
      <c r="BR231" t="s">
        <v>74</v>
      </c>
      <c r="BS231" t="s">
        <v>2164</v>
      </c>
      <c r="BT231" t="str">
        <f>HYPERLINK("https%3A%2F%2Fwww.webofscience.com%2Fwos%2Fwoscc%2Ffull-record%2FWOS:001218636400001","View Full Record in Web of Science")</f>
        <v>View Full Record in Web of Science</v>
      </c>
    </row>
    <row r="232" spans="1:72" x14ac:dyDescent="0.2">
      <c r="A232" t="s">
        <v>72</v>
      </c>
      <c r="B232" t="s">
        <v>2165</v>
      </c>
      <c r="C232" t="s">
        <v>74</v>
      </c>
      <c r="D232" t="s">
        <v>74</v>
      </c>
      <c r="E232" t="s">
        <v>74</v>
      </c>
      <c r="F232" t="s">
        <v>2166</v>
      </c>
      <c r="G232" t="s">
        <v>74</v>
      </c>
      <c r="H232" t="s">
        <v>74</v>
      </c>
      <c r="I232" t="s">
        <v>2167</v>
      </c>
      <c r="J232" t="s">
        <v>2168</v>
      </c>
      <c r="K232" t="s">
        <v>74</v>
      </c>
      <c r="L232" t="s">
        <v>74</v>
      </c>
      <c r="M232" t="s">
        <v>74</v>
      </c>
      <c r="N232" t="s">
        <v>74</v>
      </c>
      <c r="O232" t="s">
        <v>74</v>
      </c>
      <c r="P232" t="s">
        <v>74</v>
      </c>
      <c r="Q232" t="s">
        <v>74</v>
      </c>
      <c r="R232" t="s">
        <v>74</v>
      </c>
      <c r="S232" t="s">
        <v>74</v>
      </c>
      <c r="T232" t="s">
        <v>74</v>
      </c>
      <c r="U232" t="s">
        <v>74</v>
      </c>
      <c r="V232" t="s">
        <v>2169</v>
      </c>
      <c r="W232" t="s">
        <v>74</v>
      </c>
      <c r="X232" t="s">
        <v>74</v>
      </c>
      <c r="Y232" t="s">
        <v>74</v>
      </c>
      <c r="Z232" t="s">
        <v>74</v>
      </c>
      <c r="AA232" t="s">
        <v>2170</v>
      </c>
      <c r="AB232" t="s">
        <v>2171</v>
      </c>
      <c r="AC232" t="s">
        <v>74</v>
      </c>
      <c r="AD232" t="s">
        <v>74</v>
      </c>
      <c r="AE232" t="s">
        <v>74</v>
      </c>
      <c r="AF232" t="s">
        <v>74</v>
      </c>
      <c r="AG232" t="s">
        <v>74</v>
      </c>
      <c r="AH232" t="s">
        <v>74</v>
      </c>
      <c r="AI232" t="s">
        <v>74</v>
      </c>
      <c r="AJ232" t="s">
        <v>74</v>
      </c>
      <c r="AK232" t="s">
        <v>74</v>
      </c>
      <c r="AL232" t="s">
        <v>74</v>
      </c>
      <c r="AM232" t="s">
        <v>74</v>
      </c>
      <c r="AN232" t="s">
        <v>74</v>
      </c>
      <c r="AO232" t="s">
        <v>2172</v>
      </c>
      <c r="AP232" t="s">
        <v>2173</v>
      </c>
      <c r="AQ232" t="s">
        <v>74</v>
      </c>
      <c r="AR232" t="s">
        <v>74</v>
      </c>
      <c r="AS232" t="s">
        <v>74</v>
      </c>
      <c r="AT232" t="s">
        <v>2174</v>
      </c>
      <c r="AU232">
        <v>2024</v>
      </c>
      <c r="AV232">
        <v>582</v>
      </c>
      <c r="AW232" t="s">
        <v>74</v>
      </c>
      <c r="AX232" t="s">
        <v>74</v>
      </c>
      <c r="AY232" t="s">
        <v>74</v>
      </c>
      <c r="AZ232" t="s">
        <v>74</v>
      </c>
      <c r="BA232" t="s">
        <v>74</v>
      </c>
      <c r="BB232" t="s">
        <v>74</v>
      </c>
      <c r="BC232" t="s">
        <v>74</v>
      </c>
      <c r="BD232">
        <v>112278</v>
      </c>
      <c r="BE232" t="s">
        <v>2175</v>
      </c>
      <c r="BF232" t="str">
        <f>HYPERLINK("http://dx.doi.org/10.1016/j.chemphys.2024.112278","http://dx.doi.org/10.1016/j.chemphys.2024.112278")</f>
        <v>http://dx.doi.org/10.1016/j.chemphys.2024.112278</v>
      </c>
      <c r="BG232" t="s">
        <v>74</v>
      </c>
      <c r="BH232" t="s">
        <v>2176</v>
      </c>
      <c r="BI232" t="s">
        <v>74</v>
      </c>
      <c r="BJ232" t="s">
        <v>74</v>
      </c>
      <c r="BK232" t="s">
        <v>74</v>
      </c>
      <c r="BL232" t="s">
        <v>74</v>
      </c>
      <c r="BM232" t="s">
        <v>74</v>
      </c>
      <c r="BN232" t="s">
        <v>74</v>
      </c>
      <c r="BO232" t="s">
        <v>74</v>
      </c>
      <c r="BP232" t="s">
        <v>74</v>
      </c>
      <c r="BQ232" t="s">
        <v>74</v>
      </c>
      <c r="BR232" t="s">
        <v>74</v>
      </c>
      <c r="BS232" t="s">
        <v>2177</v>
      </c>
      <c r="BT232" t="str">
        <f>HYPERLINK("https%3A%2F%2Fwww.webofscience.com%2Fwos%2Fwoscc%2Ffull-record%2FWOS:001221395800001","View Full Record in Web of Science")</f>
        <v>View Full Record in Web of Science</v>
      </c>
    </row>
    <row r="233" spans="1:72" x14ac:dyDescent="0.2">
      <c r="A233" t="s">
        <v>72</v>
      </c>
      <c r="B233" t="s">
        <v>2178</v>
      </c>
      <c r="C233" t="s">
        <v>74</v>
      </c>
      <c r="D233" t="s">
        <v>74</v>
      </c>
      <c r="E233" t="s">
        <v>74</v>
      </c>
      <c r="F233" t="s">
        <v>2179</v>
      </c>
      <c r="G233" t="s">
        <v>74</v>
      </c>
      <c r="H233" t="s">
        <v>74</v>
      </c>
      <c r="I233" t="s">
        <v>2180</v>
      </c>
      <c r="J233" t="s">
        <v>2181</v>
      </c>
      <c r="K233" t="s">
        <v>74</v>
      </c>
      <c r="L233" t="s">
        <v>74</v>
      </c>
      <c r="M233" t="s">
        <v>74</v>
      </c>
      <c r="N233" t="s">
        <v>74</v>
      </c>
      <c r="O233" t="s">
        <v>74</v>
      </c>
      <c r="P233" t="s">
        <v>74</v>
      </c>
      <c r="Q233" t="s">
        <v>74</v>
      </c>
      <c r="R233" t="s">
        <v>74</v>
      </c>
      <c r="S233" t="s">
        <v>74</v>
      </c>
      <c r="T233" t="s">
        <v>74</v>
      </c>
      <c r="U233" t="s">
        <v>74</v>
      </c>
      <c r="V233" t="s">
        <v>2182</v>
      </c>
      <c r="W233" t="s">
        <v>74</v>
      </c>
      <c r="X233" t="s">
        <v>74</v>
      </c>
      <c r="Y233" t="s">
        <v>74</v>
      </c>
      <c r="Z233" t="s">
        <v>74</v>
      </c>
      <c r="AA233" t="s">
        <v>2183</v>
      </c>
      <c r="AB233" t="s">
        <v>2184</v>
      </c>
      <c r="AC233" t="s">
        <v>74</v>
      </c>
      <c r="AD233" t="s">
        <v>74</v>
      </c>
      <c r="AE233" t="s">
        <v>74</v>
      </c>
      <c r="AF233" t="s">
        <v>74</v>
      </c>
      <c r="AG233" t="s">
        <v>74</v>
      </c>
      <c r="AH233" t="s">
        <v>74</v>
      </c>
      <c r="AI233" t="s">
        <v>74</v>
      </c>
      <c r="AJ233" t="s">
        <v>74</v>
      </c>
      <c r="AK233" t="s">
        <v>74</v>
      </c>
      <c r="AL233" t="s">
        <v>74</v>
      </c>
      <c r="AM233" t="s">
        <v>74</v>
      </c>
      <c r="AN233" t="s">
        <v>74</v>
      </c>
      <c r="AO233" t="s">
        <v>2185</v>
      </c>
      <c r="AP233" t="s">
        <v>2186</v>
      </c>
      <c r="AQ233" t="s">
        <v>74</v>
      </c>
      <c r="AR233" t="s">
        <v>74</v>
      </c>
      <c r="AS233" t="s">
        <v>74</v>
      </c>
      <c r="AT233" t="s">
        <v>545</v>
      </c>
      <c r="AU233">
        <v>2024</v>
      </c>
      <c r="AV233">
        <v>215</v>
      </c>
      <c r="AW233" t="s">
        <v>74</v>
      </c>
      <c r="AX233" t="s">
        <v>74</v>
      </c>
      <c r="AY233" t="s">
        <v>74</v>
      </c>
      <c r="AZ233" t="s">
        <v>74</v>
      </c>
      <c r="BA233" t="s">
        <v>74</v>
      </c>
      <c r="BB233" t="s">
        <v>74</v>
      </c>
      <c r="BC233" t="s">
        <v>74</v>
      </c>
      <c r="BD233">
        <v>106906</v>
      </c>
      <c r="BE233" t="s">
        <v>2187</v>
      </c>
      <c r="BF233" t="str">
        <f>HYPERLINK("http://dx.doi.org/10.1016/j.sab.2024.106906","http://dx.doi.org/10.1016/j.sab.2024.106906")</f>
        <v>http://dx.doi.org/10.1016/j.sab.2024.106906</v>
      </c>
      <c r="BG233" t="s">
        <v>74</v>
      </c>
      <c r="BH233" t="s">
        <v>2176</v>
      </c>
      <c r="BI233" t="s">
        <v>74</v>
      </c>
      <c r="BJ233" t="s">
        <v>74</v>
      </c>
      <c r="BK233" t="s">
        <v>74</v>
      </c>
      <c r="BL233" t="s">
        <v>74</v>
      </c>
      <c r="BM233" t="s">
        <v>74</v>
      </c>
      <c r="BN233" t="s">
        <v>74</v>
      </c>
      <c r="BO233" t="s">
        <v>74</v>
      </c>
      <c r="BP233" t="s">
        <v>74</v>
      </c>
      <c r="BQ233" t="s">
        <v>74</v>
      </c>
      <c r="BR233" t="s">
        <v>74</v>
      </c>
      <c r="BS233" t="s">
        <v>2188</v>
      </c>
      <c r="BT233" t="str">
        <f>HYPERLINK("https%3A%2F%2Fwww.webofscience.com%2Fwos%2Fwoscc%2Ffull-record%2FWOS:001224413200001","View Full Record in Web of Science")</f>
        <v>View Full Record in Web of Science</v>
      </c>
    </row>
    <row r="234" spans="1:72" x14ac:dyDescent="0.2">
      <c r="A234" t="s">
        <v>72</v>
      </c>
      <c r="B234" t="s">
        <v>2189</v>
      </c>
      <c r="C234" t="s">
        <v>74</v>
      </c>
      <c r="D234" t="s">
        <v>74</v>
      </c>
      <c r="E234" t="s">
        <v>74</v>
      </c>
      <c r="F234" t="s">
        <v>2190</v>
      </c>
      <c r="G234" t="s">
        <v>74</v>
      </c>
      <c r="H234" t="s">
        <v>74</v>
      </c>
      <c r="I234" t="s">
        <v>2191</v>
      </c>
      <c r="J234" t="s">
        <v>161</v>
      </c>
      <c r="K234" t="s">
        <v>74</v>
      </c>
      <c r="L234" t="s">
        <v>74</v>
      </c>
      <c r="M234" t="s">
        <v>74</v>
      </c>
      <c r="N234" t="s">
        <v>74</v>
      </c>
      <c r="O234" t="s">
        <v>74</v>
      </c>
      <c r="P234" t="s">
        <v>74</v>
      </c>
      <c r="Q234" t="s">
        <v>74</v>
      </c>
      <c r="R234" t="s">
        <v>74</v>
      </c>
      <c r="S234" t="s">
        <v>74</v>
      </c>
      <c r="T234" t="s">
        <v>74</v>
      </c>
      <c r="U234" t="s">
        <v>74</v>
      </c>
      <c r="V234" t="s">
        <v>2192</v>
      </c>
      <c r="W234" t="s">
        <v>74</v>
      </c>
      <c r="X234" t="s">
        <v>74</v>
      </c>
      <c r="Y234" t="s">
        <v>74</v>
      </c>
      <c r="Z234" t="s">
        <v>74</v>
      </c>
      <c r="AA234" t="s">
        <v>2193</v>
      </c>
      <c r="AB234" t="s">
        <v>74</v>
      </c>
      <c r="AC234" t="s">
        <v>74</v>
      </c>
      <c r="AD234" t="s">
        <v>74</v>
      </c>
      <c r="AE234" t="s">
        <v>74</v>
      </c>
      <c r="AF234" t="s">
        <v>74</v>
      </c>
      <c r="AG234" t="s">
        <v>74</v>
      </c>
      <c r="AH234" t="s">
        <v>74</v>
      </c>
      <c r="AI234" t="s">
        <v>74</v>
      </c>
      <c r="AJ234" t="s">
        <v>74</v>
      </c>
      <c r="AK234" t="s">
        <v>74</v>
      </c>
      <c r="AL234" t="s">
        <v>74</v>
      </c>
      <c r="AM234" t="s">
        <v>74</v>
      </c>
      <c r="AN234" t="s">
        <v>74</v>
      </c>
      <c r="AO234" t="s">
        <v>163</v>
      </c>
      <c r="AP234" t="s">
        <v>164</v>
      </c>
      <c r="AQ234" t="s">
        <v>74</v>
      </c>
      <c r="AR234" t="s">
        <v>74</v>
      </c>
      <c r="AS234" t="s">
        <v>74</v>
      </c>
      <c r="AT234" t="s">
        <v>2194</v>
      </c>
      <c r="AU234">
        <v>2024</v>
      </c>
      <c r="AV234">
        <v>487</v>
      </c>
      <c r="AW234" t="s">
        <v>74</v>
      </c>
      <c r="AX234" t="s">
        <v>74</v>
      </c>
      <c r="AY234" t="s">
        <v>74</v>
      </c>
      <c r="AZ234" t="s">
        <v>74</v>
      </c>
      <c r="BA234" t="s">
        <v>74</v>
      </c>
      <c r="BB234" t="s">
        <v>74</v>
      </c>
      <c r="BC234" t="s">
        <v>74</v>
      </c>
      <c r="BD234">
        <v>150586</v>
      </c>
      <c r="BE234" t="s">
        <v>2195</v>
      </c>
      <c r="BF234" t="str">
        <f>HYPERLINK("http://dx.doi.org/10.1016/j.cej.2024.150586","http://dx.doi.org/10.1016/j.cej.2024.150586")</f>
        <v>http://dx.doi.org/10.1016/j.cej.2024.150586</v>
      </c>
      <c r="BG234" t="s">
        <v>74</v>
      </c>
      <c r="BH234" t="s">
        <v>2176</v>
      </c>
      <c r="BI234" t="s">
        <v>74</v>
      </c>
      <c r="BJ234" t="s">
        <v>74</v>
      </c>
      <c r="BK234" t="s">
        <v>74</v>
      </c>
      <c r="BL234" t="s">
        <v>74</v>
      </c>
      <c r="BM234" t="s">
        <v>74</v>
      </c>
      <c r="BN234" t="s">
        <v>74</v>
      </c>
      <c r="BO234" t="s">
        <v>74</v>
      </c>
      <c r="BP234" t="s">
        <v>74</v>
      </c>
      <c r="BQ234" t="s">
        <v>74</v>
      </c>
      <c r="BR234" t="s">
        <v>74</v>
      </c>
      <c r="BS234" t="s">
        <v>2196</v>
      </c>
      <c r="BT234" t="str">
        <f>HYPERLINK("https%3A%2F%2Fwww.webofscience.com%2Fwos%2Fwoscc%2Ffull-record%2FWOS:001217812500001","View Full Record in Web of Science")</f>
        <v>View Full Record in Web of Science</v>
      </c>
    </row>
    <row r="235" spans="1:72" x14ac:dyDescent="0.2">
      <c r="A235" t="s">
        <v>72</v>
      </c>
      <c r="B235" t="s">
        <v>2197</v>
      </c>
      <c r="C235" t="s">
        <v>74</v>
      </c>
      <c r="D235" t="s">
        <v>74</v>
      </c>
      <c r="E235" t="s">
        <v>74</v>
      </c>
      <c r="F235" t="s">
        <v>2198</v>
      </c>
      <c r="G235" t="s">
        <v>74</v>
      </c>
      <c r="H235" t="s">
        <v>74</v>
      </c>
      <c r="I235" t="s">
        <v>2199</v>
      </c>
      <c r="J235" t="s">
        <v>2200</v>
      </c>
      <c r="K235" t="s">
        <v>74</v>
      </c>
      <c r="L235" t="s">
        <v>74</v>
      </c>
      <c r="M235" t="s">
        <v>74</v>
      </c>
      <c r="N235" t="s">
        <v>74</v>
      </c>
      <c r="O235" t="s">
        <v>74</v>
      </c>
      <c r="P235" t="s">
        <v>74</v>
      </c>
      <c r="Q235" t="s">
        <v>74</v>
      </c>
      <c r="R235" t="s">
        <v>74</v>
      </c>
      <c r="S235" t="s">
        <v>74</v>
      </c>
      <c r="T235" t="s">
        <v>74</v>
      </c>
      <c r="U235" t="s">
        <v>74</v>
      </c>
      <c r="V235" t="s">
        <v>2201</v>
      </c>
      <c r="W235" t="s">
        <v>74</v>
      </c>
      <c r="X235" t="s">
        <v>74</v>
      </c>
      <c r="Y235" t="s">
        <v>74</v>
      </c>
      <c r="Z235" t="s">
        <v>74</v>
      </c>
      <c r="AA235" t="s">
        <v>2202</v>
      </c>
      <c r="AB235" t="s">
        <v>2203</v>
      </c>
      <c r="AC235" t="s">
        <v>74</v>
      </c>
      <c r="AD235" t="s">
        <v>74</v>
      </c>
      <c r="AE235" t="s">
        <v>74</v>
      </c>
      <c r="AF235" t="s">
        <v>74</v>
      </c>
      <c r="AG235" t="s">
        <v>74</v>
      </c>
      <c r="AH235" t="s">
        <v>74</v>
      </c>
      <c r="AI235" t="s">
        <v>74</v>
      </c>
      <c r="AJ235" t="s">
        <v>74</v>
      </c>
      <c r="AK235" t="s">
        <v>74</v>
      </c>
      <c r="AL235" t="s">
        <v>74</v>
      </c>
      <c r="AM235" t="s">
        <v>74</v>
      </c>
      <c r="AN235" t="s">
        <v>74</v>
      </c>
      <c r="AO235" t="s">
        <v>74</v>
      </c>
      <c r="AP235" t="s">
        <v>2204</v>
      </c>
      <c r="AQ235" t="s">
        <v>74</v>
      </c>
      <c r="AR235" t="s">
        <v>74</v>
      </c>
      <c r="AS235" t="s">
        <v>74</v>
      </c>
      <c r="AT235" t="s">
        <v>629</v>
      </c>
      <c r="AU235">
        <v>2024</v>
      </c>
      <c r="AV235">
        <v>6</v>
      </c>
      <c r="AW235">
        <v>8</v>
      </c>
      <c r="AX235" t="s">
        <v>74</v>
      </c>
      <c r="AY235" t="s">
        <v>74</v>
      </c>
      <c r="AZ235" t="s">
        <v>74</v>
      </c>
      <c r="BA235" t="s">
        <v>74</v>
      </c>
      <c r="BB235" t="s">
        <v>74</v>
      </c>
      <c r="BC235" t="s">
        <v>74</v>
      </c>
      <c r="BD235" t="s">
        <v>74</v>
      </c>
      <c r="BE235" t="s">
        <v>2205</v>
      </c>
      <c r="BF235" t="str">
        <f>HYPERLINK("http://dx.doi.org/10.1002/cey2.511","http://dx.doi.org/10.1002/cey2.511")</f>
        <v>http://dx.doi.org/10.1002/cey2.511</v>
      </c>
      <c r="BG235" t="s">
        <v>74</v>
      </c>
      <c r="BH235" t="s">
        <v>2176</v>
      </c>
      <c r="BI235" t="s">
        <v>74</v>
      </c>
      <c r="BJ235" t="s">
        <v>74</v>
      </c>
      <c r="BK235" t="s">
        <v>74</v>
      </c>
      <c r="BL235" t="s">
        <v>74</v>
      </c>
      <c r="BM235" t="s">
        <v>74</v>
      </c>
      <c r="BN235" t="s">
        <v>74</v>
      </c>
      <c r="BO235" t="s">
        <v>74</v>
      </c>
      <c r="BP235" t="s">
        <v>74</v>
      </c>
      <c r="BQ235" t="s">
        <v>74</v>
      </c>
      <c r="BR235" t="s">
        <v>74</v>
      </c>
      <c r="BS235" t="s">
        <v>2206</v>
      </c>
      <c r="BT235" t="str">
        <f>HYPERLINK("https%3A%2F%2Fwww.webofscience.com%2Fwos%2Fwoscc%2Ffull-record%2FWOS:001188991900001","View Full Record in Web of Science")</f>
        <v>View Full Record in Web of Science</v>
      </c>
    </row>
    <row r="236" spans="1:72" x14ac:dyDescent="0.2">
      <c r="A236" t="s">
        <v>72</v>
      </c>
      <c r="B236" t="s">
        <v>2207</v>
      </c>
      <c r="C236" t="s">
        <v>74</v>
      </c>
      <c r="D236" t="s">
        <v>74</v>
      </c>
      <c r="E236" t="s">
        <v>74</v>
      </c>
      <c r="F236" t="s">
        <v>2208</v>
      </c>
      <c r="G236" t="s">
        <v>74</v>
      </c>
      <c r="H236" t="s">
        <v>74</v>
      </c>
      <c r="I236" t="s">
        <v>2209</v>
      </c>
      <c r="J236" t="s">
        <v>362</v>
      </c>
      <c r="K236" t="s">
        <v>74</v>
      </c>
      <c r="L236" t="s">
        <v>74</v>
      </c>
      <c r="M236" t="s">
        <v>74</v>
      </c>
      <c r="N236" t="s">
        <v>74</v>
      </c>
      <c r="O236" t="s">
        <v>74</v>
      </c>
      <c r="P236" t="s">
        <v>74</v>
      </c>
      <c r="Q236" t="s">
        <v>74</v>
      </c>
      <c r="R236" t="s">
        <v>74</v>
      </c>
      <c r="S236" t="s">
        <v>74</v>
      </c>
      <c r="T236" t="s">
        <v>74</v>
      </c>
      <c r="U236" t="s">
        <v>74</v>
      </c>
      <c r="V236" t="s">
        <v>2210</v>
      </c>
      <c r="W236" t="s">
        <v>74</v>
      </c>
      <c r="X236" t="s">
        <v>74</v>
      </c>
      <c r="Y236" t="s">
        <v>74</v>
      </c>
      <c r="Z236" t="s">
        <v>74</v>
      </c>
      <c r="AA236" t="s">
        <v>2211</v>
      </c>
      <c r="AB236" t="s">
        <v>2212</v>
      </c>
      <c r="AC236" t="s">
        <v>74</v>
      </c>
      <c r="AD236" t="s">
        <v>74</v>
      </c>
      <c r="AE236" t="s">
        <v>74</v>
      </c>
      <c r="AF236" t="s">
        <v>74</v>
      </c>
      <c r="AG236" t="s">
        <v>74</v>
      </c>
      <c r="AH236" t="s">
        <v>74</v>
      </c>
      <c r="AI236" t="s">
        <v>74</v>
      </c>
      <c r="AJ236" t="s">
        <v>74</v>
      </c>
      <c r="AK236" t="s">
        <v>74</v>
      </c>
      <c r="AL236" t="s">
        <v>74</v>
      </c>
      <c r="AM236" t="s">
        <v>74</v>
      </c>
      <c r="AN236" t="s">
        <v>74</v>
      </c>
      <c r="AO236" t="s">
        <v>366</v>
      </c>
      <c r="AP236" t="s">
        <v>367</v>
      </c>
      <c r="AQ236" t="s">
        <v>74</v>
      </c>
      <c r="AR236" t="s">
        <v>74</v>
      </c>
      <c r="AS236" t="s">
        <v>74</v>
      </c>
      <c r="AT236" t="s">
        <v>1972</v>
      </c>
      <c r="AU236">
        <v>2024</v>
      </c>
      <c r="AV236">
        <v>35</v>
      </c>
      <c r="AW236">
        <v>6</v>
      </c>
      <c r="AX236" t="s">
        <v>74</v>
      </c>
      <c r="AY236" t="s">
        <v>74</v>
      </c>
      <c r="AZ236" t="s">
        <v>74</v>
      </c>
      <c r="BA236" t="s">
        <v>74</v>
      </c>
      <c r="BB236" t="s">
        <v>74</v>
      </c>
      <c r="BC236" t="s">
        <v>74</v>
      </c>
      <c r="BD236">
        <v>108797</v>
      </c>
      <c r="BE236" t="s">
        <v>2213</v>
      </c>
      <c r="BF236" t="str">
        <f>HYPERLINK("http://dx.doi.org/10.1016/j.cclet.2023.108797","http://dx.doi.org/10.1016/j.cclet.2023.108797")</f>
        <v>http://dx.doi.org/10.1016/j.cclet.2023.108797</v>
      </c>
      <c r="BG236" t="s">
        <v>74</v>
      </c>
      <c r="BH236" t="s">
        <v>2176</v>
      </c>
      <c r="BI236" t="s">
        <v>74</v>
      </c>
      <c r="BJ236" t="s">
        <v>74</v>
      </c>
      <c r="BK236" t="s">
        <v>74</v>
      </c>
      <c r="BL236" t="s">
        <v>74</v>
      </c>
      <c r="BM236" t="s">
        <v>74</v>
      </c>
      <c r="BN236" t="s">
        <v>74</v>
      </c>
      <c r="BO236" t="s">
        <v>74</v>
      </c>
      <c r="BP236" t="s">
        <v>74</v>
      </c>
      <c r="BQ236" t="s">
        <v>74</v>
      </c>
      <c r="BR236" t="s">
        <v>74</v>
      </c>
      <c r="BS236" t="s">
        <v>2214</v>
      </c>
      <c r="BT236" t="str">
        <f>HYPERLINK("https%3A%2F%2Fwww.webofscience.com%2Fwos%2Fwoscc%2Ffull-record%2FWOS:001216978100001","View Full Record in Web of Science")</f>
        <v>View Full Record in Web of Science</v>
      </c>
    </row>
    <row r="237" spans="1:72" x14ac:dyDescent="0.2">
      <c r="A237" t="s">
        <v>72</v>
      </c>
      <c r="B237" t="s">
        <v>2215</v>
      </c>
      <c r="C237" t="s">
        <v>74</v>
      </c>
      <c r="D237" t="s">
        <v>74</v>
      </c>
      <c r="E237" t="s">
        <v>74</v>
      </c>
      <c r="F237" t="s">
        <v>2216</v>
      </c>
      <c r="G237" t="s">
        <v>74</v>
      </c>
      <c r="H237" t="s">
        <v>74</v>
      </c>
      <c r="I237" t="s">
        <v>2217</v>
      </c>
      <c r="J237" t="s">
        <v>161</v>
      </c>
      <c r="K237" t="s">
        <v>74</v>
      </c>
      <c r="L237" t="s">
        <v>74</v>
      </c>
      <c r="M237" t="s">
        <v>74</v>
      </c>
      <c r="N237" t="s">
        <v>74</v>
      </c>
      <c r="O237" t="s">
        <v>74</v>
      </c>
      <c r="P237" t="s">
        <v>74</v>
      </c>
      <c r="Q237" t="s">
        <v>74</v>
      </c>
      <c r="R237" t="s">
        <v>74</v>
      </c>
      <c r="S237" t="s">
        <v>74</v>
      </c>
      <c r="T237" t="s">
        <v>74</v>
      </c>
      <c r="U237" t="s">
        <v>74</v>
      </c>
      <c r="V237" t="s">
        <v>2218</v>
      </c>
      <c r="W237" t="s">
        <v>74</v>
      </c>
      <c r="X237" t="s">
        <v>74</v>
      </c>
      <c r="Y237" t="s">
        <v>74</v>
      </c>
      <c r="Z237" t="s">
        <v>74</v>
      </c>
      <c r="AA237" t="s">
        <v>2219</v>
      </c>
      <c r="AB237" t="s">
        <v>2220</v>
      </c>
      <c r="AC237" t="s">
        <v>74</v>
      </c>
      <c r="AD237" t="s">
        <v>74</v>
      </c>
      <c r="AE237" t="s">
        <v>74</v>
      </c>
      <c r="AF237" t="s">
        <v>74</v>
      </c>
      <c r="AG237" t="s">
        <v>74</v>
      </c>
      <c r="AH237" t="s">
        <v>74</v>
      </c>
      <c r="AI237" t="s">
        <v>74</v>
      </c>
      <c r="AJ237" t="s">
        <v>74</v>
      </c>
      <c r="AK237" t="s">
        <v>74</v>
      </c>
      <c r="AL237" t="s">
        <v>74</v>
      </c>
      <c r="AM237" t="s">
        <v>74</v>
      </c>
      <c r="AN237" t="s">
        <v>74</v>
      </c>
      <c r="AO237" t="s">
        <v>163</v>
      </c>
      <c r="AP237" t="s">
        <v>164</v>
      </c>
      <c r="AQ237" t="s">
        <v>74</v>
      </c>
      <c r="AR237" t="s">
        <v>74</v>
      </c>
      <c r="AS237" t="s">
        <v>74</v>
      </c>
      <c r="AT237" t="s">
        <v>798</v>
      </c>
      <c r="AU237">
        <v>2024</v>
      </c>
      <c r="AV237">
        <v>486</v>
      </c>
      <c r="AW237" t="s">
        <v>74</v>
      </c>
      <c r="AX237" t="s">
        <v>74</v>
      </c>
      <c r="AY237" t="s">
        <v>74</v>
      </c>
      <c r="AZ237" t="s">
        <v>74</v>
      </c>
      <c r="BA237" t="s">
        <v>74</v>
      </c>
      <c r="BB237" t="s">
        <v>74</v>
      </c>
      <c r="BC237" t="s">
        <v>74</v>
      </c>
      <c r="BD237">
        <v>150298</v>
      </c>
      <c r="BE237" t="s">
        <v>2221</v>
      </c>
      <c r="BF237" t="str">
        <f>HYPERLINK("http://dx.doi.org/10.1016/j.cej.2024.150298","http://dx.doi.org/10.1016/j.cej.2024.150298")</f>
        <v>http://dx.doi.org/10.1016/j.cej.2024.150298</v>
      </c>
      <c r="BG237" t="s">
        <v>74</v>
      </c>
      <c r="BH237" t="s">
        <v>2176</v>
      </c>
      <c r="BI237" t="s">
        <v>74</v>
      </c>
      <c r="BJ237" t="s">
        <v>74</v>
      </c>
      <c r="BK237" t="s">
        <v>74</v>
      </c>
      <c r="BL237" t="s">
        <v>74</v>
      </c>
      <c r="BM237" t="s">
        <v>74</v>
      </c>
      <c r="BN237" t="s">
        <v>74</v>
      </c>
      <c r="BO237" t="s">
        <v>74</v>
      </c>
      <c r="BP237" t="s">
        <v>74</v>
      </c>
      <c r="BQ237" t="s">
        <v>74</v>
      </c>
      <c r="BR237" t="s">
        <v>74</v>
      </c>
      <c r="BS237" t="s">
        <v>2222</v>
      </c>
      <c r="BT237" t="str">
        <f>HYPERLINK("https%3A%2F%2Fwww.webofscience.com%2Fwos%2Fwoscc%2Ffull-record%2FWOS:001221372200001","View Full Record in Web of Science")</f>
        <v>View Full Record in Web of Science</v>
      </c>
    </row>
    <row r="238" spans="1:72" x14ac:dyDescent="0.2">
      <c r="A238" t="s">
        <v>72</v>
      </c>
      <c r="B238" t="s">
        <v>2223</v>
      </c>
      <c r="C238" t="s">
        <v>74</v>
      </c>
      <c r="D238" t="s">
        <v>74</v>
      </c>
      <c r="E238" t="s">
        <v>74</v>
      </c>
      <c r="F238" t="s">
        <v>2224</v>
      </c>
      <c r="G238" t="s">
        <v>74</v>
      </c>
      <c r="H238" t="s">
        <v>74</v>
      </c>
      <c r="I238" t="s">
        <v>2225</v>
      </c>
      <c r="J238" t="s">
        <v>1209</v>
      </c>
      <c r="K238" t="s">
        <v>74</v>
      </c>
      <c r="L238" t="s">
        <v>74</v>
      </c>
      <c r="M238" t="s">
        <v>74</v>
      </c>
      <c r="N238" t="s">
        <v>74</v>
      </c>
      <c r="O238" t="s">
        <v>74</v>
      </c>
      <c r="P238" t="s">
        <v>74</v>
      </c>
      <c r="Q238" t="s">
        <v>74</v>
      </c>
      <c r="R238" t="s">
        <v>74</v>
      </c>
      <c r="S238" t="s">
        <v>74</v>
      </c>
      <c r="T238" t="s">
        <v>74</v>
      </c>
      <c r="U238" t="s">
        <v>74</v>
      </c>
      <c r="V238" t="s">
        <v>2226</v>
      </c>
      <c r="W238" t="s">
        <v>74</v>
      </c>
      <c r="X238" t="s">
        <v>74</v>
      </c>
      <c r="Y238" t="s">
        <v>74</v>
      </c>
      <c r="Z238" t="s">
        <v>74</v>
      </c>
      <c r="AA238" t="s">
        <v>2227</v>
      </c>
      <c r="AB238" t="s">
        <v>74</v>
      </c>
      <c r="AC238" t="s">
        <v>74</v>
      </c>
      <c r="AD238" t="s">
        <v>74</v>
      </c>
      <c r="AE238" t="s">
        <v>74</v>
      </c>
      <c r="AF238" t="s">
        <v>74</v>
      </c>
      <c r="AG238" t="s">
        <v>74</v>
      </c>
      <c r="AH238" t="s">
        <v>74</v>
      </c>
      <c r="AI238" t="s">
        <v>74</v>
      </c>
      <c r="AJ238" t="s">
        <v>74</v>
      </c>
      <c r="AK238" t="s">
        <v>74</v>
      </c>
      <c r="AL238" t="s">
        <v>74</v>
      </c>
      <c r="AM238" t="s">
        <v>74</v>
      </c>
      <c r="AN238" t="s">
        <v>74</v>
      </c>
      <c r="AO238" t="s">
        <v>1211</v>
      </c>
      <c r="AP238" t="s">
        <v>1212</v>
      </c>
      <c r="AQ238" t="s">
        <v>74</v>
      </c>
      <c r="AR238" t="s">
        <v>74</v>
      </c>
      <c r="AS238" t="s">
        <v>74</v>
      </c>
      <c r="AT238" t="s">
        <v>545</v>
      </c>
      <c r="AU238">
        <v>2024</v>
      </c>
      <c r="AV238">
        <v>30</v>
      </c>
      <c r="AW238">
        <v>5</v>
      </c>
      <c r="AX238" t="s">
        <v>74</v>
      </c>
      <c r="AY238" t="s">
        <v>74</v>
      </c>
      <c r="AZ238" t="s">
        <v>74</v>
      </c>
      <c r="BA238" t="s">
        <v>74</v>
      </c>
      <c r="BB238">
        <v>2493</v>
      </c>
      <c r="BC238">
        <v>2501</v>
      </c>
      <c r="BD238" t="s">
        <v>74</v>
      </c>
      <c r="BE238" t="s">
        <v>2228</v>
      </c>
      <c r="BF238" t="str">
        <f>HYPERLINK("http://dx.doi.org/10.1007/s11581-024-05472-x","http://dx.doi.org/10.1007/s11581-024-05472-x")</f>
        <v>http://dx.doi.org/10.1007/s11581-024-05472-x</v>
      </c>
      <c r="BG238" t="s">
        <v>74</v>
      </c>
      <c r="BH238" t="s">
        <v>2176</v>
      </c>
      <c r="BI238" t="s">
        <v>74</v>
      </c>
      <c r="BJ238" t="s">
        <v>74</v>
      </c>
      <c r="BK238" t="s">
        <v>74</v>
      </c>
      <c r="BL238" t="s">
        <v>74</v>
      </c>
      <c r="BM238" t="s">
        <v>74</v>
      </c>
      <c r="BN238" t="s">
        <v>74</v>
      </c>
      <c r="BO238" t="s">
        <v>74</v>
      </c>
      <c r="BP238" t="s">
        <v>74</v>
      </c>
      <c r="BQ238" t="s">
        <v>74</v>
      </c>
      <c r="BR238" t="s">
        <v>74</v>
      </c>
      <c r="BS238" t="s">
        <v>2229</v>
      </c>
      <c r="BT238" t="str">
        <f>HYPERLINK("https%3A%2F%2Fwww.webofscience.com%2Fwos%2Fwoscc%2Ffull-record%2FWOS:001184329700001","View Full Record in Web of Science")</f>
        <v>View Full Record in Web of Science</v>
      </c>
    </row>
    <row r="239" spans="1:72" x14ac:dyDescent="0.2">
      <c r="A239" t="s">
        <v>72</v>
      </c>
      <c r="B239" t="s">
        <v>2230</v>
      </c>
      <c r="C239" t="s">
        <v>74</v>
      </c>
      <c r="D239" t="s">
        <v>74</v>
      </c>
      <c r="E239" t="s">
        <v>74</v>
      </c>
      <c r="F239" t="s">
        <v>2231</v>
      </c>
      <c r="G239" t="s">
        <v>74</v>
      </c>
      <c r="H239" t="s">
        <v>74</v>
      </c>
      <c r="I239" t="s">
        <v>2232</v>
      </c>
      <c r="J239" t="s">
        <v>171</v>
      </c>
      <c r="K239" t="s">
        <v>74</v>
      </c>
      <c r="L239" t="s">
        <v>74</v>
      </c>
      <c r="M239" t="s">
        <v>74</v>
      </c>
      <c r="N239" t="s">
        <v>74</v>
      </c>
      <c r="O239" t="s">
        <v>74</v>
      </c>
      <c r="P239" t="s">
        <v>74</v>
      </c>
      <c r="Q239" t="s">
        <v>74</v>
      </c>
      <c r="R239" t="s">
        <v>74</v>
      </c>
      <c r="S239" t="s">
        <v>74</v>
      </c>
      <c r="T239" t="s">
        <v>74</v>
      </c>
      <c r="U239" t="s">
        <v>74</v>
      </c>
      <c r="V239" t="s">
        <v>2233</v>
      </c>
      <c r="W239" t="s">
        <v>74</v>
      </c>
      <c r="X239" t="s">
        <v>74</v>
      </c>
      <c r="Y239" t="s">
        <v>74</v>
      </c>
      <c r="Z239" t="s">
        <v>74</v>
      </c>
      <c r="AA239" t="s">
        <v>2234</v>
      </c>
      <c r="AB239" t="s">
        <v>2235</v>
      </c>
      <c r="AC239" t="s">
        <v>74</v>
      </c>
      <c r="AD239" t="s">
        <v>74</v>
      </c>
      <c r="AE239" t="s">
        <v>74</v>
      </c>
      <c r="AF239" t="s">
        <v>74</v>
      </c>
      <c r="AG239" t="s">
        <v>74</v>
      </c>
      <c r="AH239" t="s">
        <v>74</v>
      </c>
      <c r="AI239" t="s">
        <v>74</v>
      </c>
      <c r="AJ239" t="s">
        <v>74</v>
      </c>
      <c r="AK239" t="s">
        <v>74</v>
      </c>
      <c r="AL239" t="s">
        <v>74</v>
      </c>
      <c r="AM239" t="s">
        <v>74</v>
      </c>
      <c r="AN239" t="s">
        <v>74</v>
      </c>
      <c r="AO239" t="s">
        <v>173</v>
      </c>
      <c r="AP239" t="s">
        <v>174</v>
      </c>
      <c r="AQ239" t="s">
        <v>74</v>
      </c>
      <c r="AR239" t="s">
        <v>74</v>
      </c>
      <c r="AS239" t="s">
        <v>74</v>
      </c>
      <c r="AT239" t="s">
        <v>759</v>
      </c>
      <c r="AU239">
        <v>2024</v>
      </c>
      <c r="AV239">
        <v>664</v>
      </c>
      <c r="AW239" t="s">
        <v>74</v>
      </c>
      <c r="AX239" t="s">
        <v>74</v>
      </c>
      <c r="AY239" t="s">
        <v>74</v>
      </c>
      <c r="AZ239" t="s">
        <v>74</v>
      </c>
      <c r="BA239" t="s">
        <v>74</v>
      </c>
      <c r="BB239">
        <v>790</v>
      </c>
      <c r="BC239">
        <v>800</v>
      </c>
      <c r="BD239" t="s">
        <v>74</v>
      </c>
      <c r="BE239" t="s">
        <v>2236</v>
      </c>
      <c r="BF239" t="str">
        <f>HYPERLINK("http://dx.doi.org/10.1016/j.jcis.2024.03.053","http://dx.doi.org/10.1016/j.jcis.2024.03.053")</f>
        <v>http://dx.doi.org/10.1016/j.jcis.2024.03.053</v>
      </c>
      <c r="BG239" t="s">
        <v>74</v>
      </c>
      <c r="BH239" t="s">
        <v>2176</v>
      </c>
      <c r="BI239" t="s">
        <v>74</v>
      </c>
      <c r="BJ239" t="s">
        <v>74</v>
      </c>
      <c r="BK239" t="s">
        <v>74</v>
      </c>
      <c r="BL239" t="s">
        <v>74</v>
      </c>
      <c r="BM239" t="s">
        <v>74</v>
      </c>
      <c r="BN239">
        <v>38492380</v>
      </c>
      <c r="BO239" t="s">
        <v>74</v>
      </c>
      <c r="BP239" t="s">
        <v>74</v>
      </c>
      <c r="BQ239" t="s">
        <v>74</v>
      </c>
      <c r="BR239" t="s">
        <v>74</v>
      </c>
      <c r="BS239" t="s">
        <v>2237</v>
      </c>
      <c r="BT239" t="str">
        <f>HYPERLINK("https%3A%2F%2Fwww.webofscience.com%2Fwos%2Fwoscc%2Ffull-record%2FWOS:001224023300001","View Full Record in Web of Science")</f>
        <v>View Full Record in Web of Science</v>
      </c>
    </row>
    <row r="240" spans="1:72" x14ac:dyDescent="0.2">
      <c r="A240" t="s">
        <v>72</v>
      </c>
      <c r="B240" t="s">
        <v>2238</v>
      </c>
      <c r="C240" t="s">
        <v>74</v>
      </c>
      <c r="D240" t="s">
        <v>74</v>
      </c>
      <c r="E240" t="s">
        <v>74</v>
      </c>
      <c r="F240" t="s">
        <v>2239</v>
      </c>
      <c r="G240" t="s">
        <v>74</v>
      </c>
      <c r="H240" t="s">
        <v>74</v>
      </c>
      <c r="I240" t="s">
        <v>2240</v>
      </c>
      <c r="J240" t="s">
        <v>2241</v>
      </c>
      <c r="K240" t="s">
        <v>74</v>
      </c>
      <c r="L240" t="s">
        <v>74</v>
      </c>
      <c r="M240" t="s">
        <v>74</v>
      </c>
      <c r="N240" t="s">
        <v>74</v>
      </c>
      <c r="O240" t="s">
        <v>74</v>
      </c>
      <c r="P240" t="s">
        <v>74</v>
      </c>
      <c r="Q240" t="s">
        <v>74</v>
      </c>
      <c r="R240" t="s">
        <v>74</v>
      </c>
      <c r="S240" t="s">
        <v>74</v>
      </c>
      <c r="T240" t="s">
        <v>74</v>
      </c>
      <c r="U240" t="s">
        <v>74</v>
      </c>
      <c r="V240" t="s">
        <v>2242</v>
      </c>
      <c r="W240" t="s">
        <v>74</v>
      </c>
      <c r="X240" t="s">
        <v>74</v>
      </c>
      <c r="Y240" t="s">
        <v>74</v>
      </c>
      <c r="Z240" t="s">
        <v>74</v>
      </c>
      <c r="AA240" t="s">
        <v>2243</v>
      </c>
      <c r="AB240" t="s">
        <v>2244</v>
      </c>
      <c r="AC240" t="s">
        <v>74</v>
      </c>
      <c r="AD240" t="s">
        <v>74</v>
      </c>
      <c r="AE240" t="s">
        <v>74</v>
      </c>
      <c r="AF240" t="s">
        <v>74</v>
      </c>
      <c r="AG240" t="s">
        <v>74</v>
      </c>
      <c r="AH240" t="s">
        <v>74</v>
      </c>
      <c r="AI240" t="s">
        <v>74</v>
      </c>
      <c r="AJ240" t="s">
        <v>74</v>
      </c>
      <c r="AK240" t="s">
        <v>74</v>
      </c>
      <c r="AL240" t="s">
        <v>74</v>
      </c>
      <c r="AM240" t="s">
        <v>74</v>
      </c>
      <c r="AN240" t="s">
        <v>74</v>
      </c>
      <c r="AO240" t="s">
        <v>2245</v>
      </c>
      <c r="AP240" t="s">
        <v>74</v>
      </c>
      <c r="AQ240" t="s">
        <v>74</v>
      </c>
      <c r="AR240" t="s">
        <v>74</v>
      </c>
      <c r="AS240" t="s">
        <v>74</v>
      </c>
      <c r="AT240" t="s">
        <v>545</v>
      </c>
      <c r="AU240">
        <v>2024</v>
      </c>
      <c r="AV240">
        <v>11</v>
      </c>
      <c r="AW240">
        <v>14</v>
      </c>
      <c r="AX240" t="s">
        <v>74</v>
      </c>
      <c r="AY240" t="s">
        <v>74</v>
      </c>
      <c r="AZ240" t="s">
        <v>74</v>
      </c>
      <c r="BA240" t="s">
        <v>74</v>
      </c>
      <c r="BB240" t="s">
        <v>74</v>
      </c>
      <c r="BC240" t="s">
        <v>74</v>
      </c>
      <c r="BD240" t="s">
        <v>74</v>
      </c>
      <c r="BE240" t="s">
        <v>2246</v>
      </c>
      <c r="BF240" t="str">
        <f>HYPERLINK("http://dx.doi.org/10.1002/admi.202301067","http://dx.doi.org/10.1002/admi.202301067")</f>
        <v>http://dx.doi.org/10.1002/admi.202301067</v>
      </c>
      <c r="BG240" t="s">
        <v>74</v>
      </c>
      <c r="BH240" t="s">
        <v>2176</v>
      </c>
      <c r="BI240" t="s">
        <v>74</v>
      </c>
      <c r="BJ240" t="s">
        <v>74</v>
      </c>
      <c r="BK240" t="s">
        <v>74</v>
      </c>
      <c r="BL240" t="s">
        <v>74</v>
      </c>
      <c r="BM240" t="s">
        <v>74</v>
      </c>
      <c r="BN240" t="s">
        <v>74</v>
      </c>
      <c r="BO240" t="s">
        <v>74</v>
      </c>
      <c r="BP240" t="s">
        <v>74</v>
      </c>
      <c r="BQ240" t="s">
        <v>74</v>
      </c>
      <c r="BR240" t="s">
        <v>74</v>
      </c>
      <c r="BS240" t="s">
        <v>2247</v>
      </c>
      <c r="BT240" t="str">
        <f>HYPERLINK("https%3A%2F%2Fwww.webofscience.com%2Fwos%2Fwoscc%2Ffull-record%2FWOS:001184192500001","View Full Record in Web of Science")</f>
        <v>View Full Record in Web of Science</v>
      </c>
    </row>
    <row r="241" spans="1:72" x14ac:dyDescent="0.2">
      <c r="A241" t="s">
        <v>72</v>
      </c>
      <c r="B241" t="s">
        <v>2248</v>
      </c>
      <c r="C241" t="s">
        <v>74</v>
      </c>
      <c r="D241" t="s">
        <v>74</v>
      </c>
      <c r="E241" t="s">
        <v>74</v>
      </c>
      <c r="F241" t="s">
        <v>2249</v>
      </c>
      <c r="G241" t="s">
        <v>74</v>
      </c>
      <c r="H241" t="s">
        <v>74</v>
      </c>
      <c r="I241" t="s">
        <v>2250</v>
      </c>
      <c r="J241" t="s">
        <v>231</v>
      </c>
      <c r="K241" t="s">
        <v>74</v>
      </c>
      <c r="L241" t="s">
        <v>74</v>
      </c>
      <c r="M241" t="s">
        <v>74</v>
      </c>
      <c r="N241" t="s">
        <v>74</v>
      </c>
      <c r="O241" t="s">
        <v>74</v>
      </c>
      <c r="P241" t="s">
        <v>74</v>
      </c>
      <c r="Q241" t="s">
        <v>74</v>
      </c>
      <c r="R241" t="s">
        <v>74</v>
      </c>
      <c r="S241" t="s">
        <v>74</v>
      </c>
      <c r="T241" t="s">
        <v>74</v>
      </c>
      <c r="U241" t="s">
        <v>74</v>
      </c>
      <c r="V241" t="s">
        <v>2251</v>
      </c>
      <c r="W241" t="s">
        <v>74</v>
      </c>
      <c r="X241" t="s">
        <v>74</v>
      </c>
      <c r="Y241" t="s">
        <v>74</v>
      </c>
      <c r="Z241" t="s">
        <v>74</v>
      </c>
      <c r="AA241" t="s">
        <v>2252</v>
      </c>
      <c r="AB241" t="s">
        <v>1954</v>
      </c>
      <c r="AC241" t="s">
        <v>74</v>
      </c>
      <c r="AD241" t="s">
        <v>74</v>
      </c>
      <c r="AE241" t="s">
        <v>74</v>
      </c>
      <c r="AF241" t="s">
        <v>74</v>
      </c>
      <c r="AG241" t="s">
        <v>74</v>
      </c>
      <c r="AH241" t="s">
        <v>74</v>
      </c>
      <c r="AI241" t="s">
        <v>74</v>
      </c>
      <c r="AJ241" t="s">
        <v>74</v>
      </c>
      <c r="AK241" t="s">
        <v>74</v>
      </c>
      <c r="AL241" t="s">
        <v>74</v>
      </c>
      <c r="AM241" t="s">
        <v>74</v>
      </c>
      <c r="AN241" t="s">
        <v>74</v>
      </c>
      <c r="AO241" t="s">
        <v>1363</v>
      </c>
      <c r="AP241" t="s">
        <v>234</v>
      </c>
      <c r="AQ241" t="s">
        <v>74</v>
      </c>
      <c r="AR241" t="s">
        <v>74</v>
      </c>
      <c r="AS241" t="s">
        <v>74</v>
      </c>
      <c r="AT241" t="s">
        <v>2095</v>
      </c>
      <c r="AU241">
        <v>2024</v>
      </c>
      <c r="AV241">
        <v>63</v>
      </c>
      <c r="AW241">
        <v>17</v>
      </c>
      <c r="AX241" t="s">
        <v>74</v>
      </c>
      <c r="AY241" t="s">
        <v>74</v>
      </c>
      <c r="AZ241" t="s">
        <v>74</v>
      </c>
      <c r="BA241" t="s">
        <v>74</v>
      </c>
      <c r="BB241" t="s">
        <v>74</v>
      </c>
      <c r="BC241" t="s">
        <v>74</v>
      </c>
      <c r="BD241" t="s">
        <v>74</v>
      </c>
      <c r="BE241" t="s">
        <v>2253</v>
      </c>
      <c r="BF241" t="str">
        <f>HYPERLINK("http://dx.doi.org/10.1002/anie.202401480","http://dx.doi.org/10.1002/anie.202401480")</f>
        <v>http://dx.doi.org/10.1002/anie.202401480</v>
      </c>
      <c r="BG241" t="s">
        <v>74</v>
      </c>
      <c r="BH241" t="s">
        <v>2176</v>
      </c>
      <c r="BI241" t="s">
        <v>74</v>
      </c>
      <c r="BJ241" t="s">
        <v>74</v>
      </c>
      <c r="BK241" t="s">
        <v>74</v>
      </c>
      <c r="BL241" t="s">
        <v>74</v>
      </c>
      <c r="BM241" t="s">
        <v>74</v>
      </c>
      <c r="BN241">
        <v>38351436</v>
      </c>
      <c r="BO241" t="s">
        <v>74</v>
      </c>
      <c r="BP241" t="s">
        <v>74</v>
      </c>
      <c r="BQ241" t="s">
        <v>74</v>
      </c>
      <c r="BR241" t="s">
        <v>74</v>
      </c>
      <c r="BS241" t="s">
        <v>2254</v>
      </c>
      <c r="BT241" t="str">
        <f>HYPERLINK("https%3A%2F%2Fwww.webofscience.com%2Fwos%2Fwoscc%2Ffull-record%2FWOS:001180821000001","View Full Record in Web of Science")</f>
        <v>View Full Record in Web of Science</v>
      </c>
    </row>
    <row r="242" spans="1:72" x14ac:dyDescent="0.2">
      <c r="A242" t="s">
        <v>72</v>
      </c>
      <c r="B242" t="s">
        <v>2255</v>
      </c>
      <c r="C242" t="s">
        <v>74</v>
      </c>
      <c r="D242" t="s">
        <v>74</v>
      </c>
      <c r="E242" t="s">
        <v>74</v>
      </c>
      <c r="F242" t="s">
        <v>2256</v>
      </c>
      <c r="G242" t="s">
        <v>74</v>
      </c>
      <c r="H242" t="s">
        <v>74</v>
      </c>
      <c r="I242" t="s">
        <v>2257</v>
      </c>
      <c r="J242" t="s">
        <v>422</v>
      </c>
      <c r="K242" t="s">
        <v>74</v>
      </c>
      <c r="L242" t="s">
        <v>74</v>
      </c>
      <c r="M242" t="s">
        <v>74</v>
      </c>
      <c r="N242" t="s">
        <v>74</v>
      </c>
      <c r="O242" t="s">
        <v>74</v>
      </c>
      <c r="P242" t="s">
        <v>74</v>
      </c>
      <c r="Q242" t="s">
        <v>74</v>
      </c>
      <c r="R242" t="s">
        <v>74</v>
      </c>
      <c r="S242" t="s">
        <v>74</v>
      </c>
      <c r="T242" t="s">
        <v>74</v>
      </c>
      <c r="U242" t="s">
        <v>74</v>
      </c>
      <c r="V242" t="s">
        <v>2258</v>
      </c>
      <c r="W242" t="s">
        <v>74</v>
      </c>
      <c r="X242" t="s">
        <v>74</v>
      </c>
      <c r="Y242" t="s">
        <v>74</v>
      </c>
      <c r="Z242" t="s">
        <v>74</v>
      </c>
      <c r="AA242" t="s">
        <v>2259</v>
      </c>
      <c r="AB242" t="s">
        <v>2260</v>
      </c>
      <c r="AC242" t="s">
        <v>74</v>
      </c>
      <c r="AD242" t="s">
        <v>74</v>
      </c>
      <c r="AE242" t="s">
        <v>74</v>
      </c>
      <c r="AF242" t="s">
        <v>74</v>
      </c>
      <c r="AG242" t="s">
        <v>74</v>
      </c>
      <c r="AH242" t="s">
        <v>74</v>
      </c>
      <c r="AI242" t="s">
        <v>74</v>
      </c>
      <c r="AJ242" t="s">
        <v>74</v>
      </c>
      <c r="AK242" t="s">
        <v>74</v>
      </c>
      <c r="AL242" t="s">
        <v>74</v>
      </c>
      <c r="AM242" t="s">
        <v>74</v>
      </c>
      <c r="AN242" t="s">
        <v>74</v>
      </c>
      <c r="AO242" t="s">
        <v>426</v>
      </c>
      <c r="AP242" t="s">
        <v>74</v>
      </c>
      <c r="AQ242" t="s">
        <v>74</v>
      </c>
      <c r="AR242" t="s">
        <v>74</v>
      </c>
      <c r="AS242" t="s">
        <v>74</v>
      </c>
      <c r="AT242" t="s">
        <v>2261</v>
      </c>
      <c r="AU242">
        <v>2024</v>
      </c>
      <c r="AV242">
        <v>7</v>
      </c>
      <c r="AW242">
        <v>6</v>
      </c>
      <c r="AX242" t="s">
        <v>74</v>
      </c>
      <c r="AY242" t="s">
        <v>74</v>
      </c>
      <c r="AZ242" t="s">
        <v>74</v>
      </c>
      <c r="BA242" t="s">
        <v>74</v>
      </c>
      <c r="BB242">
        <v>2378</v>
      </c>
      <c r="BC242">
        <v>2391</v>
      </c>
      <c r="BD242" t="s">
        <v>74</v>
      </c>
      <c r="BE242" t="s">
        <v>2262</v>
      </c>
      <c r="BF242" t="str">
        <f>HYPERLINK("http://dx.doi.org/10.1021/acsaem.3c03122","http://dx.doi.org/10.1021/acsaem.3c03122")</f>
        <v>http://dx.doi.org/10.1021/acsaem.3c03122</v>
      </c>
      <c r="BG242" t="s">
        <v>74</v>
      </c>
      <c r="BH242" t="s">
        <v>2176</v>
      </c>
      <c r="BI242" t="s">
        <v>74</v>
      </c>
      <c r="BJ242" t="s">
        <v>74</v>
      </c>
      <c r="BK242" t="s">
        <v>74</v>
      </c>
      <c r="BL242" t="s">
        <v>74</v>
      </c>
      <c r="BM242" t="s">
        <v>74</v>
      </c>
      <c r="BN242" t="s">
        <v>74</v>
      </c>
      <c r="BO242" t="s">
        <v>74</v>
      </c>
      <c r="BP242" t="s">
        <v>74</v>
      </c>
      <c r="BQ242" t="s">
        <v>74</v>
      </c>
      <c r="BR242" t="s">
        <v>74</v>
      </c>
      <c r="BS242" t="s">
        <v>2263</v>
      </c>
      <c r="BT242" t="str">
        <f>HYPERLINK("https%3A%2F%2Fwww.webofscience.com%2Fwos%2Fwoscc%2Ffull-record%2FWOS:001180302500001","View Full Record in Web of Science")</f>
        <v>View Full Record in Web of Science</v>
      </c>
    </row>
    <row r="243" spans="1:72" x14ac:dyDescent="0.2">
      <c r="A243" t="s">
        <v>72</v>
      </c>
      <c r="B243" t="s">
        <v>2264</v>
      </c>
      <c r="C243" t="s">
        <v>74</v>
      </c>
      <c r="D243" t="s">
        <v>74</v>
      </c>
      <c r="E243" t="s">
        <v>74</v>
      </c>
      <c r="F243" t="s">
        <v>2265</v>
      </c>
      <c r="G243" t="s">
        <v>74</v>
      </c>
      <c r="H243" t="s">
        <v>74</v>
      </c>
      <c r="I243" t="s">
        <v>2266</v>
      </c>
      <c r="J243" t="s">
        <v>109</v>
      </c>
      <c r="K243" t="s">
        <v>74</v>
      </c>
      <c r="L243" t="s">
        <v>74</v>
      </c>
      <c r="M243" t="s">
        <v>74</v>
      </c>
      <c r="N243" t="s">
        <v>74</v>
      </c>
      <c r="O243" t="s">
        <v>74</v>
      </c>
      <c r="P243" t="s">
        <v>74</v>
      </c>
      <c r="Q243" t="s">
        <v>74</v>
      </c>
      <c r="R243" t="s">
        <v>74</v>
      </c>
      <c r="S243" t="s">
        <v>74</v>
      </c>
      <c r="T243" t="s">
        <v>74</v>
      </c>
      <c r="U243" t="s">
        <v>74</v>
      </c>
      <c r="V243" t="s">
        <v>2267</v>
      </c>
      <c r="W243" t="s">
        <v>74</v>
      </c>
      <c r="X243" t="s">
        <v>74</v>
      </c>
      <c r="Y243" t="s">
        <v>74</v>
      </c>
      <c r="Z243" t="s">
        <v>74</v>
      </c>
      <c r="AA243" t="s">
        <v>2268</v>
      </c>
      <c r="AB243" t="s">
        <v>74</v>
      </c>
      <c r="AC243" t="s">
        <v>74</v>
      </c>
      <c r="AD243" t="s">
        <v>74</v>
      </c>
      <c r="AE243" t="s">
        <v>74</v>
      </c>
      <c r="AF243" t="s">
        <v>74</v>
      </c>
      <c r="AG243" t="s">
        <v>74</v>
      </c>
      <c r="AH243" t="s">
        <v>74</v>
      </c>
      <c r="AI243" t="s">
        <v>74</v>
      </c>
      <c r="AJ243" t="s">
        <v>74</v>
      </c>
      <c r="AK243" t="s">
        <v>74</v>
      </c>
      <c r="AL243" t="s">
        <v>74</v>
      </c>
      <c r="AM243" t="s">
        <v>74</v>
      </c>
      <c r="AN243" t="s">
        <v>74</v>
      </c>
      <c r="AO243" t="s">
        <v>112</v>
      </c>
      <c r="AP243" t="s">
        <v>74</v>
      </c>
      <c r="AQ243" t="s">
        <v>74</v>
      </c>
      <c r="AR243" t="s">
        <v>74</v>
      </c>
      <c r="AS243" t="s">
        <v>74</v>
      </c>
      <c r="AT243" t="s">
        <v>545</v>
      </c>
      <c r="AU243">
        <v>2024</v>
      </c>
      <c r="AV243">
        <v>92</v>
      </c>
      <c r="AW243" t="s">
        <v>74</v>
      </c>
      <c r="AX243" t="s">
        <v>74</v>
      </c>
      <c r="AY243" t="s">
        <v>74</v>
      </c>
      <c r="AZ243" t="s">
        <v>74</v>
      </c>
      <c r="BA243" t="s">
        <v>74</v>
      </c>
      <c r="BB243">
        <v>639</v>
      </c>
      <c r="BC243">
        <v>647</v>
      </c>
      <c r="BD243" t="s">
        <v>74</v>
      </c>
      <c r="BE243" t="s">
        <v>2269</v>
      </c>
      <c r="BF243" t="str">
        <f>HYPERLINK("http://dx.doi.org/10.1016/j.jechem.2024.02.004","http://dx.doi.org/10.1016/j.jechem.2024.02.004")</f>
        <v>http://dx.doi.org/10.1016/j.jechem.2024.02.004</v>
      </c>
      <c r="BG243" t="s">
        <v>74</v>
      </c>
      <c r="BH243" t="s">
        <v>2176</v>
      </c>
      <c r="BI243" t="s">
        <v>74</v>
      </c>
      <c r="BJ243" t="s">
        <v>74</v>
      </c>
      <c r="BK243" t="s">
        <v>74</v>
      </c>
      <c r="BL243" t="s">
        <v>74</v>
      </c>
      <c r="BM243" t="s">
        <v>74</v>
      </c>
      <c r="BN243" t="s">
        <v>74</v>
      </c>
      <c r="BO243" t="s">
        <v>74</v>
      </c>
      <c r="BP243" t="s">
        <v>74</v>
      </c>
      <c r="BQ243" t="s">
        <v>74</v>
      </c>
      <c r="BR243" t="s">
        <v>74</v>
      </c>
      <c r="BS243" t="s">
        <v>2270</v>
      </c>
      <c r="BT243" t="str">
        <f>HYPERLINK("https%3A%2F%2Fwww.webofscience.com%2Fwos%2Fwoscc%2Ffull-record%2FWOS:001202523800001","View Full Record in Web of Science")</f>
        <v>View Full Record in Web of Science</v>
      </c>
    </row>
    <row r="244" spans="1:72" x14ac:dyDescent="0.2">
      <c r="A244" t="s">
        <v>72</v>
      </c>
      <c r="B244" t="s">
        <v>2271</v>
      </c>
      <c r="C244" t="s">
        <v>74</v>
      </c>
      <c r="D244" t="s">
        <v>74</v>
      </c>
      <c r="E244" t="s">
        <v>74</v>
      </c>
      <c r="F244" t="s">
        <v>2272</v>
      </c>
      <c r="G244" t="s">
        <v>74</v>
      </c>
      <c r="H244" t="s">
        <v>74</v>
      </c>
      <c r="I244" t="s">
        <v>2273</v>
      </c>
      <c r="J244" t="s">
        <v>2274</v>
      </c>
      <c r="K244" t="s">
        <v>74</v>
      </c>
      <c r="L244" t="s">
        <v>74</v>
      </c>
      <c r="M244" t="s">
        <v>74</v>
      </c>
      <c r="N244" t="s">
        <v>74</v>
      </c>
      <c r="O244" t="s">
        <v>74</v>
      </c>
      <c r="P244" t="s">
        <v>74</v>
      </c>
      <c r="Q244" t="s">
        <v>74</v>
      </c>
      <c r="R244" t="s">
        <v>74</v>
      </c>
      <c r="S244" t="s">
        <v>74</v>
      </c>
      <c r="T244" t="s">
        <v>74</v>
      </c>
      <c r="U244" t="s">
        <v>74</v>
      </c>
      <c r="V244" t="s">
        <v>2275</v>
      </c>
      <c r="W244" t="s">
        <v>74</v>
      </c>
      <c r="X244" t="s">
        <v>74</v>
      </c>
      <c r="Y244" t="s">
        <v>74</v>
      </c>
      <c r="Z244" t="s">
        <v>74</v>
      </c>
      <c r="AA244" t="s">
        <v>2276</v>
      </c>
      <c r="AB244" t="s">
        <v>2277</v>
      </c>
      <c r="AC244" t="s">
        <v>74</v>
      </c>
      <c r="AD244" t="s">
        <v>74</v>
      </c>
      <c r="AE244" t="s">
        <v>74</v>
      </c>
      <c r="AF244" t="s">
        <v>74</v>
      </c>
      <c r="AG244" t="s">
        <v>74</v>
      </c>
      <c r="AH244" t="s">
        <v>74</v>
      </c>
      <c r="AI244" t="s">
        <v>74</v>
      </c>
      <c r="AJ244" t="s">
        <v>74</v>
      </c>
      <c r="AK244" t="s">
        <v>74</v>
      </c>
      <c r="AL244" t="s">
        <v>74</v>
      </c>
      <c r="AM244" t="s">
        <v>74</v>
      </c>
      <c r="AN244" t="s">
        <v>74</v>
      </c>
      <c r="AO244" t="s">
        <v>2278</v>
      </c>
      <c r="AP244" t="s">
        <v>2279</v>
      </c>
      <c r="AQ244" t="s">
        <v>74</v>
      </c>
      <c r="AR244" t="s">
        <v>74</v>
      </c>
      <c r="AS244" t="s">
        <v>74</v>
      </c>
      <c r="AT244" t="s">
        <v>954</v>
      </c>
      <c r="AU244">
        <v>2024</v>
      </c>
      <c r="AV244">
        <v>60</v>
      </c>
      <c r="AW244">
        <v>3</v>
      </c>
      <c r="AX244" t="s">
        <v>74</v>
      </c>
      <c r="AY244" t="s">
        <v>74</v>
      </c>
      <c r="AZ244" t="s">
        <v>2280</v>
      </c>
      <c r="BA244" t="s">
        <v>74</v>
      </c>
      <c r="BB244">
        <v>216</v>
      </c>
      <c r="BC244">
        <v>222</v>
      </c>
      <c r="BD244" t="s">
        <v>74</v>
      </c>
      <c r="BE244" t="s">
        <v>2281</v>
      </c>
      <c r="BF244" t="str">
        <f>HYPERLINK("http://dx.doi.org/10.1134/S1023193524030121","http://dx.doi.org/10.1134/S1023193524030121")</f>
        <v>http://dx.doi.org/10.1134/S1023193524030121</v>
      </c>
      <c r="BG244" t="s">
        <v>74</v>
      </c>
      <c r="BH244" t="s">
        <v>74</v>
      </c>
      <c r="BI244" t="s">
        <v>74</v>
      </c>
      <c r="BJ244" t="s">
        <v>74</v>
      </c>
      <c r="BK244" t="s">
        <v>74</v>
      </c>
      <c r="BL244" t="s">
        <v>74</v>
      </c>
      <c r="BM244" t="s">
        <v>74</v>
      </c>
      <c r="BN244" t="s">
        <v>74</v>
      </c>
      <c r="BO244" t="s">
        <v>74</v>
      </c>
      <c r="BP244" t="s">
        <v>74</v>
      </c>
      <c r="BQ244" t="s">
        <v>74</v>
      </c>
      <c r="BR244" t="s">
        <v>74</v>
      </c>
      <c r="BS244" t="s">
        <v>2282</v>
      </c>
      <c r="BT244" t="str">
        <f>HYPERLINK("https%3A%2F%2Fwww.webofscience.com%2Fwos%2Fwoscc%2Ffull-record%2FWOS:001219593800003","View Full Record in Web of Science")</f>
        <v>View Full Record in Web of Science</v>
      </c>
    </row>
    <row r="245" spans="1:72" x14ac:dyDescent="0.2">
      <c r="A245" t="s">
        <v>72</v>
      </c>
      <c r="B245" t="s">
        <v>2283</v>
      </c>
      <c r="C245" t="s">
        <v>74</v>
      </c>
      <c r="D245" t="s">
        <v>74</v>
      </c>
      <c r="E245" t="s">
        <v>74</v>
      </c>
      <c r="F245" t="s">
        <v>2284</v>
      </c>
      <c r="G245" t="s">
        <v>74</v>
      </c>
      <c r="H245" t="s">
        <v>74</v>
      </c>
      <c r="I245" t="s">
        <v>2285</v>
      </c>
      <c r="J245" t="s">
        <v>754</v>
      </c>
      <c r="K245" t="s">
        <v>74</v>
      </c>
      <c r="L245" t="s">
        <v>74</v>
      </c>
      <c r="M245" t="s">
        <v>74</v>
      </c>
      <c r="N245" t="s">
        <v>74</v>
      </c>
      <c r="O245" t="s">
        <v>74</v>
      </c>
      <c r="P245" t="s">
        <v>74</v>
      </c>
      <c r="Q245" t="s">
        <v>74</v>
      </c>
      <c r="R245" t="s">
        <v>74</v>
      </c>
      <c r="S245" t="s">
        <v>74</v>
      </c>
      <c r="T245" t="s">
        <v>74</v>
      </c>
      <c r="U245" t="s">
        <v>74</v>
      </c>
      <c r="V245" t="s">
        <v>2286</v>
      </c>
      <c r="W245" t="s">
        <v>74</v>
      </c>
      <c r="X245" t="s">
        <v>74</v>
      </c>
      <c r="Y245" t="s">
        <v>74</v>
      </c>
      <c r="Z245" t="s">
        <v>74</v>
      </c>
      <c r="AA245" t="s">
        <v>2287</v>
      </c>
      <c r="AB245" t="s">
        <v>74</v>
      </c>
      <c r="AC245" t="s">
        <v>74</v>
      </c>
      <c r="AD245" t="s">
        <v>74</v>
      </c>
      <c r="AE245" t="s">
        <v>74</v>
      </c>
      <c r="AF245" t="s">
        <v>74</v>
      </c>
      <c r="AG245" t="s">
        <v>74</v>
      </c>
      <c r="AH245" t="s">
        <v>74</v>
      </c>
      <c r="AI245" t="s">
        <v>74</v>
      </c>
      <c r="AJ245" t="s">
        <v>74</v>
      </c>
      <c r="AK245" t="s">
        <v>74</v>
      </c>
      <c r="AL245" t="s">
        <v>74</v>
      </c>
      <c r="AM245" t="s">
        <v>74</v>
      </c>
      <c r="AN245" t="s">
        <v>74</v>
      </c>
      <c r="AO245" t="s">
        <v>757</v>
      </c>
      <c r="AP245" t="s">
        <v>758</v>
      </c>
      <c r="AQ245" t="s">
        <v>74</v>
      </c>
      <c r="AR245" t="s">
        <v>74</v>
      </c>
      <c r="AS245" t="s">
        <v>74</v>
      </c>
      <c r="AT245" t="s">
        <v>1073</v>
      </c>
      <c r="AU245">
        <v>2024</v>
      </c>
      <c r="AV245">
        <v>957</v>
      </c>
      <c r="AW245" t="s">
        <v>74</v>
      </c>
      <c r="AX245" t="s">
        <v>74</v>
      </c>
      <c r="AY245" t="s">
        <v>74</v>
      </c>
      <c r="AZ245" t="s">
        <v>74</v>
      </c>
      <c r="BA245" t="s">
        <v>74</v>
      </c>
      <c r="BB245" t="s">
        <v>74</v>
      </c>
      <c r="BC245" t="s">
        <v>74</v>
      </c>
      <c r="BD245">
        <v>118137</v>
      </c>
      <c r="BE245" t="s">
        <v>2288</v>
      </c>
      <c r="BF245" t="str">
        <f>HYPERLINK("http://dx.doi.org/10.1016/j.jelechem.2024.118137","http://dx.doi.org/10.1016/j.jelechem.2024.118137")</f>
        <v>http://dx.doi.org/10.1016/j.jelechem.2024.118137</v>
      </c>
      <c r="BG245" t="s">
        <v>74</v>
      </c>
      <c r="BH245" t="s">
        <v>2289</v>
      </c>
      <c r="BI245" t="s">
        <v>74</v>
      </c>
      <c r="BJ245" t="s">
        <v>74</v>
      </c>
      <c r="BK245" t="s">
        <v>74</v>
      </c>
      <c r="BL245" t="s">
        <v>74</v>
      </c>
      <c r="BM245" t="s">
        <v>74</v>
      </c>
      <c r="BN245" t="s">
        <v>74</v>
      </c>
      <c r="BO245" t="s">
        <v>74</v>
      </c>
      <c r="BP245" t="s">
        <v>74</v>
      </c>
      <c r="BQ245" t="s">
        <v>74</v>
      </c>
      <c r="BR245" t="s">
        <v>74</v>
      </c>
      <c r="BS245" t="s">
        <v>2290</v>
      </c>
      <c r="BT245" t="str">
        <f>HYPERLINK("https%3A%2F%2Fwww.webofscience.com%2Fwos%2Fwoscc%2Ffull-record%2FWOS:001198974200001","View Full Record in Web of Science")</f>
        <v>View Full Record in Web of Science</v>
      </c>
    </row>
    <row r="246" spans="1:72" x14ac:dyDescent="0.2">
      <c r="A246" t="s">
        <v>72</v>
      </c>
      <c r="B246" t="s">
        <v>2291</v>
      </c>
      <c r="C246" t="s">
        <v>74</v>
      </c>
      <c r="D246" t="s">
        <v>74</v>
      </c>
      <c r="E246" t="s">
        <v>74</v>
      </c>
      <c r="F246" t="s">
        <v>2292</v>
      </c>
      <c r="G246" t="s">
        <v>74</v>
      </c>
      <c r="H246" t="s">
        <v>74</v>
      </c>
      <c r="I246" t="s">
        <v>2293</v>
      </c>
      <c r="J246" t="s">
        <v>267</v>
      </c>
      <c r="K246" t="s">
        <v>74</v>
      </c>
      <c r="L246" t="s">
        <v>74</v>
      </c>
      <c r="M246" t="s">
        <v>74</v>
      </c>
      <c r="N246" t="s">
        <v>74</v>
      </c>
      <c r="O246" t="s">
        <v>74</v>
      </c>
      <c r="P246" t="s">
        <v>74</v>
      </c>
      <c r="Q246" t="s">
        <v>74</v>
      </c>
      <c r="R246" t="s">
        <v>74</v>
      </c>
      <c r="S246" t="s">
        <v>74</v>
      </c>
      <c r="T246" t="s">
        <v>74</v>
      </c>
      <c r="U246" t="s">
        <v>74</v>
      </c>
      <c r="V246" t="s">
        <v>2294</v>
      </c>
      <c r="W246" t="s">
        <v>74</v>
      </c>
      <c r="X246" t="s">
        <v>74</v>
      </c>
      <c r="Y246" t="s">
        <v>74</v>
      </c>
      <c r="Z246" t="s">
        <v>74</v>
      </c>
      <c r="AA246" t="s">
        <v>2295</v>
      </c>
      <c r="AB246" t="s">
        <v>74</v>
      </c>
      <c r="AC246" t="s">
        <v>74</v>
      </c>
      <c r="AD246" t="s">
        <v>74</v>
      </c>
      <c r="AE246" t="s">
        <v>74</v>
      </c>
      <c r="AF246" t="s">
        <v>74</v>
      </c>
      <c r="AG246" t="s">
        <v>74</v>
      </c>
      <c r="AH246" t="s">
        <v>74</v>
      </c>
      <c r="AI246" t="s">
        <v>74</v>
      </c>
      <c r="AJ246" t="s">
        <v>74</v>
      </c>
      <c r="AK246" t="s">
        <v>74</v>
      </c>
      <c r="AL246" t="s">
        <v>74</v>
      </c>
      <c r="AM246" t="s">
        <v>74</v>
      </c>
      <c r="AN246" t="s">
        <v>74</v>
      </c>
      <c r="AO246" t="s">
        <v>270</v>
      </c>
      <c r="AP246" t="s">
        <v>271</v>
      </c>
      <c r="AQ246" t="s">
        <v>74</v>
      </c>
      <c r="AR246" t="s">
        <v>74</v>
      </c>
      <c r="AS246" t="s">
        <v>74</v>
      </c>
      <c r="AT246" t="s">
        <v>1972</v>
      </c>
      <c r="AU246">
        <v>2024</v>
      </c>
      <c r="AV246">
        <v>34</v>
      </c>
      <c r="AW246">
        <v>26</v>
      </c>
      <c r="AX246" t="s">
        <v>74</v>
      </c>
      <c r="AY246" t="s">
        <v>74</v>
      </c>
      <c r="AZ246" t="s">
        <v>74</v>
      </c>
      <c r="BA246" t="s">
        <v>74</v>
      </c>
      <c r="BB246" t="s">
        <v>74</v>
      </c>
      <c r="BC246" t="s">
        <v>74</v>
      </c>
      <c r="BD246" t="s">
        <v>74</v>
      </c>
      <c r="BE246" t="s">
        <v>2296</v>
      </c>
      <c r="BF246" t="str">
        <f>HYPERLINK("http://dx.doi.org/10.1002/adfm.202313496","http://dx.doi.org/10.1002/adfm.202313496")</f>
        <v>http://dx.doi.org/10.1002/adfm.202313496</v>
      </c>
      <c r="BG246" t="s">
        <v>74</v>
      </c>
      <c r="BH246" t="s">
        <v>2289</v>
      </c>
      <c r="BI246" t="s">
        <v>74</v>
      </c>
      <c r="BJ246" t="s">
        <v>74</v>
      </c>
      <c r="BK246" t="s">
        <v>74</v>
      </c>
      <c r="BL246" t="s">
        <v>74</v>
      </c>
      <c r="BM246" t="s">
        <v>74</v>
      </c>
      <c r="BN246" t="s">
        <v>74</v>
      </c>
      <c r="BO246" t="s">
        <v>74</v>
      </c>
      <c r="BP246" t="s">
        <v>74</v>
      </c>
      <c r="BQ246" t="s">
        <v>74</v>
      </c>
      <c r="BR246" t="s">
        <v>74</v>
      </c>
      <c r="BS246" t="s">
        <v>2297</v>
      </c>
      <c r="BT246" t="str">
        <f>HYPERLINK("https%3A%2F%2Fwww.webofscience.com%2Fwos%2Fwoscc%2Ffull-record%2FWOS:001174418100001","View Full Record in Web of Science")</f>
        <v>View Full Record in Web of Science</v>
      </c>
    </row>
    <row r="247" spans="1:72" x14ac:dyDescent="0.2">
      <c r="A247" t="s">
        <v>72</v>
      </c>
      <c r="B247" t="s">
        <v>2298</v>
      </c>
      <c r="C247" t="s">
        <v>74</v>
      </c>
      <c r="D247" t="s">
        <v>74</v>
      </c>
      <c r="E247" t="s">
        <v>74</v>
      </c>
      <c r="F247" t="s">
        <v>2299</v>
      </c>
      <c r="G247" t="s">
        <v>74</v>
      </c>
      <c r="H247" t="s">
        <v>74</v>
      </c>
      <c r="I247" t="s">
        <v>2300</v>
      </c>
      <c r="J247" t="s">
        <v>1040</v>
      </c>
      <c r="K247" t="s">
        <v>74</v>
      </c>
      <c r="L247" t="s">
        <v>74</v>
      </c>
      <c r="M247" t="s">
        <v>74</v>
      </c>
      <c r="N247" t="s">
        <v>74</v>
      </c>
      <c r="O247" t="s">
        <v>74</v>
      </c>
      <c r="P247" t="s">
        <v>74</v>
      </c>
      <c r="Q247" t="s">
        <v>74</v>
      </c>
      <c r="R247" t="s">
        <v>74</v>
      </c>
      <c r="S247" t="s">
        <v>74</v>
      </c>
      <c r="T247" t="s">
        <v>74</v>
      </c>
      <c r="U247" t="s">
        <v>74</v>
      </c>
      <c r="V247" t="s">
        <v>2301</v>
      </c>
      <c r="W247" t="s">
        <v>74</v>
      </c>
      <c r="X247" t="s">
        <v>74</v>
      </c>
      <c r="Y247" t="s">
        <v>74</v>
      </c>
      <c r="Z247" t="s">
        <v>74</v>
      </c>
      <c r="AA247" t="s">
        <v>2302</v>
      </c>
      <c r="AB247" t="s">
        <v>2303</v>
      </c>
      <c r="AC247" t="s">
        <v>74</v>
      </c>
      <c r="AD247" t="s">
        <v>74</v>
      </c>
      <c r="AE247" t="s">
        <v>74</v>
      </c>
      <c r="AF247" t="s">
        <v>74</v>
      </c>
      <c r="AG247" t="s">
        <v>74</v>
      </c>
      <c r="AH247" t="s">
        <v>74</v>
      </c>
      <c r="AI247" t="s">
        <v>74</v>
      </c>
      <c r="AJ247" t="s">
        <v>74</v>
      </c>
      <c r="AK247" t="s">
        <v>74</v>
      </c>
      <c r="AL247" t="s">
        <v>74</v>
      </c>
      <c r="AM247" t="s">
        <v>74</v>
      </c>
      <c r="AN247" t="s">
        <v>74</v>
      </c>
      <c r="AO247" t="s">
        <v>1043</v>
      </c>
      <c r="AP247" t="s">
        <v>1044</v>
      </c>
      <c r="AQ247" t="s">
        <v>74</v>
      </c>
      <c r="AR247" t="s">
        <v>74</v>
      </c>
      <c r="AS247" t="s">
        <v>74</v>
      </c>
      <c r="AT247" t="s">
        <v>839</v>
      </c>
      <c r="AU247">
        <v>2024</v>
      </c>
      <c r="AV247">
        <v>26</v>
      </c>
      <c r="AW247">
        <v>12</v>
      </c>
      <c r="AX247" t="s">
        <v>74</v>
      </c>
      <c r="AY247" t="s">
        <v>74</v>
      </c>
      <c r="AZ247" t="s">
        <v>74</v>
      </c>
      <c r="BA247" t="s">
        <v>74</v>
      </c>
      <c r="BB247">
        <v>9317</v>
      </c>
      <c r="BC247">
        <v>9328</v>
      </c>
      <c r="BD247" t="s">
        <v>74</v>
      </c>
      <c r="BE247" t="s">
        <v>2304</v>
      </c>
      <c r="BF247" t="str">
        <f>HYPERLINK("http://dx.doi.org/10.1039/d3cp04706g","http://dx.doi.org/10.1039/d3cp04706g")</f>
        <v>http://dx.doi.org/10.1039/d3cp04706g</v>
      </c>
      <c r="BG247" t="s">
        <v>74</v>
      </c>
      <c r="BH247" t="s">
        <v>2289</v>
      </c>
      <c r="BI247" t="s">
        <v>74</v>
      </c>
      <c r="BJ247" t="s">
        <v>74</v>
      </c>
      <c r="BK247" t="s">
        <v>74</v>
      </c>
      <c r="BL247" t="s">
        <v>74</v>
      </c>
      <c r="BM247" t="s">
        <v>74</v>
      </c>
      <c r="BN247">
        <v>38444289</v>
      </c>
      <c r="BO247" t="s">
        <v>74</v>
      </c>
      <c r="BP247" t="s">
        <v>74</v>
      </c>
      <c r="BQ247" t="s">
        <v>74</v>
      </c>
      <c r="BR247" t="s">
        <v>74</v>
      </c>
      <c r="BS247" t="s">
        <v>2305</v>
      </c>
      <c r="BT247" t="str">
        <f>HYPERLINK("https%3A%2F%2Fwww.webofscience.com%2Fwos%2Fwoscc%2Ffull-record%2FWOS:001178869100001","View Full Record in Web of Science")</f>
        <v>View Full Record in Web of Science</v>
      </c>
    </row>
    <row r="248" spans="1:72" x14ac:dyDescent="0.2">
      <c r="A248" t="s">
        <v>72</v>
      </c>
      <c r="B248" t="s">
        <v>2306</v>
      </c>
      <c r="C248" t="s">
        <v>74</v>
      </c>
      <c r="D248" t="s">
        <v>74</v>
      </c>
      <c r="E248" t="s">
        <v>74</v>
      </c>
      <c r="F248" t="s">
        <v>2307</v>
      </c>
      <c r="G248" t="s">
        <v>74</v>
      </c>
      <c r="H248" t="s">
        <v>74</v>
      </c>
      <c r="I248" t="s">
        <v>2308</v>
      </c>
      <c r="J248" t="s">
        <v>528</v>
      </c>
      <c r="K248" t="s">
        <v>74</v>
      </c>
      <c r="L248" t="s">
        <v>74</v>
      </c>
      <c r="M248" t="s">
        <v>74</v>
      </c>
      <c r="N248" t="s">
        <v>74</v>
      </c>
      <c r="O248" t="s">
        <v>74</v>
      </c>
      <c r="P248" t="s">
        <v>74</v>
      </c>
      <c r="Q248" t="s">
        <v>74</v>
      </c>
      <c r="R248" t="s">
        <v>74</v>
      </c>
      <c r="S248" t="s">
        <v>74</v>
      </c>
      <c r="T248" t="s">
        <v>74</v>
      </c>
      <c r="U248" t="s">
        <v>74</v>
      </c>
      <c r="V248" t="s">
        <v>2309</v>
      </c>
      <c r="W248" t="s">
        <v>74</v>
      </c>
      <c r="X248" t="s">
        <v>74</v>
      </c>
      <c r="Y248" t="s">
        <v>74</v>
      </c>
      <c r="Z248" t="s">
        <v>74</v>
      </c>
      <c r="AA248" t="s">
        <v>2310</v>
      </c>
      <c r="AB248" t="s">
        <v>2311</v>
      </c>
      <c r="AC248" t="s">
        <v>74</v>
      </c>
      <c r="AD248" t="s">
        <v>74</v>
      </c>
      <c r="AE248" t="s">
        <v>74</v>
      </c>
      <c r="AF248" t="s">
        <v>74</v>
      </c>
      <c r="AG248" t="s">
        <v>74</v>
      </c>
      <c r="AH248" t="s">
        <v>74</v>
      </c>
      <c r="AI248" t="s">
        <v>74</v>
      </c>
      <c r="AJ248" t="s">
        <v>74</v>
      </c>
      <c r="AK248" t="s">
        <v>74</v>
      </c>
      <c r="AL248" t="s">
        <v>74</v>
      </c>
      <c r="AM248" t="s">
        <v>74</v>
      </c>
      <c r="AN248" t="s">
        <v>74</v>
      </c>
      <c r="AO248" t="s">
        <v>532</v>
      </c>
      <c r="AP248" t="s">
        <v>533</v>
      </c>
      <c r="AQ248" t="s">
        <v>74</v>
      </c>
      <c r="AR248" t="s">
        <v>74</v>
      </c>
      <c r="AS248" t="s">
        <v>74</v>
      </c>
      <c r="AT248" t="s">
        <v>2312</v>
      </c>
      <c r="AU248">
        <v>2024</v>
      </c>
      <c r="AV248">
        <v>16</v>
      </c>
      <c r="AW248">
        <v>8</v>
      </c>
      <c r="AX248" t="s">
        <v>74</v>
      </c>
      <c r="AY248" t="s">
        <v>74</v>
      </c>
      <c r="AZ248" t="s">
        <v>74</v>
      </c>
      <c r="BA248" t="s">
        <v>74</v>
      </c>
      <c r="BB248">
        <v>10070</v>
      </c>
      <c r="BC248">
        <v>10077</v>
      </c>
      <c r="BD248" t="s">
        <v>74</v>
      </c>
      <c r="BE248" t="s">
        <v>2313</v>
      </c>
      <c r="BF248" t="str">
        <f>HYPERLINK("http://dx.doi.org/10.1021/acsami.3c17570","http://dx.doi.org/10.1021/acsami.3c17570")</f>
        <v>http://dx.doi.org/10.1021/acsami.3c17570</v>
      </c>
      <c r="BG248" t="s">
        <v>74</v>
      </c>
      <c r="BH248" t="s">
        <v>2289</v>
      </c>
      <c r="BI248" t="s">
        <v>74</v>
      </c>
      <c r="BJ248" t="s">
        <v>74</v>
      </c>
      <c r="BK248" t="s">
        <v>74</v>
      </c>
      <c r="BL248" t="s">
        <v>74</v>
      </c>
      <c r="BM248" t="s">
        <v>74</v>
      </c>
      <c r="BN248">
        <v>38380614</v>
      </c>
      <c r="BO248" t="s">
        <v>74</v>
      </c>
      <c r="BP248" t="s">
        <v>74</v>
      </c>
      <c r="BQ248" t="s">
        <v>74</v>
      </c>
      <c r="BR248" t="s">
        <v>74</v>
      </c>
      <c r="BS248" t="s">
        <v>2314</v>
      </c>
      <c r="BT248" t="str">
        <f>HYPERLINK("https%3A%2F%2Fwww.webofscience.com%2Fwos%2Fwoscc%2Ffull-record%2FWOS:001168275400001","View Full Record in Web of Science")</f>
        <v>View Full Record in Web of Science</v>
      </c>
    </row>
    <row r="249" spans="1:72" x14ac:dyDescent="0.2">
      <c r="A249" t="s">
        <v>72</v>
      </c>
      <c r="B249" t="s">
        <v>2315</v>
      </c>
      <c r="C249" t="s">
        <v>74</v>
      </c>
      <c r="D249" t="s">
        <v>74</v>
      </c>
      <c r="E249" t="s">
        <v>74</v>
      </c>
      <c r="F249" t="s">
        <v>2316</v>
      </c>
      <c r="G249" t="s">
        <v>74</v>
      </c>
      <c r="H249" t="s">
        <v>74</v>
      </c>
      <c r="I249" t="s">
        <v>2317</v>
      </c>
      <c r="J249" t="s">
        <v>140</v>
      </c>
      <c r="K249" t="s">
        <v>74</v>
      </c>
      <c r="L249" t="s">
        <v>74</v>
      </c>
      <c r="M249" t="s">
        <v>74</v>
      </c>
      <c r="N249" t="s">
        <v>74</v>
      </c>
      <c r="O249" t="s">
        <v>74</v>
      </c>
      <c r="P249" t="s">
        <v>74</v>
      </c>
      <c r="Q249" t="s">
        <v>74</v>
      </c>
      <c r="R249" t="s">
        <v>74</v>
      </c>
      <c r="S249" t="s">
        <v>74</v>
      </c>
      <c r="T249" t="s">
        <v>74</v>
      </c>
      <c r="U249" t="s">
        <v>74</v>
      </c>
      <c r="V249" t="s">
        <v>2318</v>
      </c>
      <c r="W249" t="s">
        <v>74</v>
      </c>
      <c r="X249" t="s">
        <v>74</v>
      </c>
      <c r="Y249" t="s">
        <v>74</v>
      </c>
      <c r="Z249" t="s">
        <v>74</v>
      </c>
      <c r="AA249" t="s">
        <v>2319</v>
      </c>
      <c r="AB249" t="s">
        <v>2320</v>
      </c>
      <c r="AC249" t="s">
        <v>74</v>
      </c>
      <c r="AD249" t="s">
        <v>74</v>
      </c>
      <c r="AE249" t="s">
        <v>74</v>
      </c>
      <c r="AF249" t="s">
        <v>74</v>
      </c>
      <c r="AG249" t="s">
        <v>74</v>
      </c>
      <c r="AH249" t="s">
        <v>74</v>
      </c>
      <c r="AI249" t="s">
        <v>74</v>
      </c>
      <c r="AJ249" t="s">
        <v>74</v>
      </c>
      <c r="AK249" t="s">
        <v>74</v>
      </c>
      <c r="AL249" t="s">
        <v>74</v>
      </c>
      <c r="AM249" t="s">
        <v>74</v>
      </c>
      <c r="AN249" t="s">
        <v>74</v>
      </c>
      <c r="AO249" t="s">
        <v>142</v>
      </c>
      <c r="AP249" t="s">
        <v>143</v>
      </c>
      <c r="AQ249" t="s">
        <v>74</v>
      </c>
      <c r="AR249" t="s">
        <v>74</v>
      </c>
      <c r="AS249" t="s">
        <v>74</v>
      </c>
      <c r="AT249" t="s">
        <v>2321</v>
      </c>
      <c r="AU249">
        <v>2024</v>
      </c>
      <c r="AV249">
        <v>84</v>
      </c>
      <c r="AW249" t="s">
        <v>74</v>
      </c>
      <c r="AX249" t="s">
        <v>145</v>
      </c>
      <c r="AY249" t="s">
        <v>74</v>
      </c>
      <c r="AZ249" t="s">
        <v>74</v>
      </c>
      <c r="BA249" t="s">
        <v>74</v>
      </c>
      <c r="BB249" t="s">
        <v>74</v>
      </c>
      <c r="BC249" t="s">
        <v>74</v>
      </c>
      <c r="BD249">
        <v>110977</v>
      </c>
      <c r="BE249" t="s">
        <v>2322</v>
      </c>
      <c r="BF249" t="str">
        <f>HYPERLINK("http://dx.doi.org/10.1016/j.est.2024.110977","http://dx.doi.org/10.1016/j.est.2024.110977")</f>
        <v>http://dx.doi.org/10.1016/j.est.2024.110977</v>
      </c>
      <c r="BG249" t="s">
        <v>74</v>
      </c>
      <c r="BH249" t="s">
        <v>2289</v>
      </c>
      <c r="BI249" t="s">
        <v>74</v>
      </c>
      <c r="BJ249" t="s">
        <v>74</v>
      </c>
      <c r="BK249" t="s">
        <v>74</v>
      </c>
      <c r="BL249" t="s">
        <v>74</v>
      </c>
      <c r="BM249" t="s">
        <v>74</v>
      </c>
      <c r="BN249" t="s">
        <v>74</v>
      </c>
      <c r="BO249" t="s">
        <v>74</v>
      </c>
      <c r="BP249" t="s">
        <v>74</v>
      </c>
      <c r="BQ249" t="s">
        <v>74</v>
      </c>
      <c r="BR249" t="s">
        <v>74</v>
      </c>
      <c r="BS249" t="s">
        <v>2323</v>
      </c>
      <c r="BT249" t="str">
        <f>HYPERLINK("https%3A%2F%2Fwww.webofscience.com%2Fwos%2Fwoscc%2Ffull-record%2FWOS:001188673800001","View Full Record in Web of Science")</f>
        <v>View Full Record in Web of Science</v>
      </c>
    </row>
    <row r="250" spans="1:72" x14ac:dyDescent="0.2">
      <c r="A250" t="s">
        <v>72</v>
      </c>
      <c r="B250" t="s">
        <v>2324</v>
      </c>
      <c r="C250" t="s">
        <v>74</v>
      </c>
      <c r="D250" t="s">
        <v>74</v>
      </c>
      <c r="E250" t="s">
        <v>74</v>
      </c>
      <c r="F250" t="s">
        <v>2325</v>
      </c>
      <c r="G250" t="s">
        <v>74</v>
      </c>
      <c r="H250" t="s">
        <v>74</v>
      </c>
      <c r="I250" t="s">
        <v>2326</v>
      </c>
      <c r="J250" t="s">
        <v>231</v>
      </c>
      <c r="K250" t="s">
        <v>74</v>
      </c>
      <c r="L250" t="s">
        <v>74</v>
      </c>
      <c r="M250" t="s">
        <v>74</v>
      </c>
      <c r="N250" t="s">
        <v>74</v>
      </c>
      <c r="O250" t="s">
        <v>74</v>
      </c>
      <c r="P250" t="s">
        <v>74</v>
      </c>
      <c r="Q250" t="s">
        <v>74</v>
      </c>
      <c r="R250" t="s">
        <v>74</v>
      </c>
      <c r="S250" t="s">
        <v>74</v>
      </c>
      <c r="T250" t="s">
        <v>74</v>
      </c>
      <c r="U250" t="s">
        <v>74</v>
      </c>
      <c r="V250" t="s">
        <v>2327</v>
      </c>
      <c r="W250" t="s">
        <v>74</v>
      </c>
      <c r="X250" t="s">
        <v>74</v>
      </c>
      <c r="Y250" t="s">
        <v>74</v>
      </c>
      <c r="Z250" t="s">
        <v>74</v>
      </c>
      <c r="AA250" t="s">
        <v>2328</v>
      </c>
      <c r="AB250" t="s">
        <v>74</v>
      </c>
      <c r="AC250" t="s">
        <v>74</v>
      </c>
      <c r="AD250" t="s">
        <v>74</v>
      </c>
      <c r="AE250" t="s">
        <v>74</v>
      </c>
      <c r="AF250" t="s">
        <v>74</v>
      </c>
      <c r="AG250" t="s">
        <v>74</v>
      </c>
      <c r="AH250" t="s">
        <v>74</v>
      </c>
      <c r="AI250" t="s">
        <v>74</v>
      </c>
      <c r="AJ250" t="s">
        <v>74</v>
      </c>
      <c r="AK250" t="s">
        <v>74</v>
      </c>
      <c r="AL250" t="s">
        <v>74</v>
      </c>
      <c r="AM250" t="s">
        <v>74</v>
      </c>
      <c r="AN250" t="s">
        <v>74</v>
      </c>
      <c r="AO250" t="s">
        <v>74</v>
      </c>
      <c r="AP250" t="s">
        <v>234</v>
      </c>
      <c r="AQ250" t="s">
        <v>74</v>
      </c>
      <c r="AR250" t="s">
        <v>74</v>
      </c>
      <c r="AS250" t="s">
        <v>74</v>
      </c>
      <c r="AT250" t="s">
        <v>2329</v>
      </c>
      <c r="AU250">
        <v>2024</v>
      </c>
      <c r="AV250">
        <v>63</v>
      </c>
      <c r="AW250">
        <v>13</v>
      </c>
      <c r="AX250" t="s">
        <v>74</v>
      </c>
      <c r="AY250" t="s">
        <v>74</v>
      </c>
      <c r="AZ250" t="s">
        <v>74</v>
      </c>
      <c r="BA250" t="s">
        <v>74</v>
      </c>
      <c r="BB250" t="s">
        <v>74</v>
      </c>
      <c r="BC250" t="s">
        <v>74</v>
      </c>
      <c r="BD250" t="s">
        <v>74</v>
      </c>
      <c r="BE250" t="s">
        <v>2330</v>
      </c>
      <c r="BF250" t="str">
        <f>HYPERLINK("http://dx.doi.org/10.1002/anie.202317256","http://dx.doi.org/10.1002/anie.202317256")</f>
        <v>http://dx.doi.org/10.1002/anie.202317256</v>
      </c>
      <c r="BG250" t="s">
        <v>74</v>
      </c>
      <c r="BH250" t="s">
        <v>2289</v>
      </c>
      <c r="BI250" t="s">
        <v>74</v>
      </c>
      <c r="BJ250" t="s">
        <v>74</v>
      </c>
      <c r="BK250" t="s">
        <v>74</v>
      </c>
      <c r="BL250" t="s">
        <v>74</v>
      </c>
      <c r="BM250" t="s">
        <v>74</v>
      </c>
      <c r="BN250">
        <v>38289336</v>
      </c>
      <c r="BO250" t="s">
        <v>74</v>
      </c>
      <c r="BP250" t="s">
        <v>74</v>
      </c>
      <c r="BQ250" t="s">
        <v>74</v>
      </c>
      <c r="BR250" t="s">
        <v>74</v>
      </c>
      <c r="BS250" t="s">
        <v>2331</v>
      </c>
      <c r="BT250" t="str">
        <f>HYPERLINK("https%3A%2F%2Fwww.webofscience.com%2Fwos%2Fwoscc%2Ffull-record%2FWOS:001166307100001","View Full Record in Web of Science")</f>
        <v>View Full Record in Web of Science</v>
      </c>
    </row>
    <row r="251" spans="1:72" x14ac:dyDescent="0.2">
      <c r="A251" t="s">
        <v>72</v>
      </c>
      <c r="B251" t="s">
        <v>2332</v>
      </c>
      <c r="C251" t="s">
        <v>74</v>
      </c>
      <c r="D251" t="s">
        <v>74</v>
      </c>
      <c r="E251" t="s">
        <v>74</v>
      </c>
      <c r="F251" t="s">
        <v>2333</v>
      </c>
      <c r="G251" t="s">
        <v>74</v>
      </c>
      <c r="H251" t="s">
        <v>74</v>
      </c>
      <c r="I251" t="s">
        <v>2334</v>
      </c>
      <c r="J251" t="s">
        <v>1219</v>
      </c>
      <c r="K251" t="s">
        <v>74</v>
      </c>
      <c r="L251" t="s">
        <v>74</v>
      </c>
      <c r="M251" t="s">
        <v>74</v>
      </c>
      <c r="N251" t="s">
        <v>74</v>
      </c>
      <c r="O251" t="s">
        <v>74</v>
      </c>
      <c r="P251" t="s">
        <v>74</v>
      </c>
      <c r="Q251" t="s">
        <v>74</v>
      </c>
      <c r="R251" t="s">
        <v>74</v>
      </c>
      <c r="S251" t="s">
        <v>74</v>
      </c>
      <c r="T251" t="s">
        <v>74</v>
      </c>
      <c r="U251" t="s">
        <v>74</v>
      </c>
      <c r="V251" t="s">
        <v>2335</v>
      </c>
      <c r="W251" t="s">
        <v>74</v>
      </c>
      <c r="X251" t="s">
        <v>74</v>
      </c>
      <c r="Y251" t="s">
        <v>74</v>
      </c>
      <c r="Z251" t="s">
        <v>74</v>
      </c>
      <c r="AA251" t="s">
        <v>74</v>
      </c>
      <c r="AB251" t="s">
        <v>74</v>
      </c>
      <c r="AC251" t="s">
        <v>74</v>
      </c>
      <c r="AD251" t="s">
        <v>74</v>
      </c>
      <c r="AE251" t="s">
        <v>74</v>
      </c>
      <c r="AF251" t="s">
        <v>74</v>
      </c>
      <c r="AG251" t="s">
        <v>74</v>
      </c>
      <c r="AH251" t="s">
        <v>74</v>
      </c>
      <c r="AI251" t="s">
        <v>74</v>
      </c>
      <c r="AJ251" t="s">
        <v>74</v>
      </c>
      <c r="AK251" t="s">
        <v>74</v>
      </c>
      <c r="AL251" t="s">
        <v>74</v>
      </c>
      <c r="AM251" t="s">
        <v>74</v>
      </c>
      <c r="AN251" t="s">
        <v>74</v>
      </c>
      <c r="AO251" t="s">
        <v>1223</v>
      </c>
      <c r="AP251" t="s">
        <v>1224</v>
      </c>
      <c r="AQ251" t="s">
        <v>74</v>
      </c>
      <c r="AR251" t="s">
        <v>74</v>
      </c>
      <c r="AS251" t="s">
        <v>74</v>
      </c>
      <c r="AT251" t="s">
        <v>1026</v>
      </c>
      <c r="AU251">
        <v>2024</v>
      </c>
      <c r="AV251">
        <v>59</v>
      </c>
      <c r="AW251">
        <v>8</v>
      </c>
      <c r="AX251" t="s">
        <v>74</v>
      </c>
      <c r="AY251" t="s">
        <v>74</v>
      </c>
      <c r="AZ251" t="s">
        <v>74</v>
      </c>
      <c r="BA251" t="s">
        <v>74</v>
      </c>
      <c r="BB251">
        <v>3381</v>
      </c>
      <c r="BC251">
        <v>3393</v>
      </c>
      <c r="BD251" t="s">
        <v>74</v>
      </c>
      <c r="BE251" t="s">
        <v>2336</v>
      </c>
      <c r="BF251" t="str">
        <f>HYPERLINK("http://dx.doi.org/10.1007/s10853-024-09434-6","http://dx.doi.org/10.1007/s10853-024-09434-6")</f>
        <v>http://dx.doi.org/10.1007/s10853-024-09434-6</v>
      </c>
      <c r="BG251" t="s">
        <v>74</v>
      </c>
      <c r="BH251" t="s">
        <v>2289</v>
      </c>
      <c r="BI251" t="s">
        <v>74</v>
      </c>
      <c r="BJ251" t="s">
        <v>74</v>
      </c>
      <c r="BK251" t="s">
        <v>74</v>
      </c>
      <c r="BL251" t="s">
        <v>74</v>
      </c>
      <c r="BM251" t="s">
        <v>74</v>
      </c>
      <c r="BN251" t="s">
        <v>74</v>
      </c>
      <c r="BO251" t="s">
        <v>74</v>
      </c>
      <c r="BP251" t="s">
        <v>74</v>
      </c>
      <c r="BQ251" t="s">
        <v>74</v>
      </c>
      <c r="BR251" t="s">
        <v>74</v>
      </c>
      <c r="BS251" t="s">
        <v>2337</v>
      </c>
      <c r="BT251" t="str">
        <f>HYPERLINK("https%3A%2F%2Fwww.webofscience.com%2Fwos%2Fwoscc%2Ffull-record%2FWOS:001163571600002","View Full Record in Web of Science")</f>
        <v>View Full Record in Web of Science</v>
      </c>
    </row>
    <row r="252" spans="1:72" x14ac:dyDescent="0.2">
      <c r="A252" t="s">
        <v>72</v>
      </c>
      <c r="B252" t="s">
        <v>2338</v>
      </c>
      <c r="C252" t="s">
        <v>74</v>
      </c>
      <c r="D252" t="s">
        <v>74</v>
      </c>
      <c r="E252" t="s">
        <v>74</v>
      </c>
      <c r="F252" t="s">
        <v>2339</v>
      </c>
      <c r="G252" t="s">
        <v>74</v>
      </c>
      <c r="H252" t="s">
        <v>74</v>
      </c>
      <c r="I252" t="s">
        <v>2340</v>
      </c>
      <c r="J252" t="s">
        <v>171</v>
      </c>
      <c r="K252" t="s">
        <v>74</v>
      </c>
      <c r="L252" t="s">
        <v>74</v>
      </c>
      <c r="M252" t="s">
        <v>74</v>
      </c>
      <c r="N252" t="s">
        <v>74</v>
      </c>
      <c r="O252" t="s">
        <v>74</v>
      </c>
      <c r="P252" t="s">
        <v>74</v>
      </c>
      <c r="Q252" t="s">
        <v>74</v>
      </c>
      <c r="R252" t="s">
        <v>74</v>
      </c>
      <c r="S252" t="s">
        <v>74</v>
      </c>
      <c r="T252" t="s">
        <v>74</v>
      </c>
      <c r="U252" t="s">
        <v>74</v>
      </c>
      <c r="V252" t="s">
        <v>2341</v>
      </c>
      <c r="W252" t="s">
        <v>74</v>
      </c>
      <c r="X252" t="s">
        <v>74</v>
      </c>
      <c r="Y252" t="s">
        <v>74</v>
      </c>
      <c r="Z252" t="s">
        <v>74</v>
      </c>
      <c r="AA252" t="s">
        <v>2342</v>
      </c>
      <c r="AB252" t="s">
        <v>2343</v>
      </c>
      <c r="AC252" t="s">
        <v>74</v>
      </c>
      <c r="AD252" t="s">
        <v>74</v>
      </c>
      <c r="AE252" t="s">
        <v>74</v>
      </c>
      <c r="AF252" t="s">
        <v>74</v>
      </c>
      <c r="AG252" t="s">
        <v>74</v>
      </c>
      <c r="AH252" t="s">
        <v>74</v>
      </c>
      <c r="AI252" t="s">
        <v>74</v>
      </c>
      <c r="AJ252" t="s">
        <v>74</v>
      </c>
      <c r="AK252" t="s">
        <v>74</v>
      </c>
      <c r="AL252" t="s">
        <v>74</v>
      </c>
      <c r="AM252" t="s">
        <v>74</v>
      </c>
      <c r="AN252" t="s">
        <v>74</v>
      </c>
      <c r="AO252" t="s">
        <v>173</v>
      </c>
      <c r="AP252" t="s">
        <v>174</v>
      </c>
      <c r="AQ252" t="s">
        <v>74</v>
      </c>
      <c r="AR252" t="s">
        <v>74</v>
      </c>
      <c r="AS252" t="s">
        <v>74</v>
      </c>
      <c r="AT252" t="s">
        <v>545</v>
      </c>
      <c r="AU252">
        <v>2024</v>
      </c>
      <c r="AV252">
        <v>661</v>
      </c>
      <c r="AW252" t="s">
        <v>74</v>
      </c>
      <c r="AX252" t="s">
        <v>74</v>
      </c>
      <c r="AY252" t="s">
        <v>74</v>
      </c>
      <c r="AZ252" t="s">
        <v>74</v>
      </c>
      <c r="BA252" t="s">
        <v>74</v>
      </c>
      <c r="BB252">
        <v>987</v>
      </c>
      <c r="BC252">
        <v>999</v>
      </c>
      <c r="BD252" t="s">
        <v>74</v>
      </c>
      <c r="BE252" t="s">
        <v>2344</v>
      </c>
      <c r="BF252" t="str">
        <f>HYPERLINK("http://dx.doi.org/10.1016/j.jcis.2024.02.053","http://dx.doi.org/10.1016/j.jcis.2024.02.053")</f>
        <v>http://dx.doi.org/10.1016/j.jcis.2024.02.053</v>
      </c>
      <c r="BG252" t="s">
        <v>74</v>
      </c>
      <c r="BH252" t="s">
        <v>2289</v>
      </c>
      <c r="BI252" t="s">
        <v>74</v>
      </c>
      <c r="BJ252" t="s">
        <v>74</v>
      </c>
      <c r="BK252" t="s">
        <v>74</v>
      </c>
      <c r="BL252" t="s">
        <v>74</v>
      </c>
      <c r="BM252" t="s">
        <v>74</v>
      </c>
      <c r="BN252">
        <v>38330670</v>
      </c>
      <c r="BO252" t="s">
        <v>74</v>
      </c>
      <c r="BP252" t="s">
        <v>74</v>
      </c>
      <c r="BQ252" t="s">
        <v>74</v>
      </c>
      <c r="BR252" t="s">
        <v>74</v>
      </c>
      <c r="BS252" t="s">
        <v>2345</v>
      </c>
      <c r="BT252" t="str">
        <f>HYPERLINK("https%3A%2F%2Fwww.webofscience.com%2Fwos%2Fwoscc%2Ffull-record%2FWOS:001183486400001","View Full Record in Web of Science")</f>
        <v>View Full Record in Web of Science</v>
      </c>
    </row>
    <row r="253" spans="1:72" x14ac:dyDescent="0.2">
      <c r="A253" t="s">
        <v>72</v>
      </c>
      <c r="B253" t="s">
        <v>2346</v>
      </c>
      <c r="C253" t="s">
        <v>74</v>
      </c>
      <c r="D253" t="s">
        <v>74</v>
      </c>
      <c r="E253" t="s">
        <v>74</v>
      </c>
      <c r="F253" t="s">
        <v>2347</v>
      </c>
      <c r="G253" t="s">
        <v>74</v>
      </c>
      <c r="H253" t="s">
        <v>74</v>
      </c>
      <c r="I253" t="s">
        <v>2348</v>
      </c>
      <c r="J253" t="s">
        <v>140</v>
      </c>
      <c r="K253" t="s">
        <v>74</v>
      </c>
      <c r="L253" t="s">
        <v>74</v>
      </c>
      <c r="M253" t="s">
        <v>74</v>
      </c>
      <c r="N253" t="s">
        <v>74</v>
      </c>
      <c r="O253" t="s">
        <v>74</v>
      </c>
      <c r="P253" t="s">
        <v>74</v>
      </c>
      <c r="Q253" t="s">
        <v>74</v>
      </c>
      <c r="R253" t="s">
        <v>74</v>
      </c>
      <c r="S253" t="s">
        <v>74</v>
      </c>
      <c r="T253" t="s">
        <v>74</v>
      </c>
      <c r="U253" t="s">
        <v>74</v>
      </c>
      <c r="V253" t="s">
        <v>2349</v>
      </c>
      <c r="W253" t="s">
        <v>74</v>
      </c>
      <c r="X253" t="s">
        <v>74</v>
      </c>
      <c r="Y253" t="s">
        <v>74</v>
      </c>
      <c r="Z253" t="s">
        <v>74</v>
      </c>
      <c r="AA253" t="s">
        <v>74</v>
      </c>
      <c r="AB253" t="s">
        <v>2350</v>
      </c>
      <c r="AC253" t="s">
        <v>74</v>
      </c>
      <c r="AD253" t="s">
        <v>74</v>
      </c>
      <c r="AE253" t="s">
        <v>74</v>
      </c>
      <c r="AF253" t="s">
        <v>74</v>
      </c>
      <c r="AG253" t="s">
        <v>74</v>
      </c>
      <c r="AH253" t="s">
        <v>74</v>
      </c>
      <c r="AI253" t="s">
        <v>74</v>
      </c>
      <c r="AJ253" t="s">
        <v>74</v>
      </c>
      <c r="AK253" t="s">
        <v>74</v>
      </c>
      <c r="AL253" t="s">
        <v>74</v>
      </c>
      <c r="AM253" t="s">
        <v>74</v>
      </c>
      <c r="AN253" t="s">
        <v>74</v>
      </c>
      <c r="AO253" t="s">
        <v>142</v>
      </c>
      <c r="AP253" t="s">
        <v>143</v>
      </c>
      <c r="AQ253" t="s">
        <v>74</v>
      </c>
      <c r="AR253" t="s">
        <v>74</v>
      </c>
      <c r="AS253" t="s">
        <v>74</v>
      </c>
      <c r="AT253" t="s">
        <v>798</v>
      </c>
      <c r="AU253">
        <v>2024</v>
      </c>
      <c r="AV253">
        <v>84</v>
      </c>
      <c r="AW253" t="s">
        <v>74</v>
      </c>
      <c r="AX253" t="s">
        <v>1549</v>
      </c>
      <c r="AY253" t="s">
        <v>74</v>
      </c>
      <c r="AZ253" t="s">
        <v>74</v>
      </c>
      <c r="BA253" t="s">
        <v>74</v>
      </c>
      <c r="BB253" t="s">
        <v>74</v>
      </c>
      <c r="BC253" t="s">
        <v>74</v>
      </c>
      <c r="BD253">
        <v>110799</v>
      </c>
      <c r="BE253" t="s">
        <v>2351</v>
      </c>
      <c r="BF253" t="str">
        <f>HYPERLINK("http://dx.doi.org/10.1016/j.est.2024.110799","http://dx.doi.org/10.1016/j.est.2024.110799")</f>
        <v>http://dx.doi.org/10.1016/j.est.2024.110799</v>
      </c>
      <c r="BG253" t="s">
        <v>74</v>
      </c>
      <c r="BH253" t="s">
        <v>2289</v>
      </c>
      <c r="BI253" t="s">
        <v>74</v>
      </c>
      <c r="BJ253" t="s">
        <v>74</v>
      </c>
      <c r="BK253" t="s">
        <v>74</v>
      </c>
      <c r="BL253" t="s">
        <v>74</v>
      </c>
      <c r="BM253" t="s">
        <v>74</v>
      </c>
      <c r="BN253" t="s">
        <v>74</v>
      </c>
      <c r="BO253" t="s">
        <v>74</v>
      </c>
      <c r="BP253" t="s">
        <v>74</v>
      </c>
      <c r="BQ253" t="s">
        <v>74</v>
      </c>
      <c r="BR253" t="s">
        <v>74</v>
      </c>
      <c r="BS253" t="s">
        <v>2352</v>
      </c>
      <c r="BT253" t="str">
        <f>HYPERLINK("https%3A%2F%2Fwww.webofscience.com%2Fwos%2Fwoscc%2Ffull-record%2FWOS:001180961300001","View Full Record in Web of Science")</f>
        <v>View Full Record in Web of Science</v>
      </c>
    </row>
    <row r="254" spans="1:72" x14ac:dyDescent="0.2">
      <c r="A254" t="s">
        <v>72</v>
      </c>
      <c r="B254" t="s">
        <v>2353</v>
      </c>
      <c r="C254" t="s">
        <v>74</v>
      </c>
      <c r="D254" t="s">
        <v>74</v>
      </c>
      <c r="E254" t="s">
        <v>74</v>
      </c>
      <c r="F254" t="s">
        <v>2354</v>
      </c>
      <c r="G254" t="s">
        <v>74</v>
      </c>
      <c r="H254" t="s">
        <v>74</v>
      </c>
      <c r="I254" t="s">
        <v>2355</v>
      </c>
      <c r="J254" t="s">
        <v>374</v>
      </c>
      <c r="K254" t="s">
        <v>74</v>
      </c>
      <c r="L254" t="s">
        <v>74</v>
      </c>
      <c r="M254" t="s">
        <v>74</v>
      </c>
      <c r="N254" t="s">
        <v>74</v>
      </c>
      <c r="O254" t="s">
        <v>74</v>
      </c>
      <c r="P254" t="s">
        <v>74</v>
      </c>
      <c r="Q254" t="s">
        <v>74</v>
      </c>
      <c r="R254" t="s">
        <v>74</v>
      </c>
      <c r="S254" t="s">
        <v>74</v>
      </c>
      <c r="T254" t="s">
        <v>74</v>
      </c>
      <c r="U254" t="s">
        <v>74</v>
      </c>
      <c r="V254" t="s">
        <v>2356</v>
      </c>
      <c r="W254" t="s">
        <v>74</v>
      </c>
      <c r="X254" t="s">
        <v>74</v>
      </c>
      <c r="Y254" t="s">
        <v>74</v>
      </c>
      <c r="Z254" t="s">
        <v>74</v>
      </c>
      <c r="AA254" t="s">
        <v>2357</v>
      </c>
      <c r="AB254" t="s">
        <v>2358</v>
      </c>
      <c r="AC254" t="s">
        <v>74</v>
      </c>
      <c r="AD254" t="s">
        <v>74</v>
      </c>
      <c r="AE254" t="s">
        <v>74</v>
      </c>
      <c r="AF254" t="s">
        <v>74</v>
      </c>
      <c r="AG254" t="s">
        <v>74</v>
      </c>
      <c r="AH254" t="s">
        <v>74</v>
      </c>
      <c r="AI254" t="s">
        <v>74</v>
      </c>
      <c r="AJ254" t="s">
        <v>74</v>
      </c>
      <c r="AK254" t="s">
        <v>74</v>
      </c>
      <c r="AL254" t="s">
        <v>74</v>
      </c>
      <c r="AM254" t="s">
        <v>74</v>
      </c>
      <c r="AN254" t="s">
        <v>74</v>
      </c>
      <c r="AO254" t="s">
        <v>377</v>
      </c>
      <c r="AP254" t="s">
        <v>74</v>
      </c>
      <c r="AQ254" t="s">
        <v>74</v>
      </c>
      <c r="AR254" t="s">
        <v>74</v>
      </c>
      <c r="AS254" t="s">
        <v>74</v>
      </c>
      <c r="AT254" t="s">
        <v>2359</v>
      </c>
      <c r="AU254">
        <v>2024</v>
      </c>
      <c r="AV254">
        <v>9</v>
      </c>
      <c r="AW254">
        <v>2</v>
      </c>
      <c r="AX254" t="s">
        <v>74</v>
      </c>
      <c r="AY254" t="s">
        <v>74</v>
      </c>
      <c r="AZ254" t="s">
        <v>74</v>
      </c>
      <c r="BA254" t="s">
        <v>74</v>
      </c>
      <c r="BB254">
        <v>707</v>
      </c>
      <c r="BC254">
        <v>714</v>
      </c>
      <c r="BD254" t="s">
        <v>74</v>
      </c>
      <c r="BE254" t="s">
        <v>2360</v>
      </c>
      <c r="BF254" t="str">
        <f>HYPERLINK("http://dx.doi.org/10.1021/acsenergylett.3c02117","http://dx.doi.org/10.1021/acsenergylett.3c02117")</f>
        <v>http://dx.doi.org/10.1021/acsenergylett.3c02117</v>
      </c>
      <c r="BG254" t="s">
        <v>74</v>
      </c>
      <c r="BH254" t="s">
        <v>2361</v>
      </c>
      <c r="BI254" t="s">
        <v>74</v>
      </c>
      <c r="BJ254" t="s">
        <v>74</v>
      </c>
      <c r="BK254" t="s">
        <v>74</v>
      </c>
      <c r="BL254" t="s">
        <v>74</v>
      </c>
      <c r="BM254" t="s">
        <v>74</v>
      </c>
      <c r="BN254" t="s">
        <v>74</v>
      </c>
      <c r="BO254" t="s">
        <v>74</v>
      </c>
      <c r="BP254" t="s">
        <v>74</v>
      </c>
      <c r="BQ254" t="s">
        <v>74</v>
      </c>
      <c r="BR254" t="s">
        <v>74</v>
      </c>
      <c r="BS254" t="s">
        <v>2362</v>
      </c>
      <c r="BT254" t="str">
        <f>HYPERLINK("https%3A%2F%2Fwww.webofscience.com%2Fwos%2Fwoscc%2Ffull-record%2FWOS:001159006000001","View Full Record in Web of Science")</f>
        <v>View Full Record in Web of Science</v>
      </c>
    </row>
    <row r="255" spans="1:72" x14ac:dyDescent="0.2">
      <c r="A255" t="s">
        <v>72</v>
      </c>
      <c r="B255" t="s">
        <v>2363</v>
      </c>
      <c r="C255" t="s">
        <v>74</v>
      </c>
      <c r="D255" t="s">
        <v>74</v>
      </c>
      <c r="E255" t="s">
        <v>74</v>
      </c>
      <c r="F255" t="s">
        <v>2364</v>
      </c>
      <c r="G255" t="s">
        <v>74</v>
      </c>
      <c r="H255" t="s">
        <v>74</v>
      </c>
      <c r="I255" t="s">
        <v>2365</v>
      </c>
      <c r="J255" t="s">
        <v>171</v>
      </c>
      <c r="K255" t="s">
        <v>74</v>
      </c>
      <c r="L255" t="s">
        <v>74</v>
      </c>
      <c r="M255" t="s">
        <v>74</v>
      </c>
      <c r="N255" t="s">
        <v>74</v>
      </c>
      <c r="O255" t="s">
        <v>74</v>
      </c>
      <c r="P255" t="s">
        <v>74</v>
      </c>
      <c r="Q255" t="s">
        <v>74</v>
      </c>
      <c r="R255" t="s">
        <v>74</v>
      </c>
      <c r="S255" t="s">
        <v>74</v>
      </c>
      <c r="T255" t="s">
        <v>74</v>
      </c>
      <c r="U255" t="s">
        <v>74</v>
      </c>
      <c r="V255" t="s">
        <v>2366</v>
      </c>
      <c r="W255" t="s">
        <v>74</v>
      </c>
      <c r="X255" t="s">
        <v>74</v>
      </c>
      <c r="Y255" t="s">
        <v>74</v>
      </c>
      <c r="Z255" t="s">
        <v>74</v>
      </c>
      <c r="AA255" t="s">
        <v>2367</v>
      </c>
      <c r="AB255" t="s">
        <v>74</v>
      </c>
      <c r="AC255" t="s">
        <v>74</v>
      </c>
      <c r="AD255" t="s">
        <v>74</v>
      </c>
      <c r="AE255" t="s">
        <v>74</v>
      </c>
      <c r="AF255" t="s">
        <v>74</v>
      </c>
      <c r="AG255" t="s">
        <v>74</v>
      </c>
      <c r="AH255" t="s">
        <v>74</v>
      </c>
      <c r="AI255" t="s">
        <v>74</v>
      </c>
      <c r="AJ255" t="s">
        <v>74</v>
      </c>
      <c r="AK255" t="s">
        <v>74</v>
      </c>
      <c r="AL255" t="s">
        <v>74</v>
      </c>
      <c r="AM255" t="s">
        <v>74</v>
      </c>
      <c r="AN255" t="s">
        <v>74</v>
      </c>
      <c r="AO255" t="s">
        <v>173</v>
      </c>
      <c r="AP255" t="s">
        <v>174</v>
      </c>
      <c r="AQ255" t="s">
        <v>74</v>
      </c>
      <c r="AR255" t="s">
        <v>74</v>
      </c>
      <c r="AS255" t="s">
        <v>74</v>
      </c>
      <c r="AT255" t="s">
        <v>798</v>
      </c>
      <c r="AU255">
        <v>2024</v>
      </c>
      <c r="AV255">
        <v>660</v>
      </c>
      <c r="AW255" t="s">
        <v>74</v>
      </c>
      <c r="AX255" t="s">
        <v>74</v>
      </c>
      <c r="AY255" t="s">
        <v>74</v>
      </c>
      <c r="AZ255" t="s">
        <v>74</v>
      </c>
      <c r="BA255" t="s">
        <v>74</v>
      </c>
      <c r="BB255">
        <v>565</v>
      </c>
      <c r="BC255">
        <v>573</v>
      </c>
      <c r="BD255" t="s">
        <v>74</v>
      </c>
      <c r="BE255" t="s">
        <v>2368</v>
      </c>
      <c r="BF255" t="str">
        <f>HYPERLINK("http://dx.doi.org/10.1016/j.jcis.2024.01.097","http://dx.doi.org/10.1016/j.jcis.2024.01.097")</f>
        <v>http://dx.doi.org/10.1016/j.jcis.2024.01.097</v>
      </c>
      <c r="BG255" t="s">
        <v>74</v>
      </c>
      <c r="BH255" t="s">
        <v>2361</v>
      </c>
      <c r="BI255" t="s">
        <v>74</v>
      </c>
      <c r="BJ255" t="s">
        <v>74</v>
      </c>
      <c r="BK255" t="s">
        <v>74</v>
      </c>
      <c r="BL255" t="s">
        <v>74</v>
      </c>
      <c r="BM255" t="s">
        <v>74</v>
      </c>
      <c r="BN255">
        <v>38266338</v>
      </c>
      <c r="BO255" t="s">
        <v>74</v>
      </c>
      <c r="BP255" t="s">
        <v>74</v>
      </c>
      <c r="BQ255" t="s">
        <v>74</v>
      </c>
      <c r="BR255" t="s">
        <v>74</v>
      </c>
      <c r="BS255" t="s">
        <v>2369</v>
      </c>
      <c r="BT255" t="str">
        <f>HYPERLINK("https%3A%2F%2Fwww.webofscience.com%2Fwos%2Fwoscc%2Ffull-record%2FWOS:001174938400001","View Full Record in Web of Science")</f>
        <v>View Full Record in Web of Science</v>
      </c>
    </row>
    <row r="256" spans="1:72" x14ac:dyDescent="0.2">
      <c r="A256" t="s">
        <v>72</v>
      </c>
      <c r="B256" t="s">
        <v>2370</v>
      </c>
      <c r="C256" t="s">
        <v>74</v>
      </c>
      <c r="D256" t="s">
        <v>74</v>
      </c>
      <c r="E256" t="s">
        <v>74</v>
      </c>
      <c r="F256" t="s">
        <v>2371</v>
      </c>
      <c r="G256" t="s">
        <v>74</v>
      </c>
      <c r="H256" t="s">
        <v>74</v>
      </c>
      <c r="I256" t="s">
        <v>2372</v>
      </c>
      <c r="J256" t="s">
        <v>151</v>
      </c>
      <c r="K256" t="s">
        <v>74</v>
      </c>
      <c r="L256" t="s">
        <v>74</v>
      </c>
      <c r="M256" t="s">
        <v>74</v>
      </c>
      <c r="N256" t="s">
        <v>74</v>
      </c>
      <c r="O256" t="s">
        <v>74</v>
      </c>
      <c r="P256" t="s">
        <v>74</v>
      </c>
      <c r="Q256" t="s">
        <v>74</v>
      </c>
      <c r="R256" t="s">
        <v>74</v>
      </c>
      <c r="S256" t="s">
        <v>74</v>
      </c>
      <c r="T256" t="s">
        <v>74</v>
      </c>
      <c r="U256" t="s">
        <v>74</v>
      </c>
      <c r="V256" t="s">
        <v>2373</v>
      </c>
      <c r="W256" t="s">
        <v>74</v>
      </c>
      <c r="X256" t="s">
        <v>74</v>
      </c>
      <c r="Y256" t="s">
        <v>74</v>
      </c>
      <c r="Z256" t="s">
        <v>74</v>
      </c>
      <c r="AA256" t="s">
        <v>2374</v>
      </c>
      <c r="AB256" t="s">
        <v>2375</v>
      </c>
      <c r="AC256" t="s">
        <v>74</v>
      </c>
      <c r="AD256" t="s">
        <v>74</v>
      </c>
      <c r="AE256" t="s">
        <v>74</v>
      </c>
      <c r="AF256" t="s">
        <v>74</v>
      </c>
      <c r="AG256" t="s">
        <v>74</v>
      </c>
      <c r="AH256" t="s">
        <v>74</v>
      </c>
      <c r="AI256" t="s">
        <v>74</v>
      </c>
      <c r="AJ256" t="s">
        <v>74</v>
      </c>
      <c r="AK256" t="s">
        <v>74</v>
      </c>
      <c r="AL256" t="s">
        <v>74</v>
      </c>
      <c r="AM256" t="s">
        <v>74</v>
      </c>
      <c r="AN256" t="s">
        <v>74</v>
      </c>
      <c r="AO256" t="s">
        <v>153</v>
      </c>
      <c r="AP256" t="s">
        <v>154</v>
      </c>
      <c r="AQ256" t="s">
        <v>74</v>
      </c>
      <c r="AR256" t="s">
        <v>74</v>
      </c>
      <c r="AS256" t="s">
        <v>74</v>
      </c>
      <c r="AT256" t="s">
        <v>965</v>
      </c>
      <c r="AU256">
        <v>2024</v>
      </c>
      <c r="AV256">
        <v>66</v>
      </c>
      <c r="AW256" t="s">
        <v>74</v>
      </c>
      <c r="AX256" t="s">
        <v>74</v>
      </c>
      <c r="AY256" t="s">
        <v>74</v>
      </c>
      <c r="AZ256" t="s">
        <v>74</v>
      </c>
      <c r="BA256" t="s">
        <v>74</v>
      </c>
      <c r="BB256" t="s">
        <v>74</v>
      </c>
      <c r="BC256" t="s">
        <v>74</v>
      </c>
      <c r="BD256">
        <v>103201</v>
      </c>
      <c r="BE256" t="s">
        <v>2376</v>
      </c>
      <c r="BF256" t="str">
        <f>HYPERLINK("http://dx.doi.org/10.1016/j.ensm.2024.103201","http://dx.doi.org/10.1016/j.ensm.2024.103201")</f>
        <v>http://dx.doi.org/10.1016/j.ensm.2024.103201</v>
      </c>
      <c r="BG256" t="s">
        <v>74</v>
      </c>
      <c r="BH256" t="s">
        <v>2361</v>
      </c>
      <c r="BI256" t="s">
        <v>74</v>
      </c>
      <c r="BJ256" t="s">
        <v>74</v>
      </c>
      <c r="BK256" t="s">
        <v>74</v>
      </c>
      <c r="BL256" t="s">
        <v>74</v>
      </c>
      <c r="BM256" t="s">
        <v>74</v>
      </c>
      <c r="BN256" t="s">
        <v>74</v>
      </c>
      <c r="BO256" t="s">
        <v>74</v>
      </c>
      <c r="BP256" t="s">
        <v>74</v>
      </c>
      <c r="BQ256" t="s">
        <v>74</v>
      </c>
      <c r="BR256" t="s">
        <v>74</v>
      </c>
      <c r="BS256" t="s">
        <v>2377</v>
      </c>
      <c r="BT256" t="str">
        <f>HYPERLINK("https%3A%2F%2Fwww.webofscience.com%2Fwos%2Fwoscc%2Ffull-record%2FWOS:001166731900001","View Full Record in Web of Science")</f>
        <v>View Full Record in Web of Science</v>
      </c>
    </row>
    <row r="257" spans="1:72" x14ac:dyDescent="0.2">
      <c r="A257" t="s">
        <v>72</v>
      </c>
      <c r="B257" t="s">
        <v>2378</v>
      </c>
      <c r="C257" t="s">
        <v>74</v>
      </c>
      <c r="D257" t="s">
        <v>74</v>
      </c>
      <c r="E257" t="s">
        <v>74</v>
      </c>
      <c r="F257" t="s">
        <v>2379</v>
      </c>
      <c r="G257" t="s">
        <v>74</v>
      </c>
      <c r="H257" t="s">
        <v>74</v>
      </c>
      <c r="I257" t="s">
        <v>2380</v>
      </c>
      <c r="J257" t="s">
        <v>528</v>
      </c>
      <c r="K257" t="s">
        <v>74</v>
      </c>
      <c r="L257" t="s">
        <v>74</v>
      </c>
      <c r="M257" t="s">
        <v>74</v>
      </c>
      <c r="N257" t="s">
        <v>74</v>
      </c>
      <c r="O257" t="s">
        <v>74</v>
      </c>
      <c r="P257" t="s">
        <v>74</v>
      </c>
      <c r="Q257" t="s">
        <v>74</v>
      </c>
      <c r="R257" t="s">
        <v>74</v>
      </c>
      <c r="S257" t="s">
        <v>74</v>
      </c>
      <c r="T257" t="s">
        <v>74</v>
      </c>
      <c r="U257" t="s">
        <v>74</v>
      </c>
      <c r="V257" t="s">
        <v>2381</v>
      </c>
      <c r="W257" t="s">
        <v>74</v>
      </c>
      <c r="X257" t="s">
        <v>74</v>
      </c>
      <c r="Y257" t="s">
        <v>74</v>
      </c>
      <c r="Z257" t="s">
        <v>74</v>
      </c>
      <c r="AA257" t="s">
        <v>2382</v>
      </c>
      <c r="AB257" t="s">
        <v>2383</v>
      </c>
      <c r="AC257" t="s">
        <v>74</v>
      </c>
      <c r="AD257" t="s">
        <v>74</v>
      </c>
      <c r="AE257" t="s">
        <v>74</v>
      </c>
      <c r="AF257" t="s">
        <v>74</v>
      </c>
      <c r="AG257" t="s">
        <v>74</v>
      </c>
      <c r="AH257" t="s">
        <v>74</v>
      </c>
      <c r="AI257" t="s">
        <v>74</v>
      </c>
      <c r="AJ257" t="s">
        <v>74</v>
      </c>
      <c r="AK257" t="s">
        <v>74</v>
      </c>
      <c r="AL257" t="s">
        <v>74</v>
      </c>
      <c r="AM257" t="s">
        <v>74</v>
      </c>
      <c r="AN257" t="s">
        <v>74</v>
      </c>
      <c r="AO257" t="s">
        <v>532</v>
      </c>
      <c r="AP257" t="s">
        <v>533</v>
      </c>
      <c r="AQ257" t="s">
        <v>74</v>
      </c>
      <c r="AR257" t="s">
        <v>74</v>
      </c>
      <c r="AS257" t="s">
        <v>74</v>
      </c>
      <c r="AT257" t="s">
        <v>2384</v>
      </c>
      <c r="AU257">
        <v>2024</v>
      </c>
      <c r="AV257">
        <v>16</v>
      </c>
      <c r="AW257">
        <v>4</v>
      </c>
      <c r="AX257" t="s">
        <v>74</v>
      </c>
      <c r="AY257" t="s">
        <v>74</v>
      </c>
      <c r="AZ257" t="s">
        <v>74</v>
      </c>
      <c r="BA257" t="s">
        <v>74</v>
      </c>
      <c r="BB257">
        <v>4847</v>
      </c>
      <c r="BC257">
        <v>4853</v>
      </c>
      <c r="BD257" t="s">
        <v>74</v>
      </c>
      <c r="BE257" t="s">
        <v>2385</v>
      </c>
      <c r="BF257" t="str">
        <f>HYPERLINK("http://dx.doi.org/10.1021/acsami.3c17535","http://dx.doi.org/10.1021/acsami.3c17535")</f>
        <v>http://dx.doi.org/10.1021/acsami.3c17535</v>
      </c>
      <c r="BG257" t="s">
        <v>74</v>
      </c>
      <c r="BH257" t="s">
        <v>74</v>
      </c>
      <c r="BI257" t="s">
        <v>74</v>
      </c>
      <c r="BJ257" t="s">
        <v>74</v>
      </c>
      <c r="BK257" t="s">
        <v>74</v>
      </c>
      <c r="BL257" t="s">
        <v>74</v>
      </c>
      <c r="BM257" t="s">
        <v>74</v>
      </c>
      <c r="BN257">
        <v>38241525</v>
      </c>
      <c r="BO257" t="s">
        <v>74</v>
      </c>
      <c r="BP257" t="s">
        <v>74</v>
      </c>
      <c r="BQ257" t="s">
        <v>74</v>
      </c>
      <c r="BR257" t="s">
        <v>74</v>
      </c>
      <c r="BS257" t="s">
        <v>2386</v>
      </c>
      <c r="BT257" t="str">
        <f>HYPERLINK("https%3A%2F%2Fwww.webofscience.com%2Fwos%2Fwoscc%2Ffull-record%2FWOS:001155525200001","View Full Record in Web of Science")</f>
        <v>View Full Record in Web of Science</v>
      </c>
    </row>
    <row r="258" spans="1:72" x14ac:dyDescent="0.2">
      <c r="A258" t="s">
        <v>72</v>
      </c>
      <c r="B258" t="s">
        <v>2387</v>
      </c>
      <c r="C258" t="s">
        <v>74</v>
      </c>
      <c r="D258" t="s">
        <v>74</v>
      </c>
      <c r="E258" t="s">
        <v>74</v>
      </c>
      <c r="F258" t="s">
        <v>2388</v>
      </c>
      <c r="G258" t="s">
        <v>74</v>
      </c>
      <c r="H258" t="s">
        <v>74</v>
      </c>
      <c r="I258" t="s">
        <v>2389</v>
      </c>
      <c r="J258" t="s">
        <v>689</v>
      </c>
      <c r="K258" t="s">
        <v>74</v>
      </c>
      <c r="L258" t="s">
        <v>74</v>
      </c>
      <c r="M258" t="s">
        <v>74</v>
      </c>
      <c r="N258" t="s">
        <v>74</v>
      </c>
      <c r="O258" t="s">
        <v>74</v>
      </c>
      <c r="P258" t="s">
        <v>74</v>
      </c>
      <c r="Q258" t="s">
        <v>74</v>
      </c>
      <c r="R258" t="s">
        <v>74</v>
      </c>
      <c r="S258" t="s">
        <v>74</v>
      </c>
      <c r="T258" t="s">
        <v>74</v>
      </c>
      <c r="U258" t="s">
        <v>74</v>
      </c>
      <c r="V258" t="s">
        <v>2390</v>
      </c>
      <c r="W258" t="s">
        <v>74</v>
      </c>
      <c r="X258" t="s">
        <v>74</v>
      </c>
      <c r="Y258" t="s">
        <v>74</v>
      </c>
      <c r="Z258" t="s">
        <v>74</v>
      </c>
      <c r="AA258" t="s">
        <v>2391</v>
      </c>
      <c r="AB258" t="s">
        <v>2392</v>
      </c>
      <c r="AC258" t="s">
        <v>74</v>
      </c>
      <c r="AD258" t="s">
        <v>74</v>
      </c>
      <c r="AE258" t="s">
        <v>74</v>
      </c>
      <c r="AF258" t="s">
        <v>74</v>
      </c>
      <c r="AG258" t="s">
        <v>74</v>
      </c>
      <c r="AH258" t="s">
        <v>74</v>
      </c>
      <c r="AI258" t="s">
        <v>74</v>
      </c>
      <c r="AJ258" t="s">
        <v>74</v>
      </c>
      <c r="AK258" t="s">
        <v>74</v>
      </c>
      <c r="AL258" t="s">
        <v>74</v>
      </c>
      <c r="AM258" t="s">
        <v>74</v>
      </c>
      <c r="AN258" t="s">
        <v>74</v>
      </c>
      <c r="AO258" t="s">
        <v>693</v>
      </c>
      <c r="AP258" t="s">
        <v>694</v>
      </c>
      <c r="AQ258" t="s">
        <v>74</v>
      </c>
      <c r="AR258" t="s">
        <v>74</v>
      </c>
      <c r="AS258" t="s">
        <v>74</v>
      </c>
      <c r="AT258" t="s">
        <v>2393</v>
      </c>
      <c r="AU258">
        <v>2024</v>
      </c>
      <c r="AV258">
        <v>18</v>
      </c>
      <c r="AW258">
        <v>4</v>
      </c>
      <c r="AX258" t="s">
        <v>74</v>
      </c>
      <c r="AY258" t="s">
        <v>74</v>
      </c>
      <c r="AZ258" t="s">
        <v>74</v>
      </c>
      <c r="BA258" t="s">
        <v>74</v>
      </c>
      <c r="BB258">
        <v>3531</v>
      </c>
      <c r="BC258">
        <v>3541</v>
      </c>
      <c r="BD258" t="s">
        <v>74</v>
      </c>
      <c r="BE258" t="s">
        <v>2394</v>
      </c>
      <c r="BF258" t="str">
        <f>HYPERLINK("http://dx.doi.org/10.1021/acsnano.3c11135","http://dx.doi.org/10.1021/acsnano.3c11135")</f>
        <v>http://dx.doi.org/10.1021/acsnano.3c11135</v>
      </c>
      <c r="BG258" t="s">
        <v>74</v>
      </c>
      <c r="BH258" t="s">
        <v>74</v>
      </c>
      <c r="BI258" t="s">
        <v>74</v>
      </c>
      <c r="BJ258" t="s">
        <v>74</v>
      </c>
      <c r="BK258" t="s">
        <v>74</v>
      </c>
      <c r="BL258" t="s">
        <v>74</v>
      </c>
      <c r="BM258" t="s">
        <v>74</v>
      </c>
      <c r="BN258">
        <v>38236027</v>
      </c>
      <c r="BO258" t="s">
        <v>74</v>
      </c>
      <c r="BP258" t="s">
        <v>74</v>
      </c>
      <c r="BQ258" t="s">
        <v>74</v>
      </c>
      <c r="BR258" t="s">
        <v>74</v>
      </c>
      <c r="BS258" t="s">
        <v>2395</v>
      </c>
      <c r="BT258" t="str">
        <f>HYPERLINK("https%3A%2F%2Fwww.webofscience.com%2Fwos%2Fwoscc%2Ffull-record%2FWOS:001154845100001","View Full Record in Web of Science")</f>
        <v>View Full Record in Web of Science</v>
      </c>
    </row>
    <row r="259" spans="1:72" x14ac:dyDescent="0.2">
      <c r="A259" t="s">
        <v>72</v>
      </c>
      <c r="B259" t="s">
        <v>2396</v>
      </c>
      <c r="C259" t="s">
        <v>74</v>
      </c>
      <c r="D259" t="s">
        <v>74</v>
      </c>
      <c r="E259" t="s">
        <v>74</v>
      </c>
      <c r="F259" t="s">
        <v>2397</v>
      </c>
      <c r="G259" t="s">
        <v>74</v>
      </c>
      <c r="H259" t="s">
        <v>74</v>
      </c>
      <c r="I259" t="s">
        <v>2398</v>
      </c>
      <c r="J259" t="s">
        <v>2399</v>
      </c>
      <c r="K259" t="s">
        <v>74</v>
      </c>
      <c r="L259" t="s">
        <v>74</v>
      </c>
      <c r="M259" t="s">
        <v>74</v>
      </c>
      <c r="N259" t="s">
        <v>74</v>
      </c>
      <c r="O259" t="s">
        <v>74</v>
      </c>
      <c r="P259" t="s">
        <v>74</v>
      </c>
      <c r="Q259" t="s">
        <v>74</v>
      </c>
      <c r="R259" t="s">
        <v>74</v>
      </c>
      <c r="S259" t="s">
        <v>74</v>
      </c>
      <c r="T259" t="s">
        <v>74</v>
      </c>
      <c r="U259" t="s">
        <v>74</v>
      </c>
      <c r="V259" t="s">
        <v>2400</v>
      </c>
      <c r="W259" t="s">
        <v>74</v>
      </c>
      <c r="X259" t="s">
        <v>74</v>
      </c>
      <c r="Y259" t="s">
        <v>74</v>
      </c>
      <c r="Z259" t="s">
        <v>74</v>
      </c>
      <c r="AA259" t="s">
        <v>2401</v>
      </c>
      <c r="AB259" t="s">
        <v>2402</v>
      </c>
      <c r="AC259" t="s">
        <v>74</v>
      </c>
      <c r="AD259" t="s">
        <v>74</v>
      </c>
      <c r="AE259" t="s">
        <v>74</v>
      </c>
      <c r="AF259" t="s">
        <v>74</v>
      </c>
      <c r="AG259" t="s">
        <v>74</v>
      </c>
      <c r="AH259" t="s">
        <v>74</v>
      </c>
      <c r="AI259" t="s">
        <v>74</v>
      </c>
      <c r="AJ259" t="s">
        <v>74</v>
      </c>
      <c r="AK259" t="s">
        <v>74</v>
      </c>
      <c r="AL259" t="s">
        <v>74</v>
      </c>
      <c r="AM259" t="s">
        <v>74</v>
      </c>
      <c r="AN259" t="s">
        <v>74</v>
      </c>
      <c r="AO259" t="s">
        <v>74</v>
      </c>
      <c r="AP259" t="s">
        <v>2403</v>
      </c>
      <c r="AQ259" t="s">
        <v>74</v>
      </c>
      <c r="AR259" t="s">
        <v>74</v>
      </c>
      <c r="AS259" t="s">
        <v>74</v>
      </c>
      <c r="AT259" t="s">
        <v>2404</v>
      </c>
      <c r="AU259">
        <v>2024</v>
      </c>
      <c r="AV259">
        <v>10</v>
      </c>
      <c r="AW259">
        <v>2</v>
      </c>
      <c r="AX259" t="s">
        <v>74</v>
      </c>
      <c r="AY259" t="s">
        <v>74</v>
      </c>
      <c r="AZ259" t="s">
        <v>74</v>
      </c>
      <c r="BA259" t="s">
        <v>74</v>
      </c>
      <c r="BB259" t="s">
        <v>74</v>
      </c>
      <c r="BC259" t="s">
        <v>74</v>
      </c>
      <c r="BD259" t="s">
        <v>2405</v>
      </c>
      <c r="BE259" t="s">
        <v>2406</v>
      </c>
      <c r="BF259" t="str">
        <f>HYPERLINK("http://dx.doi.org/10.1016/j.heliyon.2024.e24493","http://dx.doi.org/10.1016/j.heliyon.2024.e24493")</f>
        <v>http://dx.doi.org/10.1016/j.heliyon.2024.e24493</v>
      </c>
      <c r="BG259" t="s">
        <v>74</v>
      </c>
      <c r="BH259" t="s">
        <v>2361</v>
      </c>
      <c r="BI259" t="s">
        <v>74</v>
      </c>
      <c r="BJ259" t="s">
        <v>74</v>
      </c>
      <c r="BK259" t="s">
        <v>74</v>
      </c>
      <c r="BL259" t="s">
        <v>74</v>
      </c>
      <c r="BM259" t="s">
        <v>74</v>
      </c>
      <c r="BN259">
        <v>38298732</v>
      </c>
      <c r="BO259" t="s">
        <v>74</v>
      </c>
      <c r="BP259" t="s">
        <v>74</v>
      </c>
      <c r="BQ259" t="s">
        <v>74</v>
      </c>
      <c r="BR259" t="s">
        <v>74</v>
      </c>
      <c r="BS259" t="s">
        <v>2407</v>
      </c>
      <c r="BT259" t="str">
        <f>HYPERLINK("https%3A%2F%2Fwww.webofscience.com%2Fwos%2Fwoscc%2Ffull-record%2FWOS:001162542200001","View Full Record in Web of Science")</f>
        <v>View Full Record in Web of Science</v>
      </c>
    </row>
    <row r="260" spans="1:72" x14ac:dyDescent="0.2">
      <c r="A260" t="s">
        <v>72</v>
      </c>
      <c r="B260" t="s">
        <v>2408</v>
      </c>
      <c r="C260" t="s">
        <v>74</v>
      </c>
      <c r="D260" t="s">
        <v>74</v>
      </c>
      <c r="E260" t="s">
        <v>74</v>
      </c>
      <c r="F260" t="s">
        <v>2409</v>
      </c>
      <c r="G260" t="s">
        <v>74</v>
      </c>
      <c r="H260" t="s">
        <v>74</v>
      </c>
      <c r="I260" t="s">
        <v>2410</v>
      </c>
      <c r="J260" t="s">
        <v>352</v>
      </c>
      <c r="K260" t="s">
        <v>74</v>
      </c>
      <c r="L260" t="s">
        <v>74</v>
      </c>
      <c r="M260" t="s">
        <v>74</v>
      </c>
      <c r="N260" t="s">
        <v>74</v>
      </c>
      <c r="O260" t="s">
        <v>74</v>
      </c>
      <c r="P260" t="s">
        <v>74</v>
      </c>
      <c r="Q260" t="s">
        <v>74</v>
      </c>
      <c r="R260" t="s">
        <v>74</v>
      </c>
      <c r="S260" t="s">
        <v>74</v>
      </c>
      <c r="T260" t="s">
        <v>74</v>
      </c>
      <c r="U260" t="s">
        <v>74</v>
      </c>
      <c r="V260" t="s">
        <v>2411</v>
      </c>
      <c r="W260" t="s">
        <v>74</v>
      </c>
      <c r="X260" t="s">
        <v>74</v>
      </c>
      <c r="Y260" t="s">
        <v>74</v>
      </c>
      <c r="Z260" t="s">
        <v>74</v>
      </c>
      <c r="AA260" t="s">
        <v>2412</v>
      </c>
      <c r="AB260" t="s">
        <v>2413</v>
      </c>
      <c r="AC260" t="s">
        <v>74</v>
      </c>
      <c r="AD260" t="s">
        <v>74</v>
      </c>
      <c r="AE260" t="s">
        <v>74</v>
      </c>
      <c r="AF260" t="s">
        <v>74</v>
      </c>
      <c r="AG260" t="s">
        <v>74</v>
      </c>
      <c r="AH260" t="s">
        <v>74</v>
      </c>
      <c r="AI260" t="s">
        <v>74</v>
      </c>
      <c r="AJ260" t="s">
        <v>74</v>
      </c>
      <c r="AK260" t="s">
        <v>74</v>
      </c>
      <c r="AL260" t="s">
        <v>74</v>
      </c>
      <c r="AM260" t="s">
        <v>74</v>
      </c>
      <c r="AN260" t="s">
        <v>74</v>
      </c>
      <c r="AO260" t="s">
        <v>354</v>
      </c>
      <c r="AP260" t="s">
        <v>355</v>
      </c>
      <c r="AQ260" t="s">
        <v>74</v>
      </c>
      <c r="AR260" t="s">
        <v>74</v>
      </c>
      <c r="AS260" t="s">
        <v>74</v>
      </c>
      <c r="AT260" t="s">
        <v>670</v>
      </c>
      <c r="AU260">
        <v>2024</v>
      </c>
      <c r="AV260">
        <v>14</v>
      </c>
      <c r="AW260">
        <v>13</v>
      </c>
      <c r="AX260" t="s">
        <v>74</v>
      </c>
      <c r="AY260" t="s">
        <v>74</v>
      </c>
      <c r="AZ260" t="s">
        <v>74</v>
      </c>
      <c r="BA260" t="s">
        <v>74</v>
      </c>
      <c r="BB260" t="s">
        <v>74</v>
      </c>
      <c r="BC260" t="s">
        <v>74</v>
      </c>
      <c r="BD260" t="s">
        <v>74</v>
      </c>
      <c r="BE260" t="s">
        <v>2414</v>
      </c>
      <c r="BF260" t="str">
        <f>HYPERLINK("http://dx.doi.org/10.1002/aenm.202303834","http://dx.doi.org/10.1002/aenm.202303834")</f>
        <v>http://dx.doi.org/10.1002/aenm.202303834</v>
      </c>
      <c r="BG260" t="s">
        <v>74</v>
      </c>
      <c r="BH260" t="s">
        <v>2361</v>
      </c>
      <c r="BI260" t="s">
        <v>74</v>
      </c>
      <c r="BJ260" t="s">
        <v>74</v>
      </c>
      <c r="BK260" t="s">
        <v>74</v>
      </c>
      <c r="BL260" t="s">
        <v>74</v>
      </c>
      <c r="BM260" t="s">
        <v>74</v>
      </c>
      <c r="BN260" t="s">
        <v>74</v>
      </c>
      <c r="BO260" t="s">
        <v>74</v>
      </c>
      <c r="BP260" t="s">
        <v>74</v>
      </c>
      <c r="BQ260" t="s">
        <v>74</v>
      </c>
      <c r="BR260" t="s">
        <v>74</v>
      </c>
      <c r="BS260" t="s">
        <v>2415</v>
      </c>
      <c r="BT260" t="str">
        <f>HYPERLINK("https%3A%2F%2Fwww.webofscience.com%2Fwos%2Fwoscc%2Ffull-record%2FWOS:001142557200001","View Full Record in Web of Science")</f>
        <v>View Full Record in Web of Science</v>
      </c>
    </row>
    <row r="261" spans="1:72" x14ac:dyDescent="0.2">
      <c r="A261" t="s">
        <v>72</v>
      </c>
      <c r="B261" t="s">
        <v>2416</v>
      </c>
      <c r="C261" t="s">
        <v>74</v>
      </c>
      <c r="D261" t="s">
        <v>74</v>
      </c>
      <c r="E261" t="s">
        <v>74</v>
      </c>
      <c r="F261" t="s">
        <v>2417</v>
      </c>
      <c r="G261" t="s">
        <v>74</v>
      </c>
      <c r="H261" t="s">
        <v>74</v>
      </c>
      <c r="I261" t="s">
        <v>2418</v>
      </c>
      <c r="J261" t="s">
        <v>267</v>
      </c>
      <c r="K261" t="s">
        <v>74</v>
      </c>
      <c r="L261" t="s">
        <v>74</v>
      </c>
      <c r="M261" t="s">
        <v>74</v>
      </c>
      <c r="N261" t="s">
        <v>74</v>
      </c>
      <c r="O261" t="s">
        <v>74</v>
      </c>
      <c r="P261" t="s">
        <v>74</v>
      </c>
      <c r="Q261" t="s">
        <v>74</v>
      </c>
      <c r="R261" t="s">
        <v>74</v>
      </c>
      <c r="S261" t="s">
        <v>74</v>
      </c>
      <c r="T261" t="s">
        <v>74</v>
      </c>
      <c r="U261" t="s">
        <v>74</v>
      </c>
      <c r="V261" t="s">
        <v>2419</v>
      </c>
      <c r="W261" t="s">
        <v>74</v>
      </c>
      <c r="X261" t="s">
        <v>74</v>
      </c>
      <c r="Y261" t="s">
        <v>74</v>
      </c>
      <c r="Z261" t="s">
        <v>74</v>
      </c>
      <c r="AA261" t="s">
        <v>2420</v>
      </c>
      <c r="AB261" t="s">
        <v>2421</v>
      </c>
      <c r="AC261" t="s">
        <v>74</v>
      </c>
      <c r="AD261" t="s">
        <v>74</v>
      </c>
      <c r="AE261" t="s">
        <v>74</v>
      </c>
      <c r="AF261" t="s">
        <v>74</v>
      </c>
      <c r="AG261" t="s">
        <v>74</v>
      </c>
      <c r="AH261" t="s">
        <v>74</v>
      </c>
      <c r="AI261" t="s">
        <v>74</v>
      </c>
      <c r="AJ261" t="s">
        <v>74</v>
      </c>
      <c r="AK261" t="s">
        <v>74</v>
      </c>
      <c r="AL261" t="s">
        <v>74</v>
      </c>
      <c r="AM261" t="s">
        <v>74</v>
      </c>
      <c r="AN261" t="s">
        <v>74</v>
      </c>
      <c r="AO261" t="s">
        <v>270</v>
      </c>
      <c r="AP261" t="s">
        <v>271</v>
      </c>
      <c r="AQ261" t="s">
        <v>74</v>
      </c>
      <c r="AR261" t="s">
        <v>74</v>
      </c>
      <c r="AS261" t="s">
        <v>74</v>
      </c>
      <c r="AT261" t="s">
        <v>670</v>
      </c>
      <c r="AU261">
        <v>2024</v>
      </c>
      <c r="AV261">
        <v>34</v>
      </c>
      <c r="AW261">
        <v>17</v>
      </c>
      <c r="AX261" t="s">
        <v>74</v>
      </c>
      <c r="AY261" t="s">
        <v>74</v>
      </c>
      <c r="AZ261" t="s">
        <v>74</v>
      </c>
      <c r="BA261" t="s">
        <v>74</v>
      </c>
      <c r="BB261" t="s">
        <v>74</v>
      </c>
      <c r="BC261" t="s">
        <v>74</v>
      </c>
      <c r="BD261" t="s">
        <v>74</v>
      </c>
      <c r="BE261" t="s">
        <v>2422</v>
      </c>
      <c r="BF261" t="str">
        <f>HYPERLINK("http://dx.doi.org/10.1002/adfm.202314146","http://dx.doi.org/10.1002/adfm.202314146")</f>
        <v>http://dx.doi.org/10.1002/adfm.202314146</v>
      </c>
      <c r="BG261" t="s">
        <v>74</v>
      </c>
      <c r="BH261" t="s">
        <v>2361</v>
      </c>
      <c r="BI261" t="s">
        <v>74</v>
      </c>
      <c r="BJ261" t="s">
        <v>74</v>
      </c>
      <c r="BK261" t="s">
        <v>74</v>
      </c>
      <c r="BL261" t="s">
        <v>74</v>
      </c>
      <c r="BM261" t="s">
        <v>74</v>
      </c>
      <c r="BN261" t="s">
        <v>74</v>
      </c>
      <c r="BO261" t="s">
        <v>74</v>
      </c>
      <c r="BP261" t="s">
        <v>74</v>
      </c>
      <c r="BQ261" t="s">
        <v>74</v>
      </c>
      <c r="BR261" t="s">
        <v>74</v>
      </c>
      <c r="BS261" t="s">
        <v>2423</v>
      </c>
      <c r="BT261" t="str">
        <f>HYPERLINK("https%3A%2F%2Fwww.webofscience.com%2Fwos%2Fwoscc%2Ffull-record%2FWOS:001136363700001","View Full Record in Web of Science")</f>
        <v>View Full Record in Web of Science</v>
      </c>
    </row>
    <row r="262" spans="1:72" x14ac:dyDescent="0.2">
      <c r="A262" t="s">
        <v>72</v>
      </c>
      <c r="B262" t="s">
        <v>2424</v>
      </c>
      <c r="C262" t="s">
        <v>74</v>
      </c>
      <c r="D262" t="s">
        <v>74</v>
      </c>
      <c r="E262" t="s">
        <v>74</v>
      </c>
      <c r="F262" t="s">
        <v>2425</v>
      </c>
      <c r="G262" t="s">
        <v>74</v>
      </c>
      <c r="H262" t="s">
        <v>74</v>
      </c>
      <c r="I262" t="s">
        <v>2426</v>
      </c>
      <c r="J262" t="s">
        <v>352</v>
      </c>
      <c r="K262" t="s">
        <v>74</v>
      </c>
      <c r="L262" t="s">
        <v>74</v>
      </c>
      <c r="M262" t="s">
        <v>74</v>
      </c>
      <c r="N262" t="s">
        <v>74</v>
      </c>
      <c r="O262" t="s">
        <v>74</v>
      </c>
      <c r="P262" t="s">
        <v>74</v>
      </c>
      <c r="Q262" t="s">
        <v>74</v>
      </c>
      <c r="R262" t="s">
        <v>74</v>
      </c>
      <c r="S262" t="s">
        <v>74</v>
      </c>
      <c r="T262" t="s">
        <v>74</v>
      </c>
      <c r="U262" t="s">
        <v>74</v>
      </c>
      <c r="V262" t="s">
        <v>2427</v>
      </c>
      <c r="W262" t="s">
        <v>74</v>
      </c>
      <c r="X262" t="s">
        <v>74</v>
      </c>
      <c r="Y262" t="s">
        <v>74</v>
      </c>
      <c r="Z262" t="s">
        <v>74</v>
      </c>
      <c r="AA262" t="s">
        <v>2428</v>
      </c>
      <c r="AB262" t="s">
        <v>2429</v>
      </c>
      <c r="AC262" t="s">
        <v>74</v>
      </c>
      <c r="AD262" t="s">
        <v>74</v>
      </c>
      <c r="AE262" t="s">
        <v>74</v>
      </c>
      <c r="AF262" t="s">
        <v>74</v>
      </c>
      <c r="AG262" t="s">
        <v>74</v>
      </c>
      <c r="AH262" t="s">
        <v>74</v>
      </c>
      <c r="AI262" t="s">
        <v>74</v>
      </c>
      <c r="AJ262" t="s">
        <v>74</v>
      </c>
      <c r="AK262" t="s">
        <v>74</v>
      </c>
      <c r="AL262" t="s">
        <v>74</v>
      </c>
      <c r="AM262" t="s">
        <v>74</v>
      </c>
      <c r="AN262" t="s">
        <v>74</v>
      </c>
      <c r="AO262" t="s">
        <v>354</v>
      </c>
      <c r="AP262" t="s">
        <v>355</v>
      </c>
      <c r="AQ262" t="s">
        <v>74</v>
      </c>
      <c r="AR262" t="s">
        <v>74</v>
      </c>
      <c r="AS262" t="s">
        <v>74</v>
      </c>
      <c r="AT262" t="s">
        <v>954</v>
      </c>
      <c r="AU262">
        <v>2024</v>
      </c>
      <c r="AV262">
        <v>14</v>
      </c>
      <c r="AW262">
        <v>9</v>
      </c>
      <c r="AX262" t="s">
        <v>74</v>
      </c>
      <c r="AY262" t="s">
        <v>74</v>
      </c>
      <c r="AZ262" t="s">
        <v>74</v>
      </c>
      <c r="BA262" t="s">
        <v>74</v>
      </c>
      <c r="BB262" t="s">
        <v>74</v>
      </c>
      <c r="BC262" t="s">
        <v>74</v>
      </c>
      <c r="BD262" t="s">
        <v>74</v>
      </c>
      <c r="BE262" t="s">
        <v>2430</v>
      </c>
      <c r="BF262" t="str">
        <f>HYPERLINK("http://dx.doi.org/10.1002/aenm.202303381","http://dx.doi.org/10.1002/aenm.202303381")</f>
        <v>http://dx.doi.org/10.1002/aenm.202303381</v>
      </c>
      <c r="BG262" t="s">
        <v>74</v>
      </c>
      <c r="BH262" t="s">
        <v>2361</v>
      </c>
      <c r="BI262" t="s">
        <v>74</v>
      </c>
      <c r="BJ262" t="s">
        <v>74</v>
      </c>
      <c r="BK262" t="s">
        <v>74</v>
      </c>
      <c r="BL262" t="s">
        <v>74</v>
      </c>
      <c r="BM262" t="s">
        <v>74</v>
      </c>
      <c r="BN262" t="s">
        <v>74</v>
      </c>
      <c r="BO262" t="s">
        <v>74</v>
      </c>
      <c r="BP262" t="s">
        <v>74</v>
      </c>
      <c r="BQ262" t="s">
        <v>74</v>
      </c>
      <c r="BR262" t="s">
        <v>74</v>
      </c>
      <c r="BS262" t="s">
        <v>2431</v>
      </c>
      <c r="BT262" t="str">
        <f>HYPERLINK("https%3A%2F%2Fwww.webofscience.com%2Fwos%2Fwoscc%2Ffull-record%2FWOS:001135453700001","View Full Record in Web of Science")</f>
        <v>View Full Record in Web of Science</v>
      </c>
    </row>
    <row r="263" spans="1:72" x14ac:dyDescent="0.2">
      <c r="A263" t="s">
        <v>72</v>
      </c>
      <c r="B263" t="s">
        <v>2432</v>
      </c>
      <c r="C263" t="s">
        <v>74</v>
      </c>
      <c r="D263" t="s">
        <v>74</v>
      </c>
      <c r="E263" t="s">
        <v>74</v>
      </c>
      <c r="F263" t="s">
        <v>2433</v>
      </c>
      <c r="G263" t="s">
        <v>74</v>
      </c>
      <c r="H263" t="s">
        <v>74</v>
      </c>
      <c r="I263" t="s">
        <v>2434</v>
      </c>
      <c r="J263" t="s">
        <v>201</v>
      </c>
      <c r="K263" t="s">
        <v>74</v>
      </c>
      <c r="L263" t="s">
        <v>74</v>
      </c>
      <c r="M263" t="s">
        <v>74</v>
      </c>
      <c r="N263" t="s">
        <v>74</v>
      </c>
      <c r="O263" t="s">
        <v>74</v>
      </c>
      <c r="P263" t="s">
        <v>74</v>
      </c>
      <c r="Q263" t="s">
        <v>74</v>
      </c>
      <c r="R263" t="s">
        <v>74</v>
      </c>
      <c r="S263" t="s">
        <v>74</v>
      </c>
      <c r="T263" t="s">
        <v>74</v>
      </c>
      <c r="U263" t="s">
        <v>74</v>
      </c>
      <c r="V263" t="s">
        <v>2435</v>
      </c>
      <c r="W263" t="s">
        <v>74</v>
      </c>
      <c r="X263" t="s">
        <v>74</v>
      </c>
      <c r="Y263" t="s">
        <v>74</v>
      </c>
      <c r="Z263" t="s">
        <v>74</v>
      </c>
      <c r="AA263" t="s">
        <v>2436</v>
      </c>
      <c r="AB263" t="s">
        <v>2437</v>
      </c>
      <c r="AC263" t="s">
        <v>74</v>
      </c>
      <c r="AD263" t="s">
        <v>74</v>
      </c>
      <c r="AE263" t="s">
        <v>74</v>
      </c>
      <c r="AF263" t="s">
        <v>74</v>
      </c>
      <c r="AG263" t="s">
        <v>74</v>
      </c>
      <c r="AH263" t="s">
        <v>74</v>
      </c>
      <c r="AI263" t="s">
        <v>74</v>
      </c>
      <c r="AJ263" t="s">
        <v>74</v>
      </c>
      <c r="AK263" t="s">
        <v>74</v>
      </c>
      <c r="AL263" t="s">
        <v>74</v>
      </c>
      <c r="AM263" t="s">
        <v>74</v>
      </c>
      <c r="AN263" t="s">
        <v>74</v>
      </c>
      <c r="AO263" t="s">
        <v>204</v>
      </c>
      <c r="AP263" t="s">
        <v>205</v>
      </c>
      <c r="AQ263" t="s">
        <v>74</v>
      </c>
      <c r="AR263" t="s">
        <v>74</v>
      </c>
      <c r="AS263" t="s">
        <v>74</v>
      </c>
      <c r="AT263" t="s">
        <v>2438</v>
      </c>
      <c r="AU263">
        <v>2024</v>
      </c>
      <c r="AV263">
        <v>40</v>
      </c>
      <c r="AW263">
        <v>2</v>
      </c>
      <c r="AX263" t="s">
        <v>74</v>
      </c>
      <c r="AY263" t="s">
        <v>74</v>
      </c>
      <c r="AZ263" t="s">
        <v>74</v>
      </c>
      <c r="BA263" t="s">
        <v>74</v>
      </c>
      <c r="BB263">
        <v>1524</v>
      </c>
      <c r="BC263">
        <v>1533</v>
      </c>
      <c r="BD263" t="s">
        <v>74</v>
      </c>
      <c r="BE263" t="s">
        <v>2439</v>
      </c>
      <c r="BF263" t="str">
        <f>HYPERLINK("http://dx.doi.org/10.1021/acs.langmuir.3c03307","http://dx.doi.org/10.1021/acs.langmuir.3c03307")</f>
        <v>http://dx.doi.org/10.1021/acs.langmuir.3c03307</v>
      </c>
      <c r="BG263" t="s">
        <v>74</v>
      </c>
      <c r="BH263" t="s">
        <v>74</v>
      </c>
      <c r="BI263" t="s">
        <v>74</v>
      </c>
      <c r="BJ263" t="s">
        <v>74</v>
      </c>
      <c r="BK263" t="s">
        <v>74</v>
      </c>
      <c r="BL263" t="s">
        <v>74</v>
      </c>
      <c r="BM263" t="s">
        <v>74</v>
      </c>
      <c r="BN263">
        <v>38166436</v>
      </c>
      <c r="BO263" t="s">
        <v>74</v>
      </c>
      <c r="BP263" t="s">
        <v>74</v>
      </c>
      <c r="BQ263" t="s">
        <v>74</v>
      </c>
      <c r="BR263" t="s">
        <v>74</v>
      </c>
      <c r="BS263" t="s">
        <v>2440</v>
      </c>
      <c r="BT263" t="str">
        <f>HYPERLINK("https%3A%2F%2Fwww.webofscience.com%2Fwos%2Fwoscc%2Ffull-record%2FWOS:001144028900001","View Full Record in Web of Science")</f>
        <v>View Full Record in Web of Science</v>
      </c>
    </row>
    <row r="264" spans="1:72" x14ac:dyDescent="0.2">
      <c r="A264" t="s">
        <v>72</v>
      </c>
      <c r="B264" t="s">
        <v>2441</v>
      </c>
      <c r="C264" t="s">
        <v>74</v>
      </c>
      <c r="D264" t="s">
        <v>74</v>
      </c>
      <c r="E264" t="s">
        <v>74</v>
      </c>
      <c r="F264" t="s">
        <v>2442</v>
      </c>
      <c r="G264" t="s">
        <v>74</v>
      </c>
      <c r="H264" t="s">
        <v>74</v>
      </c>
      <c r="I264" t="s">
        <v>2443</v>
      </c>
      <c r="J264" t="s">
        <v>2444</v>
      </c>
      <c r="K264" t="s">
        <v>74</v>
      </c>
      <c r="L264" t="s">
        <v>74</v>
      </c>
      <c r="M264" t="s">
        <v>74</v>
      </c>
      <c r="N264" t="s">
        <v>74</v>
      </c>
      <c r="O264" t="s">
        <v>74</v>
      </c>
      <c r="P264" t="s">
        <v>74</v>
      </c>
      <c r="Q264" t="s">
        <v>74</v>
      </c>
      <c r="R264" t="s">
        <v>74</v>
      </c>
      <c r="S264" t="s">
        <v>74</v>
      </c>
      <c r="T264" t="s">
        <v>74</v>
      </c>
      <c r="U264" t="s">
        <v>74</v>
      </c>
      <c r="V264" t="s">
        <v>2445</v>
      </c>
      <c r="W264" t="s">
        <v>74</v>
      </c>
      <c r="X264" t="s">
        <v>74</v>
      </c>
      <c r="Y264" t="s">
        <v>74</v>
      </c>
      <c r="Z264" t="s">
        <v>74</v>
      </c>
      <c r="AA264" t="s">
        <v>2446</v>
      </c>
      <c r="AB264" t="s">
        <v>74</v>
      </c>
      <c r="AC264" t="s">
        <v>74</v>
      </c>
      <c r="AD264" t="s">
        <v>74</v>
      </c>
      <c r="AE264" t="s">
        <v>74</v>
      </c>
      <c r="AF264" t="s">
        <v>74</v>
      </c>
      <c r="AG264" t="s">
        <v>74</v>
      </c>
      <c r="AH264" t="s">
        <v>74</v>
      </c>
      <c r="AI264" t="s">
        <v>74</v>
      </c>
      <c r="AJ264" t="s">
        <v>74</v>
      </c>
      <c r="AK264" t="s">
        <v>74</v>
      </c>
      <c r="AL264" t="s">
        <v>74</v>
      </c>
      <c r="AM264" t="s">
        <v>74</v>
      </c>
      <c r="AN264" t="s">
        <v>74</v>
      </c>
      <c r="AO264" t="s">
        <v>74</v>
      </c>
      <c r="AP264" t="s">
        <v>2447</v>
      </c>
      <c r="AQ264" t="s">
        <v>74</v>
      </c>
      <c r="AR264" t="s">
        <v>74</v>
      </c>
      <c r="AS264" t="s">
        <v>74</v>
      </c>
      <c r="AT264" t="s">
        <v>1194</v>
      </c>
      <c r="AU264">
        <v>2024</v>
      </c>
      <c r="AV264">
        <v>10</v>
      </c>
      <c r="AW264">
        <v>1</v>
      </c>
      <c r="AX264" t="s">
        <v>74</v>
      </c>
      <c r="AY264" t="s">
        <v>74</v>
      </c>
      <c r="AZ264" t="s">
        <v>74</v>
      </c>
      <c r="BA264" t="s">
        <v>74</v>
      </c>
      <c r="BB264" t="s">
        <v>74</v>
      </c>
      <c r="BC264" t="s">
        <v>74</v>
      </c>
      <c r="BD264">
        <v>30</v>
      </c>
      <c r="BE264" t="s">
        <v>2448</v>
      </c>
      <c r="BF264" t="str">
        <f>HYPERLINK("http://dx.doi.org/10.3390/batteries10010030","http://dx.doi.org/10.3390/batteries10010030")</f>
        <v>http://dx.doi.org/10.3390/batteries10010030</v>
      </c>
      <c r="BG264" t="s">
        <v>74</v>
      </c>
      <c r="BH264" t="s">
        <v>74</v>
      </c>
      <c r="BI264" t="s">
        <v>74</v>
      </c>
      <c r="BJ264" t="s">
        <v>74</v>
      </c>
      <c r="BK264" t="s">
        <v>74</v>
      </c>
      <c r="BL264" t="s">
        <v>74</v>
      </c>
      <c r="BM264" t="s">
        <v>74</v>
      </c>
      <c r="BN264" t="s">
        <v>74</v>
      </c>
      <c r="BO264" t="s">
        <v>74</v>
      </c>
      <c r="BP264" t="s">
        <v>74</v>
      </c>
      <c r="BQ264" t="s">
        <v>74</v>
      </c>
      <c r="BR264" t="s">
        <v>74</v>
      </c>
      <c r="BS264" t="s">
        <v>2449</v>
      </c>
      <c r="BT264" t="str">
        <f>HYPERLINK("https%3A%2F%2Fwww.webofscience.com%2Fwos%2Fwoscc%2Ffull-record%2FWOS:001148830700001","View Full Record in Web of Science")</f>
        <v>View Full Record in Web of Science</v>
      </c>
    </row>
    <row r="265" spans="1:72" x14ac:dyDescent="0.2">
      <c r="A265" t="s">
        <v>72</v>
      </c>
      <c r="B265" t="s">
        <v>1747</v>
      </c>
      <c r="C265" t="s">
        <v>74</v>
      </c>
      <c r="D265" t="s">
        <v>74</v>
      </c>
      <c r="E265" t="s">
        <v>74</v>
      </c>
      <c r="F265" t="s">
        <v>1748</v>
      </c>
      <c r="G265" t="s">
        <v>74</v>
      </c>
      <c r="H265" t="s">
        <v>74</v>
      </c>
      <c r="I265" t="s">
        <v>2450</v>
      </c>
      <c r="J265" t="s">
        <v>498</v>
      </c>
      <c r="K265" t="s">
        <v>74</v>
      </c>
      <c r="L265" t="s">
        <v>74</v>
      </c>
      <c r="M265" t="s">
        <v>74</v>
      </c>
      <c r="N265" t="s">
        <v>74</v>
      </c>
      <c r="O265" t="s">
        <v>74</v>
      </c>
      <c r="P265" t="s">
        <v>74</v>
      </c>
      <c r="Q265" t="s">
        <v>74</v>
      </c>
      <c r="R265" t="s">
        <v>74</v>
      </c>
      <c r="S265" t="s">
        <v>74</v>
      </c>
      <c r="T265" t="s">
        <v>74</v>
      </c>
      <c r="U265" t="s">
        <v>74</v>
      </c>
      <c r="V265" t="s">
        <v>2451</v>
      </c>
      <c r="W265" t="s">
        <v>74</v>
      </c>
      <c r="X265" t="s">
        <v>74</v>
      </c>
      <c r="Y265" t="s">
        <v>74</v>
      </c>
      <c r="Z265" t="s">
        <v>74</v>
      </c>
      <c r="AA265" t="s">
        <v>1751</v>
      </c>
      <c r="AB265" t="s">
        <v>2452</v>
      </c>
      <c r="AC265" t="s">
        <v>74</v>
      </c>
      <c r="AD265" t="s">
        <v>74</v>
      </c>
      <c r="AE265" t="s">
        <v>74</v>
      </c>
      <c r="AF265" t="s">
        <v>74</v>
      </c>
      <c r="AG265" t="s">
        <v>74</v>
      </c>
      <c r="AH265" t="s">
        <v>74</v>
      </c>
      <c r="AI265" t="s">
        <v>74</v>
      </c>
      <c r="AJ265" t="s">
        <v>74</v>
      </c>
      <c r="AK265" t="s">
        <v>74</v>
      </c>
      <c r="AL265" t="s">
        <v>74</v>
      </c>
      <c r="AM265" t="s">
        <v>74</v>
      </c>
      <c r="AN265" t="s">
        <v>74</v>
      </c>
      <c r="AO265" t="s">
        <v>502</v>
      </c>
      <c r="AP265" t="s">
        <v>503</v>
      </c>
      <c r="AQ265" t="s">
        <v>74</v>
      </c>
      <c r="AR265" t="s">
        <v>74</v>
      </c>
      <c r="AS265" t="s">
        <v>74</v>
      </c>
      <c r="AT265" t="s">
        <v>2453</v>
      </c>
      <c r="AU265">
        <v>2023</v>
      </c>
      <c r="AV265">
        <v>128</v>
      </c>
      <c r="AW265">
        <v>1</v>
      </c>
      <c r="AX265" t="s">
        <v>74</v>
      </c>
      <c r="AY265" t="s">
        <v>74</v>
      </c>
      <c r="AZ265" t="s">
        <v>74</v>
      </c>
      <c r="BA265" t="s">
        <v>74</v>
      </c>
      <c r="BB265">
        <v>38</v>
      </c>
      <c r="BC265">
        <v>49</v>
      </c>
      <c r="BD265" t="s">
        <v>74</v>
      </c>
      <c r="BE265" t="s">
        <v>2454</v>
      </c>
      <c r="BF265" t="str">
        <f>HYPERLINK("http://dx.doi.org/10.1021/acs.jpcc.3c06455","http://dx.doi.org/10.1021/acs.jpcc.3c06455")</f>
        <v>http://dx.doi.org/10.1021/acs.jpcc.3c06455</v>
      </c>
      <c r="BG265" t="s">
        <v>74</v>
      </c>
      <c r="BH265" t="s">
        <v>74</v>
      </c>
      <c r="BI265" t="s">
        <v>74</v>
      </c>
      <c r="BJ265" t="s">
        <v>74</v>
      </c>
      <c r="BK265" t="s">
        <v>74</v>
      </c>
      <c r="BL265" t="s">
        <v>74</v>
      </c>
      <c r="BM265" t="s">
        <v>74</v>
      </c>
      <c r="BN265" t="s">
        <v>74</v>
      </c>
      <c r="BO265" t="s">
        <v>74</v>
      </c>
      <c r="BP265" t="s">
        <v>74</v>
      </c>
      <c r="BQ265" t="s">
        <v>74</v>
      </c>
      <c r="BR265" t="s">
        <v>74</v>
      </c>
      <c r="BS265" t="s">
        <v>2455</v>
      </c>
      <c r="BT265" t="str">
        <f>HYPERLINK("https%3A%2F%2Fwww.webofscience.com%2Fwos%2Fwoscc%2Ffull-record%2FWOS:001141746300001","View Full Record in Web of Science")</f>
        <v>View Full Record in Web of Science</v>
      </c>
    </row>
    <row r="266" spans="1:72" x14ac:dyDescent="0.2">
      <c r="A266" t="s">
        <v>72</v>
      </c>
      <c r="B266" t="s">
        <v>2456</v>
      </c>
      <c r="C266" t="s">
        <v>74</v>
      </c>
      <c r="D266" t="s">
        <v>74</v>
      </c>
      <c r="E266" t="s">
        <v>74</v>
      </c>
      <c r="F266" t="s">
        <v>2457</v>
      </c>
      <c r="G266" t="s">
        <v>74</v>
      </c>
      <c r="H266" t="s">
        <v>74</v>
      </c>
      <c r="I266" t="s">
        <v>2458</v>
      </c>
      <c r="J266" t="s">
        <v>528</v>
      </c>
      <c r="K266" t="s">
        <v>74</v>
      </c>
      <c r="L266" t="s">
        <v>74</v>
      </c>
      <c r="M266" t="s">
        <v>74</v>
      </c>
      <c r="N266" t="s">
        <v>74</v>
      </c>
      <c r="O266" t="s">
        <v>74</v>
      </c>
      <c r="P266" t="s">
        <v>74</v>
      </c>
      <c r="Q266" t="s">
        <v>74</v>
      </c>
      <c r="R266" t="s">
        <v>74</v>
      </c>
      <c r="S266" t="s">
        <v>74</v>
      </c>
      <c r="T266" t="s">
        <v>74</v>
      </c>
      <c r="U266" t="s">
        <v>74</v>
      </c>
      <c r="V266" t="s">
        <v>2459</v>
      </c>
      <c r="W266" t="s">
        <v>74</v>
      </c>
      <c r="X266" t="s">
        <v>74</v>
      </c>
      <c r="Y266" t="s">
        <v>74</v>
      </c>
      <c r="Z266" t="s">
        <v>74</v>
      </c>
      <c r="AA266" t="s">
        <v>74</v>
      </c>
      <c r="AB266" t="s">
        <v>2460</v>
      </c>
      <c r="AC266" t="s">
        <v>74</v>
      </c>
      <c r="AD266" t="s">
        <v>74</v>
      </c>
      <c r="AE266" t="s">
        <v>74</v>
      </c>
      <c r="AF266" t="s">
        <v>74</v>
      </c>
      <c r="AG266" t="s">
        <v>74</v>
      </c>
      <c r="AH266" t="s">
        <v>74</v>
      </c>
      <c r="AI266" t="s">
        <v>74</v>
      </c>
      <c r="AJ266" t="s">
        <v>74</v>
      </c>
      <c r="AK266" t="s">
        <v>74</v>
      </c>
      <c r="AL266" t="s">
        <v>74</v>
      </c>
      <c r="AM266" t="s">
        <v>74</v>
      </c>
      <c r="AN266" t="s">
        <v>74</v>
      </c>
      <c r="AO266" t="s">
        <v>532</v>
      </c>
      <c r="AP266" t="s">
        <v>533</v>
      </c>
      <c r="AQ266" t="s">
        <v>74</v>
      </c>
      <c r="AR266" t="s">
        <v>74</v>
      </c>
      <c r="AS266" t="s">
        <v>74</v>
      </c>
      <c r="AT266" t="s">
        <v>2461</v>
      </c>
      <c r="AU266">
        <v>2023</v>
      </c>
      <c r="AV266">
        <v>16</v>
      </c>
      <c r="AW266">
        <v>1</v>
      </c>
      <c r="AX266" t="s">
        <v>74</v>
      </c>
      <c r="AY266" t="s">
        <v>74</v>
      </c>
      <c r="AZ266" t="s">
        <v>74</v>
      </c>
      <c r="BA266" t="s">
        <v>74</v>
      </c>
      <c r="BB266">
        <v>731</v>
      </c>
      <c r="BC266">
        <v>741</v>
      </c>
      <c r="BD266" t="s">
        <v>74</v>
      </c>
      <c r="BE266" t="s">
        <v>2462</v>
      </c>
      <c r="BF266" t="str">
        <f>HYPERLINK("http://dx.doi.org/10.1021/acsami.3c14342","http://dx.doi.org/10.1021/acsami.3c14342")</f>
        <v>http://dx.doi.org/10.1021/acsami.3c14342</v>
      </c>
      <c r="BG266" t="s">
        <v>74</v>
      </c>
      <c r="BH266" t="s">
        <v>74</v>
      </c>
      <c r="BI266" t="s">
        <v>74</v>
      </c>
      <c r="BJ266" t="s">
        <v>74</v>
      </c>
      <c r="BK266" t="s">
        <v>74</v>
      </c>
      <c r="BL266" t="s">
        <v>74</v>
      </c>
      <c r="BM266" t="s">
        <v>74</v>
      </c>
      <c r="BN266">
        <v>38155536</v>
      </c>
      <c r="BO266" t="s">
        <v>74</v>
      </c>
      <c r="BP266" t="s">
        <v>74</v>
      </c>
      <c r="BQ266" t="s">
        <v>74</v>
      </c>
      <c r="BR266" t="s">
        <v>74</v>
      </c>
      <c r="BS266" t="s">
        <v>2463</v>
      </c>
      <c r="BT266" t="str">
        <f>HYPERLINK("https%3A%2F%2Fwww.webofscience.com%2Fwos%2Fwoscc%2Ffull-record%2FWOS:001140892000001","View Full Record in Web of Science")</f>
        <v>View Full Record in Web of Science</v>
      </c>
    </row>
    <row r="267" spans="1:72" x14ac:dyDescent="0.2">
      <c r="A267" t="s">
        <v>72</v>
      </c>
      <c r="B267" t="s">
        <v>2464</v>
      </c>
      <c r="C267" t="s">
        <v>74</v>
      </c>
      <c r="D267" t="s">
        <v>74</v>
      </c>
      <c r="E267" t="s">
        <v>74</v>
      </c>
      <c r="F267" t="s">
        <v>2465</v>
      </c>
      <c r="G267" t="s">
        <v>74</v>
      </c>
      <c r="H267" t="s">
        <v>74</v>
      </c>
      <c r="I267" t="s">
        <v>2466</v>
      </c>
      <c r="J267" t="s">
        <v>151</v>
      </c>
      <c r="K267" t="s">
        <v>74</v>
      </c>
      <c r="L267" t="s">
        <v>74</v>
      </c>
      <c r="M267" t="s">
        <v>74</v>
      </c>
      <c r="N267" t="s">
        <v>74</v>
      </c>
      <c r="O267" t="s">
        <v>74</v>
      </c>
      <c r="P267" t="s">
        <v>74</v>
      </c>
      <c r="Q267" t="s">
        <v>74</v>
      </c>
      <c r="R267" t="s">
        <v>74</v>
      </c>
      <c r="S267" t="s">
        <v>74</v>
      </c>
      <c r="T267" t="s">
        <v>74</v>
      </c>
      <c r="U267" t="s">
        <v>74</v>
      </c>
      <c r="V267" t="s">
        <v>2467</v>
      </c>
      <c r="W267" t="s">
        <v>74</v>
      </c>
      <c r="X267" t="s">
        <v>74</v>
      </c>
      <c r="Y267" t="s">
        <v>74</v>
      </c>
      <c r="Z267" t="s">
        <v>74</v>
      </c>
      <c r="AA267" t="s">
        <v>2468</v>
      </c>
      <c r="AB267" t="s">
        <v>74</v>
      </c>
      <c r="AC267" t="s">
        <v>74</v>
      </c>
      <c r="AD267" t="s">
        <v>74</v>
      </c>
      <c r="AE267" t="s">
        <v>74</v>
      </c>
      <c r="AF267" t="s">
        <v>74</v>
      </c>
      <c r="AG267" t="s">
        <v>74</v>
      </c>
      <c r="AH267" t="s">
        <v>74</v>
      </c>
      <c r="AI267" t="s">
        <v>74</v>
      </c>
      <c r="AJ267" t="s">
        <v>74</v>
      </c>
      <c r="AK267" t="s">
        <v>74</v>
      </c>
      <c r="AL267" t="s">
        <v>74</v>
      </c>
      <c r="AM267" t="s">
        <v>74</v>
      </c>
      <c r="AN267" t="s">
        <v>74</v>
      </c>
      <c r="AO267" t="s">
        <v>153</v>
      </c>
      <c r="AP267" t="s">
        <v>154</v>
      </c>
      <c r="AQ267" t="s">
        <v>74</v>
      </c>
      <c r="AR267" t="s">
        <v>74</v>
      </c>
      <c r="AS267" t="s">
        <v>74</v>
      </c>
      <c r="AT267" t="s">
        <v>1026</v>
      </c>
      <c r="AU267">
        <v>2024</v>
      </c>
      <c r="AV267">
        <v>65</v>
      </c>
      <c r="AW267" t="s">
        <v>74</v>
      </c>
      <c r="AX267" t="s">
        <v>74</v>
      </c>
      <c r="AY267" t="s">
        <v>74</v>
      </c>
      <c r="AZ267" t="s">
        <v>74</v>
      </c>
      <c r="BA267" t="s">
        <v>74</v>
      </c>
      <c r="BB267" t="s">
        <v>74</v>
      </c>
      <c r="BC267" t="s">
        <v>74</v>
      </c>
      <c r="BD267">
        <v>103152</v>
      </c>
      <c r="BE267" t="s">
        <v>2469</v>
      </c>
      <c r="BF267" t="str">
        <f>HYPERLINK("http://dx.doi.org/10.1016/j.ensm.2023.103152","http://dx.doi.org/10.1016/j.ensm.2023.103152")</f>
        <v>http://dx.doi.org/10.1016/j.ensm.2023.103152</v>
      </c>
      <c r="BG267" t="s">
        <v>74</v>
      </c>
      <c r="BH267" t="s">
        <v>2470</v>
      </c>
      <c r="BI267" t="s">
        <v>74</v>
      </c>
      <c r="BJ267" t="s">
        <v>74</v>
      </c>
      <c r="BK267" t="s">
        <v>74</v>
      </c>
      <c r="BL267" t="s">
        <v>74</v>
      </c>
      <c r="BM267" t="s">
        <v>74</v>
      </c>
      <c r="BN267" t="s">
        <v>74</v>
      </c>
      <c r="BO267" t="s">
        <v>74</v>
      </c>
      <c r="BP267" t="s">
        <v>74</v>
      </c>
      <c r="BQ267" t="s">
        <v>74</v>
      </c>
      <c r="BR267" t="s">
        <v>74</v>
      </c>
      <c r="BS267" t="s">
        <v>2471</v>
      </c>
      <c r="BT267" t="str">
        <f>HYPERLINK("https%3A%2F%2Fwww.webofscience.com%2Fwos%2Fwoscc%2Ffull-record%2FWOS:001165738000001","View Full Record in Web of Science")</f>
        <v>View Full Record in Web of Science</v>
      </c>
    </row>
    <row r="268" spans="1:72" x14ac:dyDescent="0.2">
      <c r="A268" t="s">
        <v>72</v>
      </c>
      <c r="B268" t="s">
        <v>2472</v>
      </c>
      <c r="C268" t="s">
        <v>74</v>
      </c>
      <c r="D268" t="s">
        <v>74</v>
      </c>
      <c r="E268" t="s">
        <v>74</v>
      </c>
      <c r="F268" t="s">
        <v>2473</v>
      </c>
      <c r="G268" t="s">
        <v>74</v>
      </c>
      <c r="H268" t="s">
        <v>74</v>
      </c>
      <c r="I268" t="s">
        <v>2474</v>
      </c>
      <c r="J268" t="s">
        <v>267</v>
      </c>
      <c r="K268" t="s">
        <v>74</v>
      </c>
      <c r="L268" t="s">
        <v>74</v>
      </c>
      <c r="M268" t="s">
        <v>74</v>
      </c>
      <c r="N268" t="s">
        <v>74</v>
      </c>
      <c r="O268" t="s">
        <v>74</v>
      </c>
      <c r="P268" t="s">
        <v>74</v>
      </c>
      <c r="Q268" t="s">
        <v>74</v>
      </c>
      <c r="R268" t="s">
        <v>74</v>
      </c>
      <c r="S268" t="s">
        <v>74</v>
      </c>
      <c r="T268" t="s">
        <v>74</v>
      </c>
      <c r="U268" t="s">
        <v>74</v>
      </c>
      <c r="V268" t="s">
        <v>2475</v>
      </c>
      <c r="W268" t="s">
        <v>74</v>
      </c>
      <c r="X268" t="s">
        <v>74</v>
      </c>
      <c r="Y268" t="s">
        <v>74</v>
      </c>
      <c r="Z268" t="s">
        <v>74</v>
      </c>
      <c r="AA268" t="s">
        <v>2476</v>
      </c>
      <c r="AB268" t="s">
        <v>2477</v>
      </c>
      <c r="AC268" t="s">
        <v>74</v>
      </c>
      <c r="AD268" t="s">
        <v>74</v>
      </c>
      <c r="AE268" t="s">
        <v>74</v>
      </c>
      <c r="AF268" t="s">
        <v>74</v>
      </c>
      <c r="AG268" t="s">
        <v>74</v>
      </c>
      <c r="AH268" t="s">
        <v>74</v>
      </c>
      <c r="AI268" t="s">
        <v>74</v>
      </c>
      <c r="AJ268" t="s">
        <v>74</v>
      </c>
      <c r="AK268" t="s">
        <v>74</v>
      </c>
      <c r="AL268" t="s">
        <v>74</v>
      </c>
      <c r="AM268" t="s">
        <v>74</v>
      </c>
      <c r="AN268" t="s">
        <v>74</v>
      </c>
      <c r="AO268" t="s">
        <v>270</v>
      </c>
      <c r="AP268" t="s">
        <v>271</v>
      </c>
      <c r="AQ268" t="s">
        <v>74</v>
      </c>
      <c r="AR268" t="s">
        <v>74</v>
      </c>
      <c r="AS268" t="s">
        <v>74</v>
      </c>
      <c r="AT268" t="s">
        <v>954</v>
      </c>
      <c r="AU268">
        <v>2024</v>
      </c>
      <c r="AV268">
        <v>34</v>
      </c>
      <c r="AW268">
        <v>13</v>
      </c>
      <c r="AX268" t="s">
        <v>74</v>
      </c>
      <c r="AY268" t="s">
        <v>74</v>
      </c>
      <c r="AZ268" t="s">
        <v>74</v>
      </c>
      <c r="BA268" t="s">
        <v>74</v>
      </c>
      <c r="BB268" t="s">
        <v>74</v>
      </c>
      <c r="BC268" t="s">
        <v>74</v>
      </c>
      <c r="BD268" t="s">
        <v>74</v>
      </c>
      <c r="BE268" t="s">
        <v>2478</v>
      </c>
      <c r="BF268" t="str">
        <f>HYPERLINK("http://dx.doi.org/10.1002/adfm.202312091","http://dx.doi.org/10.1002/adfm.202312091")</f>
        <v>http://dx.doi.org/10.1002/adfm.202312091</v>
      </c>
      <c r="BG268" t="s">
        <v>74</v>
      </c>
      <c r="BH268" t="s">
        <v>2470</v>
      </c>
      <c r="BI268" t="s">
        <v>74</v>
      </c>
      <c r="BJ268" t="s">
        <v>74</v>
      </c>
      <c r="BK268" t="s">
        <v>74</v>
      </c>
      <c r="BL268" t="s">
        <v>74</v>
      </c>
      <c r="BM268" t="s">
        <v>74</v>
      </c>
      <c r="BN268" t="s">
        <v>74</v>
      </c>
      <c r="BO268" t="s">
        <v>74</v>
      </c>
      <c r="BP268" t="s">
        <v>74</v>
      </c>
      <c r="BQ268" t="s">
        <v>74</v>
      </c>
      <c r="BR268" t="s">
        <v>74</v>
      </c>
      <c r="BS268" t="s">
        <v>2479</v>
      </c>
      <c r="BT268" t="str">
        <f>HYPERLINK("https%3A%2F%2Fwww.webofscience.com%2Fwos%2Fwoscc%2Ffull-record%2FWOS:001130129900001","View Full Record in Web of Science")</f>
        <v>View Full Record in Web of Science</v>
      </c>
    </row>
    <row r="269" spans="1:72" x14ac:dyDescent="0.2">
      <c r="A269" t="s">
        <v>72</v>
      </c>
      <c r="B269" t="s">
        <v>2480</v>
      </c>
      <c r="C269" t="s">
        <v>74</v>
      </c>
      <c r="D269" t="s">
        <v>74</v>
      </c>
      <c r="E269" t="s">
        <v>74</v>
      </c>
      <c r="F269" t="s">
        <v>2481</v>
      </c>
      <c r="G269" t="s">
        <v>74</v>
      </c>
      <c r="H269" t="s">
        <v>74</v>
      </c>
      <c r="I269" t="s">
        <v>2482</v>
      </c>
      <c r="J269" t="s">
        <v>140</v>
      </c>
      <c r="K269" t="s">
        <v>74</v>
      </c>
      <c r="L269" t="s">
        <v>74</v>
      </c>
      <c r="M269" t="s">
        <v>74</v>
      </c>
      <c r="N269" t="s">
        <v>74</v>
      </c>
      <c r="O269" t="s">
        <v>74</v>
      </c>
      <c r="P269" t="s">
        <v>74</v>
      </c>
      <c r="Q269" t="s">
        <v>74</v>
      </c>
      <c r="R269" t="s">
        <v>74</v>
      </c>
      <c r="S269" t="s">
        <v>74</v>
      </c>
      <c r="T269" t="s">
        <v>74</v>
      </c>
      <c r="U269" t="s">
        <v>74</v>
      </c>
      <c r="V269" t="s">
        <v>2483</v>
      </c>
      <c r="W269" t="s">
        <v>74</v>
      </c>
      <c r="X269" t="s">
        <v>74</v>
      </c>
      <c r="Y269" t="s">
        <v>74</v>
      </c>
      <c r="Z269" t="s">
        <v>74</v>
      </c>
      <c r="AA269" t="s">
        <v>2484</v>
      </c>
      <c r="AB269" t="s">
        <v>74</v>
      </c>
      <c r="AC269" t="s">
        <v>74</v>
      </c>
      <c r="AD269" t="s">
        <v>74</v>
      </c>
      <c r="AE269" t="s">
        <v>74</v>
      </c>
      <c r="AF269" t="s">
        <v>74</v>
      </c>
      <c r="AG269" t="s">
        <v>74</v>
      </c>
      <c r="AH269" t="s">
        <v>74</v>
      </c>
      <c r="AI269" t="s">
        <v>74</v>
      </c>
      <c r="AJ269" t="s">
        <v>74</v>
      </c>
      <c r="AK269" t="s">
        <v>74</v>
      </c>
      <c r="AL269" t="s">
        <v>74</v>
      </c>
      <c r="AM269" t="s">
        <v>74</v>
      </c>
      <c r="AN269" t="s">
        <v>74</v>
      </c>
      <c r="AO269" t="s">
        <v>142</v>
      </c>
      <c r="AP269" t="s">
        <v>143</v>
      </c>
      <c r="AQ269" t="s">
        <v>74</v>
      </c>
      <c r="AR269" t="s">
        <v>74</v>
      </c>
      <c r="AS269" t="s">
        <v>74</v>
      </c>
      <c r="AT269" t="s">
        <v>2404</v>
      </c>
      <c r="AU269">
        <v>2024</v>
      </c>
      <c r="AV269">
        <v>77</v>
      </c>
      <c r="AW269" t="s">
        <v>74</v>
      </c>
      <c r="AX269" t="s">
        <v>74</v>
      </c>
      <c r="AY269" t="s">
        <v>74</v>
      </c>
      <c r="AZ269" t="s">
        <v>74</v>
      </c>
      <c r="BA269" t="s">
        <v>74</v>
      </c>
      <c r="BB269" t="s">
        <v>74</v>
      </c>
      <c r="BC269" t="s">
        <v>74</v>
      </c>
      <c r="BD269">
        <v>110018</v>
      </c>
      <c r="BE269" t="s">
        <v>2485</v>
      </c>
      <c r="BF269" t="str">
        <f>HYPERLINK("http://dx.doi.org/10.1016/j.est.2023.110018","http://dx.doi.org/10.1016/j.est.2023.110018")</f>
        <v>http://dx.doi.org/10.1016/j.est.2023.110018</v>
      </c>
      <c r="BG269" t="s">
        <v>74</v>
      </c>
      <c r="BH269" t="s">
        <v>2470</v>
      </c>
      <c r="BI269" t="s">
        <v>74</v>
      </c>
      <c r="BJ269" t="s">
        <v>74</v>
      </c>
      <c r="BK269" t="s">
        <v>74</v>
      </c>
      <c r="BL269" t="s">
        <v>74</v>
      </c>
      <c r="BM269" t="s">
        <v>74</v>
      </c>
      <c r="BN269" t="s">
        <v>74</v>
      </c>
      <c r="BO269" t="s">
        <v>74</v>
      </c>
      <c r="BP269" t="s">
        <v>74</v>
      </c>
      <c r="BQ269" t="s">
        <v>74</v>
      </c>
      <c r="BR269" t="s">
        <v>74</v>
      </c>
      <c r="BS269" t="s">
        <v>2486</v>
      </c>
      <c r="BT269" t="str">
        <f>HYPERLINK("https%3A%2F%2Fwww.webofscience.com%2Fwos%2Fwoscc%2Ffull-record%2FWOS:001137817500001","View Full Record in Web of Science")</f>
        <v>View Full Record in Web of Science</v>
      </c>
    </row>
    <row r="270" spans="1:72" x14ac:dyDescent="0.2">
      <c r="A270" t="s">
        <v>72</v>
      </c>
      <c r="B270" t="s">
        <v>2487</v>
      </c>
      <c r="C270" t="s">
        <v>74</v>
      </c>
      <c r="D270" t="s">
        <v>74</v>
      </c>
      <c r="E270" t="s">
        <v>74</v>
      </c>
      <c r="F270" t="s">
        <v>2488</v>
      </c>
      <c r="G270" t="s">
        <v>74</v>
      </c>
      <c r="H270" t="s">
        <v>74</v>
      </c>
      <c r="I270" t="s">
        <v>2489</v>
      </c>
      <c r="J270" t="s">
        <v>2490</v>
      </c>
      <c r="K270" t="s">
        <v>74</v>
      </c>
      <c r="L270" t="s">
        <v>74</v>
      </c>
      <c r="M270" t="s">
        <v>74</v>
      </c>
      <c r="N270" t="s">
        <v>74</v>
      </c>
      <c r="O270" t="s">
        <v>74</v>
      </c>
      <c r="P270" t="s">
        <v>74</v>
      </c>
      <c r="Q270" t="s">
        <v>74</v>
      </c>
      <c r="R270" t="s">
        <v>74</v>
      </c>
      <c r="S270" t="s">
        <v>74</v>
      </c>
      <c r="T270" t="s">
        <v>74</v>
      </c>
      <c r="U270" t="s">
        <v>74</v>
      </c>
      <c r="V270" t="s">
        <v>2491</v>
      </c>
      <c r="W270" t="s">
        <v>74</v>
      </c>
      <c r="X270" t="s">
        <v>74</v>
      </c>
      <c r="Y270" t="s">
        <v>74</v>
      </c>
      <c r="Z270" t="s">
        <v>74</v>
      </c>
      <c r="AA270" t="s">
        <v>2492</v>
      </c>
      <c r="AB270" t="s">
        <v>74</v>
      </c>
      <c r="AC270" t="s">
        <v>74</v>
      </c>
      <c r="AD270" t="s">
        <v>74</v>
      </c>
      <c r="AE270" t="s">
        <v>74</v>
      </c>
      <c r="AF270" t="s">
        <v>74</v>
      </c>
      <c r="AG270" t="s">
        <v>74</v>
      </c>
      <c r="AH270" t="s">
        <v>74</v>
      </c>
      <c r="AI270" t="s">
        <v>74</v>
      </c>
      <c r="AJ270" t="s">
        <v>74</v>
      </c>
      <c r="AK270" t="s">
        <v>74</v>
      </c>
      <c r="AL270" t="s">
        <v>74</v>
      </c>
      <c r="AM270" t="s">
        <v>74</v>
      </c>
      <c r="AN270" t="s">
        <v>74</v>
      </c>
      <c r="AO270" t="s">
        <v>2493</v>
      </c>
      <c r="AP270" t="s">
        <v>2494</v>
      </c>
      <c r="AQ270" t="s">
        <v>74</v>
      </c>
      <c r="AR270" t="s">
        <v>74</v>
      </c>
      <c r="AS270" t="s">
        <v>74</v>
      </c>
      <c r="AT270" t="s">
        <v>670</v>
      </c>
      <c r="AU270">
        <v>2024</v>
      </c>
      <c r="AV270">
        <v>44</v>
      </c>
      <c r="AW270">
        <v>4</v>
      </c>
      <c r="AX270" t="s">
        <v>74</v>
      </c>
      <c r="AY270" t="s">
        <v>74</v>
      </c>
      <c r="AZ270" t="s">
        <v>74</v>
      </c>
      <c r="BA270" t="s">
        <v>74</v>
      </c>
      <c r="BB270">
        <v>2251</v>
      </c>
      <c r="BC270">
        <v>2260</v>
      </c>
      <c r="BD270" t="s">
        <v>74</v>
      </c>
      <c r="BE270" t="s">
        <v>2495</v>
      </c>
      <c r="BF270" t="str">
        <f>HYPERLINK("http://dx.doi.org/10.1016/j.jeurceramsoc.2023.11.045","http://dx.doi.org/10.1016/j.jeurceramsoc.2023.11.045")</f>
        <v>http://dx.doi.org/10.1016/j.jeurceramsoc.2023.11.045</v>
      </c>
      <c r="BG270" t="s">
        <v>74</v>
      </c>
      <c r="BH270" t="s">
        <v>2470</v>
      </c>
      <c r="BI270" t="s">
        <v>74</v>
      </c>
      <c r="BJ270" t="s">
        <v>74</v>
      </c>
      <c r="BK270" t="s">
        <v>74</v>
      </c>
      <c r="BL270" t="s">
        <v>74</v>
      </c>
      <c r="BM270" t="s">
        <v>74</v>
      </c>
      <c r="BN270" t="s">
        <v>74</v>
      </c>
      <c r="BO270" t="s">
        <v>74</v>
      </c>
      <c r="BP270" t="s">
        <v>74</v>
      </c>
      <c r="BQ270" t="s">
        <v>74</v>
      </c>
      <c r="BR270" t="s">
        <v>74</v>
      </c>
      <c r="BS270" t="s">
        <v>2496</v>
      </c>
      <c r="BT270" t="str">
        <f>HYPERLINK("https%3A%2F%2Fwww.webofscience.com%2Fwos%2Fwoscc%2Ffull-record%2FWOS:001139071400001","View Full Record in Web of Science")</f>
        <v>View Full Record in Web of Science</v>
      </c>
    </row>
    <row r="271" spans="1:72" x14ac:dyDescent="0.2">
      <c r="A271" t="s">
        <v>72</v>
      </c>
      <c r="B271" t="s">
        <v>2497</v>
      </c>
      <c r="C271" t="s">
        <v>74</v>
      </c>
      <c r="D271" t="s">
        <v>74</v>
      </c>
      <c r="E271" t="s">
        <v>74</v>
      </c>
      <c r="F271" t="s">
        <v>2498</v>
      </c>
      <c r="G271" t="s">
        <v>74</v>
      </c>
      <c r="H271" t="s">
        <v>74</v>
      </c>
      <c r="I271" t="s">
        <v>2499</v>
      </c>
      <c r="J271" t="s">
        <v>411</v>
      </c>
      <c r="K271" t="s">
        <v>74</v>
      </c>
      <c r="L271" t="s">
        <v>74</v>
      </c>
      <c r="M271" t="s">
        <v>74</v>
      </c>
      <c r="N271" t="s">
        <v>74</v>
      </c>
      <c r="O271" t="s">
        <v>74</v>
      </c>
      <c r="P271" t="s">
        <v>74</v>
      </c>
      <c r="Q271" t="s">
        <v>74</v>
      </c>
      <c r="R271" t="s">
        <v>74</v>
      </c>
      <c r="S271" t="s">
        <v>74</v>
      </c>
      <c r="T271" t="s">
        <v>74</v>
      </c>
      <c r="U271" t="s">
        <v>74</v>
      </c>
      <c r="V271" t="s">
        <v>2500</v>
      </c>
      <c r="W271" t="s">
        <v>74</v>
      </c>
      <c r="X271" t="s">
        <v>74</v>
      </c>
      <c r="Y271" t="s">
        <v>74</v>
      </c>
      <c r="Z271" t="s">
        <v>74</v>
      </c>
      <c r="AA271" t="s">
        <v>2501</v>
      </c>
      <c r="AB271" t="s">
        <v>2502</v>
      </c>
      <c r="AC271" t="s">
        <v>74</v>
      </c>
      <c r="AD271" t="s">
        <v>74</v>
      </c>
      <c r="AE271" t="s">
        <v>74</v>
      </c>
      <c r="AF271" t="s">
        <v>74</v>
      </c>
      <c r="AG271" t="s">
        <v>74</v>
      </c>
      <c r="AH271" t="s">
        <v>74</v>
      </c>
      <c r="AI271" t="s">
        <v>74</v>
      </c>
      <c r="AJ271" t="s">
        <v>74</v>
      </c>
      <c r="AK271" t="s">
        <v>74</v>
      </c>
      <c r="AL271" t="s">
        <v>74</v>
      </c>
      <c r="AM271" t="s">
        <v>74</v>
      </c>
      <c r="AN271" t="s">
        <v>74</v>
      </c>
      <c r="AO271" t="s">
        <v>414</v>
      </c>
      <c r="AP271" t="s">
        <v>415</v>
      </c>
      <c r="AQ271" t="s">
        <v>74</v>
      </c>
      <c r="AR271" t="s">
        <v>74</v>
      </c>
      <c r="AS271" t="s">
        <v>74</v>
      </c>
      <c r="AT271" t="s">
        <v>545</v>
      </c>
      <c r="AU271">
        <v>2024</v>
      </c>
      <c r="AV271">
        <v>20</v>
      </c>
      <c r="AW271">
        <v>20</v>
      </c>
      <c r="AX271" t="s">
        <v>74</v>
      </c>
      <c r="AY271" t="s">
        <v>74</v>
      </c>
      <c r="AZ271" t="s">
        <v>74</v>
      </c>
      <c r="BA271" t="s">
        <v>74</v>
      </c>
      <c r="BB271" t="s">
        <v>74</v>
      </c>
      <c r="BC271" t="s">
        <v>74</v>
      </c>
      <c r="BD271" t="s">
        <v>74</v>
      </c>
      <c r="BE271" t="s">
        <v>2503</v>
      </c>
      <c r="BF271" t="str">
        <f>HYPERLINK("http://dx.doi.org/10.1002/smll.202309918","http://dx.doi.org/10.1002/smll.202309918")</f>
        <v>http://dx.doi.org/10.1002/smll.202309918</v>
      </c>
      <c r="BG271" t="s">
        <v>74</v>
      </c>
      <c r="BH271" t="s">
        <v>2470</v>
      </c>
      <c r="BI271" t="s">
        <v>74</v>
      </c>
      <c r="BJ271" t="s">
        <v>74</v>
      </c>
      <c r="BK271" t="s">
        <v>74</v>
      </c>
      <c r="BL271" t="s">
        <v>74</v>
      </c>
      <c r="BM271" t="s">
        <v>74</v>
      </c>
      <c r="BN271">
        <v>38084467</v>
      </c>
      <c r="BO271" t="s">
        <v>74</v>
      </c>
      <c r="BP271" t="s">
        <v>74</v>
      </c>
      <c r="BQ271" t="s">
        <v>74</v>
      </c>
      <c r="BR271" t="s">
        <v>74</v>
      </c>
      <c r="BS271" t="s">
        <v>2504</v>
      </c>
      <c r="BT271" t="str">
        <f>HYPERLINK("https%3A%2F%2Fwww.webofscience.com%2Fwos%2Fwoscc%2Ffull-record%2FWOS:001123698800001","View Full Record in Web of Science")</f>
        <v>View Full Record in Web of Science</v>
      </c>
    </row>
    <row r="272" spans="1:72" x14ac:dyDescent="0.2">
      <c r="A272" t="s">
        <v>72</v>
      </c>
      <c r="B272" t="s">
        <v>2505</v>
      </c>
      <c r="C272" t="s">
        <v>74</v>
      </c>
      <c r="D272" t="s">
        <v>74</v>
      </c>
      <c r="E272" t="s">
        <v>74</v>
      </c>
      <c r="F272" t="s">
        <v>2506</v>
      </c>
      <c r="G272" t="s">
        <v>74</v>
      </c>
      <c r="H272" t="s">
        <v>74</v>
      </c>
      <c r="I272" t="s">
        <v>2507</v>
      </c>
      <c r="J272" t="s">
        <v>98</v>
      </c>
      <c r="K272" t="s">
        <v>74</v>
      </c>
      <c r="L272" t="s">
        <v>74</v>
      </c>
      <c r="M272" t="s">
        <v>74</v>
      </c>
      <c r="N272" t="s">
        <v>74</v>
      </c>
      <c r="O272" t="s">
        <v>74</v>
      </c>
      <c r="P272" t="s">
        <v>74</v>
      </c>
      <c r="Q272" t="s">
        <v>74</v>
      </c>
      <c r="R272" t="s">
        <v>74</v>
      </c>
      <c r="S272" t="s">
        <v>74</v>
      </c>
      <c r="T272" t="s">
        <v>74</v>
      </c>
      <c r="U272" t="s">
        <v>74</v>
      </c>
      <c r="V272" t="s">
        <v>2508</v>
      </c>
      <c r="W272" t="s">
        <v>74</v>
      </c>
      <c r="X272" t="s">
        <v>74</v>
      </c>
      <c r="Y272" t="s">
        <v>74</v>
      </c>
      <c r="Z272" t="s">
        <v>74</v>
      </c>
      <c r="AA272" t="s">
        <v>2509</v>
      </c>
      <c r="AB272" t="s">
        <v>74</v>
      </c>
      <c r="AC272" t="s">
        <v>74</v>
      </c>
      <c r="AD272" t="s">
        <v>74</v>
      </c>
      <c r="AE272" t="s">
        <v>74</v>
      </c>
      <c r="AF272" t="s">
        <v>74</v>
      </c>
      <c r="AG272" t="s">
        <v>74</v>
      </c>
      <c r="AH272" t="s">
        <v>74</v>
      </c>
      <c r="AI272" t="s">
        <v>74</v>
      </c>
      <c r="AJ272" t="s">
        <v>74</v>
      </c>
      <c r="AK272" t="s">
        <v>74</v>
      </c>
      <c r="AL272" t="s">
        <v>74</v>
      </c>
      <c r="AM272" t="s">
        <v>74</v>
      </c>
      <c r="AN272" t="s">
        <v>74</v>
      </c>
      <c r="AO272" t="s">
        <v>101</v>
      </c>
      <c r="AP272" t="s">
        <v>102</v>
      </c>
      <c r="AQ272" t="s">
        <v>74</v>
      </c>
      <c r="AR272" t="s">
        <v>74</v>
      </c>
      <c r="AS272" t="s">
        <v>74</v>
      </c>
      <c r="AT272" t="s">
        <v>1154</v>
      </c>
      <c r="AU272">
        <v>2024</v>
      </c>
      <c r="AV272">
        <v>592</v>
      </c>
      <c r="AW272" t="s">
        <v>74</v>
      </c>
      <c r="AX272" t="s">
        <v>74</v>
      </c>
      <c r="AY272" t="s">
        <v>74</v>
      </c>
      <c r="AZ272" t="s">
        <v>74</v>
      </c>
      <c r="BA272" t="s">
        <v>74</v>
      </c>
      <c r="BB272" t="s">
        <v>74</v>
      </c>
      <c r="BC272" t="s">
        <v>74</v>
      </c>
      <c r="BD272">
        <v>233884</v>
      </c>
      <c r="BE272" t="s">
        <v>2510</v>
      </c>
      <c r="BF272" t="str">
        <f>HYPERLINK("http://dx.doi.org/10.1016/j.jpowsour.2023.233884","http://dx.doi.org/10.1016/j.jpowsour.2023.233884")</f>
        <v>http://dx.doi.org/10.1016/j.jpowsour.2023.233884</v>
      </c>
      <c r="BG272" t="s">
        <v>74</v>
      </c>
      <c r="BH272" t="s">
        <v>2470</v>
      </c>
      <c r="BI272" t="s">
        <v>74</v>
      </c>
      <c r="BJ272" t="s">
        <v>74</v>
      </c>
      <c r="BK272" t="s">
        <v>74</v>
      </c>
      <c r="BL272" t="s">
        <v>74</v>
      </c>
      <c r="BM272" t="s">
        <v>74</v>
      </c>
      <c r="BN272" t="s">
        <v>74</v>
      </c>
      <c r="BO272" t="s">
        <v>74</v>
      </c>
      <c r="BP272" t="s">
        <v>74</v>
      </c>
      <c r="BQ272" t="s">
        <v>74</v>
      </c>
      <c r="BR272" t="s">
        <v>74</v>
      </c>
      <c r="BS272" t="s">
        <v>2511</v>
      </c>
      <c r="BT272" t="str">
        <f>HYPERLINK("https%3A%2F%2Fwww.webofscience.com%2Fwos%2Fwoscc%2Ffull-record%2FWOS:001139730500001","View Full Record in Web of Science")</f>
        <v>View Full Record in Web of Science</v>
      </c>
    </row>
    <row r="273" spans="1:72" x14ac:dyDescent="0.2">
      <c r="A273" t="s">
        <v>72</v>
      </c>
      <c r="B273" t="s">
        <v>2512</v>
      </c>
      <c r="C273" t="s">
        <v>74</v>
      </c>
      <c r="D273" t="s">
        <v>74</v>
      </c>
      <c r="E273" t="s">
        <v>74</v>
      </c>
      <c r="F273" t="s">
        <v>2513</v>
      </c>
      <c r="G273" t="s">
        <v>74</v>
      </c>
      <c r="H273" t="s">
        <v>74</v>
      </c>
      <c r="I273" t="s">
        <v>2514</v>
      </c>
      <c r="J273" t="s">
        <v>422</v>
      </c>
      <c r="K273" t="s">
        <v>74</v>
      </c>
      <c r="L273" t="s">
        <v>74</v>
      </c>
      <c r="M273" t="s">
        <v>74</v>
      </c>
      <c r="N273" t="s">
        <v>74</v>
      </c>
      <c r="O273" t="s">
        <v>74</v>
      </c>
      <c r="P273" t="s">
        <v>74</v>
      </c>
      <c r="Q273" t="s">
        <v>74</v>
      </c>
      <c r="R273" t="s">
        <v>74</v>
      </c>
      <c r="S273" t="s">
        <v>74</v>
      </c>
      <c r="T273" t="s">
        <v>74</v>
      </c>
      <c r="U273" t="s">
        <v>74</v>
      </c>
      <c r="V273" t="s">
        <v>2515</v>
      </c>
      <c r="W273" t="s">
        <v>74</v>
      </c>
      <c r="X273" t="s">
        <v>74</v>
      </c>
      <c r="Y273" t="s">
        <v>74</v>
      </c>
      <c r="Z273" t="s">
        <v>74</v>
      </c>
      <c r="AA273" t="s">
        <v>74</v>
      </c>
      <c r="AB273" t="s">
        <v>2516</v>
      </c>
      <c r="AC273" t="s">
        <v>74</v>
      </c>
      <c r="AD273" t="s">
        <v>74</v>
      </c>
      <c r="AE273" t="s">
        <v>74</v>
      </c>
      <c r="AF273" t="s">
        <v>74</v>
      </c>
      <c r="AG273" t="s">
        <v>74</v>
      </c>
      <c r="AH273" t="s">
        <v>74</v>
      </c>
      <c r="AI273" t="s">
        <v>74</v>
      </c>
      <c r="AJ273" t="s">
        <v>74</v>
      </c>
      <c r="AK273" t="s">
        <v>74</v>
      </c>
      <c r="AL273" t="s">
        <v>74</v>
      </c>
      <c r="AM273" t="s">
        <v>74</v>
      </c>
      <c r="AN273" t="s">
        <v>74</v>
      </c>
      <c r="AO273" t="s">
        <v>426</v>
      </c>
      <c r="AP273" t="s">
        <v>74</v>
      </c>
      <c r="AQ273" t="s">
        <v>74</v>
      </c>
      <c r="AR273" t="s">
        <v>74</v>
      </c>
      <c r="AS273" t="s">
        <v>74</v>
      </c>
      <c r="AT273" t="s">
        <v>2517</v>
      </c>
      <c r="AU273">
        <v>2023</v>
      </c>
      <c r="AV273">
        <v>6</v>
      </c>
      <c r="AW273">
        <v>24</v>
      </c>
      <c r="AX273" t="s">
        <v>74</v>
      </c>
      <c r="AY273" t="s">
        <v>74</v>
      </c>
      <c r="AZ273" t="s">
        <v>74</v>
      </c>
      <c r="BA273" t="s">
        <v>74</v>
      </c>
      <c r="BB273">
        <v>12389</v>
      </c>
      <c r="BC273">
        <v>12399</v>
      </c>
      <c r="BD273" t="s">
        <v>74</v>
      </c>
      <c r="BE273" t="s">
        <v>2518</v>
      </c>
      <c r="BF273" t="str">
        <f>HYPERLINK("http://dx.doi.org/10.1021/acsaem.3c02248","http://dx.doi.org/10.1021/acsaem.3c02248")</f>
        <v>http://dx.doi.org/10.1021/acsaem.3c02248</v>
      </c>
      <c r="BG273" t="s">
        <v>74</v>
      </c>
      <c r="BH273" t="s">
        <v>74</v>
      </c>
      <c r="BI273" t="s">
        <v>74</v>
      </c>
      <c r="BJ273" t="s">
        <v>74</v>
      </c>
      <c r="BK273" t="s">
        <v>74</v>
      </c>
      <c r="BL273" t="s">
        <v>74</v>
      </c>
      <c r="BM273" t="s">
        <v>74</v>
      </c>
      <c r="BN273" t="s">
        <v>74</v>
      </c>
      <c r="BO273" t="s">
        <v>74</v>
      </c>
      <c r="BP273" t="s">
        <v>74</v>
      </c>
      <c r="BQ273" t="s">
        <v>74</v>
      </c>
      <c r="BR273" t="s">
        <v>74</v>
      </c>
      <c r="BS273" t="s">
        <v>2519</v>
      </c>
      <c r="BT273" t="str">
        <f>HYPERLINK("https%3A%2F%2Fwww.webofscience.com%2Fwos%2Fwoscc%2Ffull-record%2FWOS:001131595300001","View Full Record in Web of Science")</f>
        <v>View Full Record in Web of Science</v>
      </c>
    </row>
    <row r="274" spans="1:72" x14ac:dyDescent="0.2">
      <c r="A274" t="s">
        <v>72</v>
      </c>
      <c r="B274" t="s">
        <v>2520</v>
      </c>
      <c r="C274" t="s">
        <v>74</v>
      </c>
      <c r="D274" t="s">
        <v>74</v>
      </c>
      <c r="E274" t="s">
        <v>74</v>
      </c>
      <c r="F274" t="s">
        <v>2521</v>
      </c>
      <c r="G274" t="s">
        <v>74</v>
      </c>
      <c r="H274" t="s">
        <v>74</v>
      </c>
      <c r="I274" t="s">
        <v>2522</v>
      </c>
      <c r="J274" t="s">
        <v>307</v>
      </c>
      <c r="K274" t="s">
        <v>74</v>
      </c>
      <c r="L274" t="s">
        <v>74</v>
      </c>
      <c r="M274" t="s">
        <v>74</v>
      </c>
      <c r="N274" t="s">
        <v>74</v>
      </c>
      <c r="O274" t="s">
        <v>74</v>
      </c>
      <c r="P274" t="s">
        <v>74</v>
      </c>
      <c r="Q274" t="s">
        <v>74</v>
      </c>
      <c r="R274" t="s">
        <v>74</v>
      </c>
      <c r="S274" t="s">
        <v>74</v>
      </c>
      <c r="T274" t="s">
        <v>74</v>
      </c>
      <c r="U274" t="s">
        <v>74</v>
      </c>
      <c r="V274" t="s">
        <v>2523</v>
      </c>
      <c r="W274" t="s">
        <v>74</v>
      </c>
      <c r="X274" t="s">
        <v>74</v>
      </c>
      <c r="Y274" t="s">
        <v>74</v>
      </c>
      <c r="Z274" t="s">
        <v>74</v>
      </c>
      <c r="AA274" t="s">
        <v>2524</v>
      </c>
      <c r="AB274" t="s">
        <v>2525</v>
      </c>
      <c r="AC274" t="s">
        <v>74</v>
      </c>
      <c r="AD274" t="s">
        <v>74</v>
      </c>
      <c r="AE274" t="s">
        <v>74</v>
      </c>
      <c r="AF274" t="s">
        <v>74</v>
      </c>
      <c r="AG274" t="s">
        <v>74</v>
      </c>
      <c r="AH274" t="s">
        <v>74</v>
      </c>
      <c r="AI274" t="s">
        <v>74</v>
      </c>
      <c r="AJ274" t="s">
        <v>74</v>
      </c>
      <c r="AK274" t="s">
        <v>74</v>
      </c>
      <c r="AL274" t="s">
        <v>74</v>
      </c>
      <c r="AM274" t="s">
        <v>74</v>
      </c>
      <c r="AN274" t="s">
        <v>74</v>
      </c>
      <c r="AO274" t="s">
        <v>74</v>
      </c>
      <c r="AP274" t="s">
        <v>309</v>
      </c>
      <c r="AQ274" t="s">
        <v>74</v>
      </c>
      <c r="AR274" t="s">
        <v>74</v>
      </c>
      <c r="AS274" t="s">
        <v>74</v>
      </c>
      <c r="AT274" t="s">
        <v>954</v>
      </c>
      <c r="AU274">
        <v>2024</v>
      </c>
      <c r="AV274">
        <v>7</v>
      </c>
      <c r="AW274">
        <v>3</v>
      </c>
      <c r="AX274" t="s">
        <v>74</v>
      </c>
      <c r="AY274" t="s">
        <v>74</v>
      </c>
      <c r="AZ274" t="s">
        <v>74</v>
      </c>
      <c r="BA274" t="s">
        <v>74</v>
      </c>
      <c r="BB274" t="s">
        <v>74</v>
      </c>
      <c r="BC274" t="s">
        <v>74</v>
      </c>
      <c r="BD274" t="s">
        <v>74</v>
      </c>
      <c r="BE274" t="s">
        <v>2526</v>
      </c>
      <c r="BF274" t="str">
        <f>HYPERLINK("http://dx.doi.org/10.1002/batt.202300383","http://dx.doi.org/10.1002/batt.202300383")</f>
        <v>http://dx.doi.org/10.1002/batt.202300383</v>
      </c>
      <c r="BG274" t="s">
        <v>74</v>
      </c>
      <c r="BH274" t="s">
        <v>2470</v>
      </c>
      <c r="BI274" t="s">
        <v>74</v>
      </c>
      <c r="BJ274" t="s">
        <v>74</v>
      </c>
      <c r="BK274" t="s">
        <v>74</v>
      </c>
      <c r="BL274" t="s">
        <v>74</v>
      </c>
      <c r="BM274" t="s">
        <v>74</v>
      </c>
      <c r="BN274" t="s">
        <v>74</v>
      </c>
      <c r="BO274" t="s">
        <v>74</v>
      </c>
      <c r="BP274" t="s">
        <v>74</v>
      </c>
      <c r="BQ274" t="s">
        <v>74</v>
      </c>
      <c r="BR274" t="s">
        <v>74</v>
      </c>
      <c r="BS274" t="s">
        <v>2527</v>
      </c>
      <c r="BT274" t="str">
        <f>HYPERLINK("https%3A%2F%2Fwww.webofscience.com%2Fwos%2Fwoscc%2Ffull-record%2FWOS:001113045100001","View Full Record in Web of Science")</f>
        <v>View Full Record in Web of Science</v>
      </c>
    </row>
    <row r="275" spans="1:72" x14ac:dyDescent="0.2">
      <c r="A275" t="s">
        <v>72</v>
      </c>
      <c r="B275" t="s">
        <v>2528</v>
      </c>
      <c r="C275" t="s">
        <v>74</v>
      </c>
      <c r="D275" t="s">
        <v>74</v>
      </c>
      <c r="E275" t="s">
        <v>74</v>
      </c>
      <c r="F275" t="s">
        <v>2529</v>
      </c>
      <c r="G275" t="s">
        <v>74</v>
      </c>
      <c r="H275" t="s">
        <v>74</v>
      </c>
      <c r="I275" t="s">
        <v>2530</v>
      </c>
      <c r="J275" t="s">
        <v>161</v>
      </c>
      <c r="K275" t="s">
        <v>74</v>
      </c>
      <c r="L275" t="s">
        <v>74</v>
      </c>
      <c r="M275" t="s">
        <v>74</v>
      </c>
      <c r="N275" t="s">
        <v>74</v>
      </c>
      <c r="O275" t="s">
        <v>74</v>
      </c>
      <c r="P275" t="s">
        <v>74</v>
      </c>
      <c r="Q275" t="s">
        <v>74</v>
      </c>
      <c r="R275" t="s">
        <v>74</v>
      </c>
      <c r="S275" t="s">
        <v>74</v>
      </c>
      <c r="T275" t="s">
        <v>74</v>
      </c>
      <c r="U275" t="s">
        <v>74</v>
      </c>
      <c r="V275" t="s">
        <v>2531</v>
      </c>
      <c r="W275" t="s">
        <v>74</v>
      </c>
      <c r="X275" t="s">
        <v>74</v>
      </c>
      <c r="Y275" t="s">
        <v>74</v>
      </c>
      <c r="Z275" t="s">
        <v>74</v>
      </c>
      <c r="AA275" t="s">
        <v>2532</v>
      </c>
      <c r="AB275" t="s">
        <v>2533</v>
      </c>
      <c r="AC275" t="s">
        <v>74</v>
      </c>
      <c r="AD275" t="s">
        <v>74</v>
      </c>
      <c r="AE275" t="s">
        <v>74</v>
      </c>
      <c r="AF275" t="s">
        <v>74</v>
      </c>
      <c r="AG275" t="s">
        <v>74</v>
      </c>
      <c r="AH275" t="s">
        <v>74</v>
      </c>
      <c r="AI275" t="s">
        <v>74</v>
      </c>
      <c r="AJ275" t="s">
        <v>74</v>
      </c>
      <c r="AK275" t="s">
        <v>74</v>
      </c>
      <c r="AL275" t="s">
        <v>74</v>
      </c>
      <c r="AM275" t="s">
        <v>74</v>
      </c>
      <c r="AN275" t="s">
        <v>74</v>
      </c>
      <c r="AO275" t="s">
        <v>163</v>
      </c>
      <c r="AP275" t="s">
        <v>164</v>
      </c>
      <c r="AQ275" t="s">
        <v>74</v>
      </c>
      <c r="AR275" t="s">
        <v>74</v>
      </c>
      <c r="AS275" t="s">
        <v>74</v>
      </c>
      <c r="AT275" t="s">
        <v>1165</v>
      </c>
      <c r="AU275">
        <v>2024</v>
      </c>
      <c r="AV275">
        <v>479</v>
      </c>
      <c r="AW275" t="s">
        <v>74</v>
      </c>
      <c r="AX275" t="s">
        <v>74</v>
      </c>
      <c r="AY275" t="s">
        <v>74</v>
      </c>
      <c r="AZ275" t="s">
        <v>74</v>
      </c>
      <c r="BA275" t="s">
        <v>74</v>
      </c>
      <c r="BB275" t="s">
        <v>74</v>
      </c>
      <c r="BC275" t="s">
        <v>74</v>
      </c>
      <c r="BD275">
        <v>147518</v>
      </c>
      <c r="BE275" t="s">
        <v>2534</v>
      </c>
      <c r="BF275" t="str">
        <f>HYPERLINK("http://dx.doi.org/10.1016/j.cej.2023.147518","http://dx.doi.org/10.1016/j.cej.2023.147518")</f>
        <v>http://dx.doi.org/10.1016/j.cej.2023.147518</v>
      </c>
      <c r="BG275" t="s">
        <v>74</v>
      </c>
      <c r="BH275" t="s">
        <v>2470</v>
      </c>
      <c r="BI275" t="s">
        <v>74</v>
      </c>
      <c r="BJ275" t="s">
        <v>74</v>
      </c>
      <c r="BK275" t="s">
        <v>74</v>
      </c>
      <c r="BL275" t="s">
        <v>74</v>
      </c>
      <c r="BM275" t="s">
        <v>74</v>
      </c>
      <c r="BN275" t="s">
        <v>74</v>
      </c>
      <c r="BO275" t="s">
        <v>74</v>
      </c>
      <c r="BP275" t="s">
        <v>74</v>
      </c>
      <c r="BQ275" t="s">
        <v>74</v>
      </c>
      <c r="BR275" t="s">
        <v>74</v>
      </c>
      <c r="BS275" t="s">
        <v>2535</v>
      </c>
      <c r="BT275" t="str">
        <f>HYPERLINK("https%3A%2F%2Fwww.webofscience.com%2Fwos%2Fwoscc%2Ffull-record%2FWOS:001131927400001","View Full Record in Web of Science")</f>
        <v>View Full Record in Web of Science</v>
      </c>
    </row>
    <row r="276" spans="1:72" x14ac:dyDescent="0.2">
      <c r="A276" t="s">
        <v>72</v>
      </c>
      <c r="B276" t="s">
        <v>2536</v>
      </c>
      <c r="C276" t="s">
        <v>74</v>
      </c>
      <c r="D276" t="s">
        <v>74</v>
      </c>
      <c r="E276" t="s">
        <v>74</v>
      </c>
      <c r="F276" t="s">
        <v>2537</v>
      </c>
      <c r="G276" t="s">
        <v>74</v>
      </c>
      <c r="H276" t="s">
        <v>74</v>
      </c>
      <c r="I276" t="s">
        <v>2538</v>
      </c>
      <c r="J276" t="s">
        <v>289</v>
      </c>
      <c r="K276" t="s">
        <v>74</v>
      </c>
      <c r="L276" t="s">
        <v>74</v>
      </c>
      <c r="M276" t="s">
        <v>74</v>
      </c>
      <c r="N276" t="s">
        <v>74</v>
      </c>
      <c r="O276" t="s">
        <v>74</v>
      </c>
      <c r="P276" t="s">
        <v>74</v>
      </c>
      <c r="Q276" t="s">
        <v>74</v>
      </c>
      <c r="R276" t="s">
        <v>74</v>
      </c>
      <c r="S276" t="s">
        <v>74</v>
      </c>
      <c r="T276" t="s">
        <v>74</v>
      </c>
      <c r="U276" t="s">
        <v>74</v>
      </c>
      <c r="V276" t="s">
        <v>2539</v>
      </c>
      <c r="W276" t="s">
        <v>74</v>
      </c>
      <c r="X276" t="s">
        <v>74</v>
      </c>
      <c r="Y276" t="s">
        <v>74</v>
      </c>
      <c r="Z276" t="s">
        <v>74</v>
      </c>
      <c r="AA276" t="s">
        <v>2540</v>
      </c>
      <c r="AB276" t="s">
        <v>2541</v>
      </c>
      <c r="AC276" t="s">
        <v>74</v>
      </c>
      <c r="AD276" t="s">
        <v>74</v>
      </c>
      <c r="AE276" t="s">
        <v>74</v>
      </c>
      <c r="AF276" t="s">
        <v>74</v>
      </c>
      <c r="AG276" t="s">
        <v>74</v>
      </c>
      <c r="AH276" t="s">
        <v>74</v>
      </c>
      <c r="AI276" t="s">
        <v>74</v>
      </c>
      <c r="AJ276" t="s">
        <v>74</v>
      </c>
      <c r="AK276" t="s">
        <v>74</v>
      </c>
      <c r="AL276" t="s">
        <v>74</v>
      </c>
      <c r="AM276" t="s">
        <v>74</v>
      </c>
      <c r="AN276" t="s">
        <v>74</v>
      </c>
      <c r="AO276" t="s">
        <v>292</v>
      </c>
      <c r="AP276" t="s">
        <v>293</v>
      </c>
      <c r="AQ276" t="s">
        <v>74</v>
      </c>
      <c r="AR276" t="s">
        <v>74</v>
      </c>
      <c r="AS276" t="s">
        <v>74</v>
      </c>
      <c r="AT276" t="s">
        <v>1026</v>
      </c>
      <c r="AU276">
        <v>2024</v>
      </c>
      <c r="AV276">
        <v>36</v>
      </c>
      <c r="AW276">
        <v>7</v>
      </c>
      <c r="AX276" t="s">
        <v>74</v>
      </c>
      <c r="AY276" t="s">
        <v>74</v>
      </c>
      <c r="AZ276" t="s">
        <v>74</v>
      </c>
      <c r="BA276" t="s">
        <v>74</v>
      </c>
      <c r="BB276" t="s">
        <v>74</v>
      </c>
      <c r="BC276" t="s">
        <v>74</v>
      </c>
      <c r="BD276" t="s">
        <v>74</v>
      </c>
      <c r="BE276" t="s">
        <v>2542</v>
      </c>
      <c r="BF276" t="str">
        <f>HYPERLINK("http://dx.doi.org/10.1002/adma.202309223","http://dx.doi.org/10.1002/adma.202309223")</f>
        <v>http://dx.doi.org/10.1002/adma.202309223</v>
      </c>
      <c r="BG276" t="s">
        <v>74</v>
      </c>
      <c r="BH276" t="s">
        <v>2470</v>
      </c>
      <c r="BI276" t="s">
        <v>74</v>
      </c>
      <c r="BJ276" t="s">
        <v>74</v>
      </c>
      <c r="BK276" t="s">
        <v>74</v>
      </c>
      <c r="BL276" t="s">
        <v>74</v>
      </c>
      <c r="BM276" t="s">
        <v>74</v>
      </c>
      <c r="BN276">
        <v>37907202</v>
      </c>
      <c r="BO276" t="s">
        <v>74</v>
      </c>
      <c r="BP276" t="s">
        <v>74</v>
      </c>
      <c r="BQ276" t="s">
        <v>74</v>
      </c>
      <c r="BR276" t="s">
        <v>74</v>
      </c>
      <c r="BS276" t="s">
        <v>2543</v>
      </c>
      <c r="BT276" t="str">
        <f>HYPERLINK("https%3A%2F%2Fwww.webofscience.com%2Fwos%2Fwoscc%2Ffull-record%2FWOS:001112428100001","View Full Record in Web of Science")</f>
        <v>View Full Record in Web of Science</v>
      </c>
    </row>
    <row r="277" spans="1:72" x14ac:dyDescent="0.2">
      <c r="A277" t="s">
        <v>72</v>
      </c>
      <c r="B277" t="s">
        <v>2544</v>
      </c>
      <c r="C277" t="s">
        <v>74</v>
      </c>
      <c r="D277" t="s">
        <v>74</v>
      </c>
      <c r="E277" t="s">
        <v>74</v>
      </c>
      <c r="F277" t="s">
        <v>2545</v>
      </c>
      <c r="G277" t="s">
        <v>74</v>
      </c>
      <c r="H277" t="s">
        <v>74</v>
      </c>
      <c r="I277" t="s">
        <v>2546</v>
      </c>
      <c r="J277" t="s">
        <v>528</v>
      </c>
      <c r="K277" t="s">
        <v>74</v>
      </c>
      <c r="L277" t="s">
        <v>74</v>
      </c>
      <c r="M277" t="s">
        <v>74</v>
      </c>
      <c r="N277" t="s">
        <v>74</v>
      </c>
      <c r="O277" t="s">
        <v>74</v>
      </c>
      <c r="P277" t="s">
        <v>74</v>
      </c>
      <c r="Q277" t="s">
        <v>74</v>
      </c>
      <c r="R277" t="s">
        <v>74</v>
      </c>
      <c r="S277" t="s">
        <v>74</v>
      </c>
      <c r="T277" t="s">
        <v>74</v>
      </c>
      <c r="U277" t="s">
        <v>74</v>
      </c>
      <c r="V277" t="s">
        <v>2547</v>
      </c>
      <c r="W277" t="s">
        <v>74</v>
      </c>
      <c r="X277" t="s">
        <v>74</v>
      </c>
      <c r="Y277" t="s">
        <v>74</v>
      </c>
      <c r="Z277" t="s">
        <v>74</v>
      </c>
      <c r="AA277" t="s">
        <v>74</v>
      </c>
      <c r="AB277" t="s">
        <v>74</v>
      </c>
      <c r="AC277" t="s">
        <v>74</v>
      </c>
      <c r="AD277" t="s">
        <v>74</v>
      </c>
      <c r="AE277" t="s">
        <v>74</v>
      </c>
      <c r="AF277" t="s">
        <v>74</v>
      </c>
      <c r="AG277" t="s">
        <v>74</v>
      </c>
      <c r="AH277" t="s">
        <v>74</v>
      </c>
      <c r="AI277" t="s">
        <v>74</v>
      </c>
      <c r="AJ277" t="s">
        <v>74</v>
      </c>
      <c r="AK277" t="s">
        <v>74</v>
      </c>
      <c r="AL277" t="s">
        <v>74</v>
      </c>
      <c r="AM277" t="s">
        <v>74</v>
      </c>
      <c r="AN277" t="s">
        <v>74</v>
      </c>
      <c r="AO277" t="s">
        <v>532</v>
      </c>
      <c r="AP277" t="s">
        <v>533</v>
      </c>
      <c r="AQ277" t="s">
        <v>74</v>
      </c>
      <c r="AR277" t="s">
        <v>74</v>
      </c>
      <c r="AS277" t="s">
        <v>74</v>
      </c>
      <c r="AT277" t="s">
        <v>2548</v>
      </c>
      <c r="AU277">
        <v>2023</v>
      </c>
      <c r="AV277">
        <v>15</v>
      </c>
      <c r="AW277">
        <v>49</v>
      </c>
      <c r="AX277" t="s">
        <v>74</v>
      </c>
      <c r="AY277" t="s">
        <v>74</v>
      </c>
      <c r="AZ277" t="s">
        <v>74</v>
      </c>
      <c r="BA277" t="s">
        <v>74</v>
      </c>
      <c r="BB277">
        <v>57201</v>
      </c>
      <c r="BC277">
        <v>57210</v>
      </c>
      <c r="BD277" t="s">
        <v>74</v>
      </c>
      <c r="BE277" t="s">
        <v>2549</v>
      </c>
      <c r="BF277" t="str">
        <f>HYPERLINK("http://dx.doi.org/10.1021/acsami.3c13883","http://dx.doi.org/10.1021/acsami.3c13883")</f>
        <v>http://dx.doi.org/10.1021/acsami.3c13883</v>
      </c>
      <c r="BG277" t="s">
        <v>74</v>
      </c>
      <c r="BH277" t="s">
        <v>74</v>
      </c>
      <c r="BI277" t="s">
        <v>74</v>
      </c>
      <c r="BJ277" t="s">
        <v>74</v>
      </c>
      <c r="BK277" t="s">
        <v>74</v>
      </c>
      <c r="BL277" t="s">
        <v>74</v>
      </c>
      <c r="BM277" t="s">
        <v>74</v>
      </c>
      <c r="BN277">
        <v>38041638</v>
      </c>
      <c r="BO277" t="s">
        <v>74</v>
      </c>
      <c r="BP277" t="s">
        <v>74</v>
      </c>
      <c r="BQ277" t="s">
        <v>74</v>
      </c>
      <c r="BR277" t="s">
        <v>74</v>
      </c>
      <c r="BS277" t="s">
        <v>2550</v>
      </c>
      <c r="BT277" t="str">
        <f>HYPERLINK("https%3A%2F%2Fwww.webofscience.com%2Fwos%2Fwoscc%2Ffull-record%2FWOS:001141610200001","View Full Record in Web of Science")</f>
        <v>View Full Record in Web of Science</v>
      </c>
    </row>
    <row r="278" spans="1:72" x14ac:dyDescent="0.2">
      <c r="A278" t="s">
        <v>72</v>
      </c>
      <c r="B278" t="s">
        <v>2551</v>
      </c>
      <c r="C278" t="s">
        <v>74</v>
      </c>
      <c r="D278" t="s">
        <v>74</v>
      </c>
      <c r="E278" t="s">
        <v>74</v>
      </c>
      <c r="F278" t="s">
        <v>2552</v>
      </c>
      <c r="G278" t="s">
        <v>74</v>
      </c>
      <c r="H278" t="s">
        <v>74</v>
      </c>
      <c r="I278" t="s">
        <v>2553</v>
      </c>
      <c r="J278" t="s">
        <v>1457</v>
      </c>
      <c r="K278" t="s">
        <v>74</v>
      </c>
      <c r="L278" t="s">
        <v>74</v>
      </c>
      <c r="M278" t="s">
        <v>74</v>
      </c>
      <c r="N278" t="s">
        <v>74</v>
      </c>
      <c r="O278" t="s">
        <v>74</v>
      </c>
      <c r="P278" t="s">
        <v>74</v>
      </c>
      <c r="Q278" t="s">
        <v>74</v>
      </c>
      <c r="R278" t="s">
        <v>74</v>
      </c>
      <c r="S278" t="s">
        <v>74</v>
      </c>
      <c r="T278" t="s">
        <v>74</v>
      </c>
      <c r="U278" t="s">
        <v>74</v>
      </c>
      <c r="V278" t="s">
        <v>2554</v>
      </c>
      <c r="W278" t="s">
        <v>74</v>
      </c>
      <c r="X278" t="s">
        <v>74</v>
      </c>
      <c r="Y278" t="s">
        <v>74</v>
      </c>
      <c r="Z278" t="s">
        <v>74</v>
      </c>
      <c r="AA278" t="s">
        <v>2555</v>
      </c>
      <c r="AB278" t="s">
        <v>74</v>
      </c>
      <c r="AC278" t="s">
        <v>74</v>
      </c>
      <c r="AD278" t="s">
        <v>74</v>
      </c>
      <c r="AE278" t="s">
        <v>74</v>
      </c>
      <c r="AF278" t="s">
        <v>74</v>
      </c>
      <c r="AG278" t="s">
        <v>74</v>
      </c>
      <c r="AH278" t="s">
        <v>74</v>
      </c>
      <c r="AI278" t="s">
        <v>74</v>
      </c>
      <c r="AJ278" t="s">
        <v>74</v>
      </c>
      <c r="AK278" t="s">
        <v>74</v>
      </c>
      <c r="AL278" t="s">
        <v>74</v>
      </c>
      <c r="AM278" t="s">
        <v>74</v>
      </c>
      <c r="AN278" t="s">
        <v>74</v>
      </c>
      <c r="AO278" t="s">
        <v>1461</v>
      </c>
      <c r="AP278" t="s">
        <v>1462</v>
      </c>
      <c r="AQ278" t="s">
        <v>74</v>
      </c>
      <c r="AR278" t="s">
        <v>74</v>
      </c>
      <c r="AS278" t="s">
        <v>74</v>
      </c>
      <c r="AT278" t="s">
        <v>2556</v>
      </c>
      <c r="AU278">
        <v>2024</v>
      </c>
      <c r="AV278">
        <v>648</v>
      </c>
      <c r="AW278" t="s">
        <v>74</v>
      </c>
      <c r="AX278" t="s">
        <v>74</v>
      </c>
      <c r="AY278" t="s">
        <v>74</v>
      </c>
      <c r="AZ278" t="s">
        <v>74</v>
      </c>
      <c r="BA278" t="s">
        <v>74</v>
      </c>
      <c r="BB278" t="s">
        <v>74</v>
      </c>
      <c r="BC278" t="s">
        <v>74</v>
      </c>
      <c r="BD278">
        <v>158962</v>
      </c>
      <c r="BE278" t="s">
        <v>2557</v>
      </c>
      <c r="BF278" t="str">
        <f>HYPERLINK("http://dx.doi.org/10.1016/j.apsusc.2023.158962","http://dx.doi.org/10.1016/j.apsusc.2023.158962")</f>
        <v>http://dx.doi.org/10.1016/j.apsusc.2023.158962</v>
      </c>
      <c r="BG278" t="s">
        <v>74</v>
      </c>
      <c r="BH278" t="s">
        <v>2470</v>
      </c>
      <c r="BI278" t="s">
        <v>74</v>
      </c>
      <c r="BJ278" t="s">
        <v>74</v>
      </c>
      <c r="BK278" t="s">
        <v>74</v>
      </c>
      <c r="BL278" t="s">
        <v>74</v>
      </c>
      <c r="BM278" t="s">
        <v>74</v>
      </c>
      <c r="BN278" t="s">
        <v>74</v>
      </c>
      <c r="BO278" t="s">
        <v>74</v>
      </c>
      <c r="BP278" t="s">
        <v>74</v>
      </c>
      <c r="BQ278" t="s">
        <v>74</v>
      </c>
      <c r="BR278" t="s">
        <v>74</v>
      </c>
      <c r="BS278" t="s">
        <v>2558</v>
      </c>
      <c r="BT278" t="str">
        <f>HYPERLINK("https%3A%2F%2Fwww.webofscience.com%2Fwos%2Fwoscc%2Ffull-record%2FWOS:001128609700001","View Full Record in Web of Science")</f>
        <v>View Full Record in Web of Science</v>
      </c>
    </row>
    <row r="279" spans="1:72" x14ac:dyDescent="0.2">
      <c r="A279" t="s">
        <v>72</v>
      </c>
      <c r="B279" t="s">
        <v>2559</v>
      </c>
      <c r="C279" t="s">
        <v>74</v>
      </c>
      <c r="D279" t="s">
        <v>74</v>
      </c>
      <c r="E279" t="s">
        <v>74</v>
      </c>
      <c r="F279" t="s">
        <v>2560</v>
      </c>
      <c r="G279" t="s">
        <v>74</v>
      </c>
      <c r="H279" t="s">
        <v>74</v>
      </c>
      <c r="I279" t="s">
        <v>2561</v>
      </c>
      <c r="J279" t="s">
        <v>1313</v>
      </c>
      <c r="K279" t="s">
        <v>74</v>
      </c>
      <c r="L279" t="s">
        <v>74</v>
      </c>
      <c r="M279" t="s">
        <v>74</v>
      </c>
      <c r="N279" t="s">
        <v>74</v>
      </c>
      <c r="O279" t="s">
        <v>74</v>
      </c>
      <c r="P279" t="s">
        <v>74</v>
      </c>
      <c r="Q279" t="s">
        <v>74</v>
      </c>
      <c r="R279" t="s">
        <v>74</v>
      </c>
      <c r="S279" t="s">
        <v>74</v>
      </c>
      <c r="T279" t="s">
        <v>74</v>
      </c>
      <c r="U279" t="s">
        <v>74</v>
      </c>
      <c r="V279" t="s">
        <v>2562</v>
      </c>
      <c r="W279" t="s">
        <v>74</v>
      </c>
      <c r="X279" t="s">
        <v>74</v>
      </c>
      <c r="Y279" t="s">
        <v>74</v>
      </c>
      <c r="Z279" t="s">
        <v>74</v>
      </c>
      <c r="AA279" t="s">
        <v>74</v>
      </c>
      <c r="AB279" t="s">
        <v>74</v>
      </c>
      <c r="AC279" t="s">
        <v>74</v>
      </c>
      <c r="AD279" t="s">
        <v>74</v>
      </c>
      <c r="AE279" t="s">
        <v>74</v>
      </c>
      <c r="AF279" t="s">
        <v>74</v>
      </c>
      <c r="AG279" t="s">
        <v>74</v>
      </c>
      <c r="AH279" t="s">
        <v>74</v>
      </c>
      <c r="AI279" t="s">
        <v>74</v>
      </c>
      <c r="AJ279" t="s">
        <v>74</v>
      </c>
      <c r="AK279" t="s">
        <v>74</v>
      </c>
      <c r="AL279" t="s">
        <v>74</v>
      </c>
      <c r="AM279" t="s">
        <v>74</v>
      </c>
      <c r="AN279" t="s">
        <v>74</v>
      </c>
      <c r="AO279" t="s">
        <v>1316</v>
      </c>
      <c r="AP279" t="s">
        <v>1317</v>
      </c>
      <c r="AQ279" t="s">
        <v>74</v>
      </c>
      <c r="AR279" t="s">
        <v>74</v>
      </c>
      <c r="AS279" t="s">
        <v>74</v>
      </c>
      <c r="AT279" t="s">
        <v>1318</v>
      </c>
      <c r="AU279">
        <v>2023</v>
      </c>
      <c r="AV279">
        <v>6</v>
      </c>
      <c r="AW279">
        <v>1</v>
      </c>
      <c r="AX279" t="s">
        <v>74</v>
      </c>
      <c r="AY279" t="s">
        <v>74</v>
      </c>
      <c r="AZ279" t="s">
        <v>74</v>
      </c>
      <c r="BA279" t="s">
        <v>74</v>
      </c>
      <c r="BB279" t="s">
        <v>74</v>
      </c>
      <c r="BC279" t="s">
        <v>74</v>
      </c>
      <c r="BD279">
        <v>31</v>
      </c>
      <c r="BE279" t="s">
        <v>2563</v>
      </c>
      <c r="BF279" t="str">
        <f>HYPERLINK("http://dx.doi.org/10.1007/s41918-023-00191-9","http://dx.doi.org/10.1007/s41918-023-00191-9")</f>
        <v>http://dx.doi.org/10.1007/s41918-023-00191-9</v>
      </c>
      <c r="BG279" t="s">
        <v>74</v>
      </c>
      <c r="BH279" t="s">
        <v>74</v>
      </c>
      <c r="BI279" t="s">
        <v>74</v>
      </c>
      <c r="BJ279" t="s">
        <v>74</v>
      </c>
      <c r="BK279" t="s">
        <v>74</v>
      </c>
      <c r="BL279" t="s">
        <v>74</v>
      </c>
      <c r="BM279" t="s">
        <v>74</v>
      </c>
      <c r="BN279" t="s">
        <v>74</v>
      </c>
      <c r="BO279" t="s">
        <v>74</v>
      </c>
      <c r="BP279" t="s">
        <v>74</v>
      </c>
      <c r="BQ279" t="s">
        <v>74</v>
      </c>
      <c r="BR279" t="s">
        <v>74</v>
      </c>
      <c r="BS279" t="s">
        <v>2564</v>
      </c>
      <c r="BT279" t="str">
        <f>HYPERLINK("https%3A%2F%2Fwww.webofscience.com%2Fwos%2Fwoscc%2Ffull-record%2FWOS:001057588700001","View Full Record in Web of Science")</f>
        <v>View Full Record in Web of Science</v>
      </c>
    </row>
    <row r="280" spans="1:72" x14ac:dyDescent="0.2">
      <c r="A280" t="s">
        <v>72</v>
      </c>
      <c r="B280" t="s">
        <v>2565</v>
      </c>
      <c r="C280" t="s">
        <v>74</v>
      </c>
      <c r="D280" t="s">
        <v>74</v>
      </c>
      <c r="E280" t="s">
        <v>74</v>
      </c>
      <c r="F280" t="s">
        <v>2566</v>
      </c>
      <c r="G280" t="s">
        <v>74</v>
      </c>
      <c r="H280" t="s">
        <v>74</v>
      </c>
      <c r="I280" t="s">
        <v>2567</v>
      </c>
      <c r="J280" t="s">
        <v>624</v>
      </c>
      <c r="K280" t="s">
        <v>74</v>
      </c>
      <c r="L280" t="s">
        <v>74</v>
      </c>
      <c r="M280" t="s">
        <v>74</v>
      </c>
      <c r="N280" t="s">
        <v>74</v>
      </c>
      <c r="O280" t="s">
        <v>74</v>
      </c>
      <c r="P280" t="s">
        <v>74</v>
      </c>
      <c r="Q280" t="s">
        <v>74</v>
      </c>
      <c r="R280" t="s">
        <v>74</v>
      </c>
      <c r="S280" t="s">
        <v>74</v>
      </c>
      <c r="T280" t="s">
        <v>74</v>
      </c>
      <c r="U280" t="s">
        <v>74</v>
      </c>
      <c r="V280" t="s">
        <v>2568</v>
      </c>
      <c r="W280" t="s">
        <v>74</v>
      </c>
      <c r="X280" t="s">
        <v>74</v>
      </c>
      <c r="Y280" t="s">
        <v>74</v>
      </c>
      <c r="Z280" t="s">
        <v>74</v>
      </c>
      <c r="AA280" t="s">
        <v>2569</v>
      </c>
      <c r="AB280" t="s">
        <v>2570</v>
      </c>
      <c r="AC280" t="s">
        <v>74</v>
      </c>
      <c r="AD280" t="s">
        <v>74</v>
      </c>
      <c r="AE280" t="s">
        <v>74</v>
      </c>
      <c r="AF280" t="s">
        <v>74</v>
      </c>
      <c r="AG280" t="s">
        <v>74</v>
      </c>
      <c r="AH280" t="s">
        <v>74</v>
      </c>
      <c r="AI280" t="s">
        <v>74</v>
      </c>
      <c r="AJ280" t="s">
        <v>74</v>
      </c>
      <c r="AK280" t="s">
        <v>74</v>
      </c>
      <c r="AL280" t="s">
        <v>74</v>
      </c>
      <c r="AM280" t="s">
        <v>74</v>
      </c>
      <c r="AN280" t="s">
        <v>74</v>
      </c>
      <c r="AO280" t="s">
        <v>627</v>
      </c>
      <c r="AP280" t="s">
        <v>628</v>
      </c>
      <c r="AQ280" t="s">
        <v>74</v>
      </c>
      <c r="AR280" t="s">
        <v>74</v>
      </c>
      <c r="AS280" t="s">
        <v>74</v>
      </c>
      <c r="AT280" t="s">
        <v>2571</v>
      </c>
      <c r="AU280">
        <v>2023</v>
      </c>
      <c r="AV280">
        <v>117</v>
      </c>
      <c r="AW280" t="s">
        <v>74</v>
      </c>
      <c r="AX280" t="s">
        <v>74</v>
      </c>
      <c r="AY280" t="s">
        <v>74</v>
      </c>
      <c r="AZ280" t="s">
        <v>74</v>
      </c>
      <c r="BA280" t="s">
        <v>74</v>
      </c>
      <c r="BB280" t="s">
        <v>74</v>
      </c>
      <c r="BC280" t="s">
        <v>74</v>
      </c>
      <c r="BD280">
        <v>108892</v>
      </c>
      <c r="BE280" t="s">
        <v>2572</v>
      </c>
      <c r="BF280" t="str">
        <f>HYPERLINK("http://dx.doi.org/10.1016/j.nanoen.2023.108892","http://dx.doi.org/10.1016/j.nanoen.2023.108892")</f>
        <v>http://dx.doi.org/10.1016/j.nanoen.2023.108892</v>
      </c>
      <c r="BG280" t="s">
        <v>74</v>
      </c>
      <c r="BH280" t="s">
        <v>74</v>
      </c>
      <c r="BI280" t="s">
        <v>74</v>
      </c>
      <c r="BJ280" t="s">
        <v>74</v>
      </c>
      <c r="BK280" t="s">
        <v>74</v>
      </c>
      <c r="BL280" t="s">
        <v>74</v>
      </c>
      <c r="BM280" t="s">
        <v>74</v>
      </c>
      <c r="BN280" t="s">
        <v>74</v>
      </c>
      <c r="BO280" t="s">
        <v>74</v>
      </c>
      <c r="BP280" t="s">
        <v>74</v>
      </c>
      <c r="BQ280" t="s">
        <v>74</v>
      </c>
      <c r="BR280" t="s">
        <v>74</v>
      </c>
      <c r="BS280" t="s">
        <v>2573</v>
      </c>
      <c r="BT280" t="str">
        <f>HYPERLINK("https%3A%2F%2Fwww.webofscience.com%2Fwos%2Fwoscc%2Ffull-record%2FWOS:001165573600001","View Full Record in Web of Science")</f>
        <v>View Full Record in Web of Science</v>
      </c>
    </row>
    <row r="281" spans="1:72" x14ac:dyDescent="0.2">
      <c r="A281" t="s">
        <v>72</v>
      </c>
      <c r="B281" t="s">
        <v>2574</v>
      </c>
      <c r="C281" t="s">
        <v>74</v>
      </c>
      <c r="D281" t="s">
        <v>74</v>
      </c>
      <c r="E281" t="s">
        <v>74</v>
      </c>
      <c r="F281" t="s">
        <v>2575</v>
      </c>
      <c r="G281" t="s">
        <v>74</v>
      </c>
      <c r="H281" t="s">
        <v>74</v>
      </c>
      <c r="I281" t="s">
        <v>2576</v>
      </c>
      <c r="J281" t="s">
        <v>289</v>
      </c>
      <c r="K281" t="s">
        <v>74</v>
      </c>
      <c r="L281" t="s">
        <v>74</v>
      </c>
      <c r="M281" t="s">
        <v>74</v>
      </c>
      <c r="N281" t="s">
        <v>74</v>
      </c>
      <c r="O281" t="s">
        <v>74</v>
      </c>
      <c r="P281" t="s">
        <v>74</v>
      </c>
      <c r="Q281" t="s">
        <v>74</v>
      </c>
      <c r="R281" t="s">
        <v>74</v>
      </c>
      <c r="S281" t="s">
        <v>74</v>
      </c>
      <c r="T281" t="s">
        <v>74</v>
      </c>
      <c r="U281" t="s">
        <v>74</v>
      </c>
      <c r="V281" t="s">
        <v>2577</v>
      </c>
      <c r="W281" t="s">
        <v>74</v>
      </c>
      <c r="X281" t="s">
        <v>74</v>
      </c>
      <c r="Y281" t="s">
        <v>74</v>
      </c>
      <c r="Z281" t="s">
        <v>74</v>
      </c>
      <c r="AA281" t="s">
        <v>2578</v>
      </c>
      <c r="AB281" t="s">
        <v>74</v>
      </c>
      <c r="AC281" t="s">
        <v>74</v>
      </c>
      <c r="AD281" t="s">
        <v>74</v>
      </c>
      <c r="AE281" t="s">
        <v>74</v>
      </c>
      <c r="AF281" t="s">
        <v>74</v>
      </c>
      <c r="AG281" t="s">
        <v>74</v>
      </c>
      <c r="AH281" t="s">
        <v>74</v>
      </c>
      <c r="AI281" t="s">
        <v>74</v>
      </c>
      <c r="AJ281" t="s">
        <v>74</v>
      </c>
      <c r="AK281" t="s">
        <v>74</v>
      </c>
      <c r="AL281" t="s">
        <v>74</v>
      </c>
      <c r="AM281" t="s">
        <v>74</v>
      </c>
      <c r="AN281" t="s">
        <v>74</v>
      </c>
      <c r="AO281" t="s">
        <v>292</v>
      </c>
      <c r="AP281" t="s">
        <v>293</v>
      </c>
      <c r="AQ281" t="s">
        <v>74</v>
      </c>
      <c r="AR281" t="s">
        <v>74</v>
      </c>
      <c r="AS281" t="s">
        <v>74</v>
      </c>
      <c r="AT281" t="s">
        <v>1194</v>
      </c>
      <c r="AU281">
        <v>2024</v>
      </c>
      <c r="AV281">
        <v>36</v>
      </c>
      <c r="AW281">
        <v>2</v>
      </c>
      <c r="AX281" t="s">
        <v>74</v>
      </c>
      <c r="AY281" t="s">
        <v>74</v>
      </c>
      <c r="AZ281" t="s">
        <v>74</v>
      </c>
      <c r="BA281" t="s">
        <v>74</v>
      </c>
      <c r="BB281" t="s">
        <v>74</v>
      </c>
      <c r="BC281" t="s">
        <v>74</v>
      </c>
      <c r="BD281" t="s">
        <v>74</v>
      </c>
      <c r="BE281" t="s">
        <v>2579</v>
      </c>
      <c r="BF281" t="str">
        <f>HYPERLINK("http://dx.doi.org/10.1002/adma.202309024","http://dx.doi.org/10.1002/adma.202309024")</f>
        <v>http://dx.doi.org/10.1002/adma.202309024</v>
      </c>
      <c r="BG281" t="s">
        <v>74</v>
      </c>
      <c r="BH281" t="s">
        <v>2580</v>
      </c>
      <c r="BI281" t="s">
        <v>74</v>
      </c>
      <c r="BJ281" t="s">
        <v>74</v>
      </c>
      <c r="BK281" t="s">
        <v>74</v>
      </c>
      <c r="BL281" t="s">
        <v>74</v>
      </c>
      <c r="BM281" t="s">
        <v>74</v>
      </c>
      <c r="BN281">
        <v>37848387</v>
      </c>
      <c r="BO281" t="s">
        <v>74</v>
      </c>
      <c r="BP281" t="s">
        <v>74</v>
      </c>
      <c r="BQ281" t="s">
        <v>74</v>
      </c>
      <c r="BR281" t="s">
        <v>74</v>
      </c>
      <c r="BS281" t="s">
        <v>2581</v>
      </c>
      <c r="BT281" t="str">
        <f>HYPERLINK("https%3A%2F%2Fwww.webofscience.com%2Fwos%2Fwoscc%2Ffull-record%2FWOS:001110360200001","View Full Record in Web of Science")</f>
        <v>View Full Record in Web of Science</v>
      </c>
    </row>
    <row r="282" spans="1:72" x14ac:dyDescent="0.2">
      <c r="A282" t="s">
        <v>72</v>
      </c>
      <c r="B282" t="s">
        <v>2582</v>
      </c>
      <c r="C282" t="s">
        <v>74</v>
      </c>
      <c r="D282" t="s">
        <v>74</v>
      </c>
      <c r="E282" t="s">
        <v>74</v>
      </c>
      <c r="F282" t="s">
        <v>2583</v>
      </c>
      <c r="G282" t="s">
        <v>74</v>
      </c>
      <c r="H282" t="s">
        <v>74</v>
      </c>
      <c r="I282" t="s">
        <v>2584</v>
      </c>
      <c r="J282" t="s">
        <v>151</v>
      </c>
      <c r="K282" t="s">
        <v>74</v>
      </c>
      <c r="L282" t="s">
        <v>74</v>
      </c>
      <c r="M282" t="s">
        <v>74</v>
      </c>
      <c r="N282" t="s">
        <v>74</v>
      </c>
      <c r="O282" t="s">
        <v>74</v>
      </c>
      <c r="P282" t="s">
        <v>74</v>
      </c>
      <c r="Q282" t="s">
        <v>74</v>
      </c>
      <c r="R282" t="s">
        <v>74</v>
      </c>
      <c r="S282" t="s">
        <v>74</v>
      </c>
      <c r="T282" t="s">
        <v>74</v>
      </c>
      <c r="U282" t="s">
        <v>74</v>
      </c>
      <c r="V282" t="s">
        <v>2585</v>
      </c>
      <c r="W282" t="s">
        <v>74</v>
      </c>
      <c r="X282" t="s">
        <v>74</v>
      </c>
      <c r="Y282" t="s">
        <v>74</v>
      </c>
      <c r="Z282" t="s">
        <v>74</v>
      </c>
      <c r="AA282" t="s">
        <v>2586</v>
      </c>
      <c r="AB282" t="s">
        <v>74</v>
      </c>
      <c r="AC282" t="s">
        <v>74</v>
      </c>
      <c r="AD282" t="s">
        <v>74</v>
      </c>
      <c r="AE282" t="s">
        <v>74</v>
      </c>
      <c r="AF282" t="s">
        <v>74</v>
      </c>
      <c r="AG282" t="s">
        <v>74</v>
      </c>
      <c r="AH282" t="s">
        <v>74</v>
      </c>
      <c r="AI282" t="s">
        <v>74</v>
      </c>
      <c r="AJ282" t="s">
        <v>74</v>
      </c>
      <c r="AK282" t="s">
        <v>74</v>
      </c>
      <c r="AL282" t="s">
        <v>74</v>
      </c>
      <c r="AM282" t="s">
        <v>74</v>
      </c>
      <c r="AN282" t="s">
        <v>74</v>
      </c>
      <c r="AO282" t="s">
        <v>153</v>
      </c>
      <c r="AP282" t="s">
        <v>154</v>
      </c>
      <c r="AQ282" t="s">
        <v>74</v>
      </c>
      <c r="AR282" t="s">
        <v>74</v>
      </c>
      <c r="AS282" t="s">
        <v>74</v>
      </c>
      <c r="AT282" t="s">
        <v>1194</v>
      </c>
      <c r="AU282">
        <v>2024</v>
      </c>
      <c r="AV282">
        <v>64</v>
      </c>
      <c r="AW282" t="s">
        <v>74</v>
      </c>
      <c r="AX282" t="s">
        <v>74</v>
      </c>
      <c r="AY282" t="s">
        <v>74</v>
      </c>
      <c r="AZ282" t="s">
        <v>74</v>
      </c>
      <c r="BA282" t="s">
        <v>74</v>
      </c>
      <c r="BB282" t="s">
        <v>74</v>
      </c>
      <c r="BC282" t="s">
        <v>74</v>
      </c>
      <c r="BD282">
        <v>103073</v>
      </c>
      <c r="BE282" t="s">
        <v>2587</v>
      </c>
      <c r="BF282" t="str">
        <f>HYPERLINK("http://dx.doi.org/10.1016/j.ensm.2023.103073","http://dx.doi.org/10.1016/j.ensm.2023.103073")</f>
        <v>http://dx.doi.org/10.1016/j.ensm.2023.103073</v>
      </c>
      <c r="BG282" t="s">
        <v>74</v>
      </c>
      <c r="BH282" t="s">
        <v>2580</v>
      </c>
      <c r="BI282" t="s">
        <v>74</v>
      </c>
      <c r="BJ282" t="s">
        <v>74</v>
      </c>
      <c r="BK282" t="s">
        <v>74</v>
      </c>
      <c r="BL282" t="s">
        <v>74</v>
      </c>
      <c r="BM282" t="s">
        <v>74</v>
      </c>
      <c r="BN282" t="s">
        <v>74</v>
      </c>
      <c r="BO282" t="s">
        <v>74</v>
      </c>
      <c r="BP282" t="s">
        <v>74</v>
      </c>
      <c r="BQ282" t="s">
        <v>74</v>
      </c>
      <c r="BR282" t="s">
        <v>74</v>
      </c>
      <c r="BS282" t="s">
        <v>2588</v>
      </c>
      <c r="BT282" t="str">
        <f>HYPERLINK("https%3A%2F%2Fwww.webofscience.com%2Fwos%2Fwoscc%2Ffull-record%2FWOS:001126131900001","View Full Record in Web of Science")</f>
        <v>View Full Record in Web of Science</v>
      </c>
    </row>
    <row r="283" spans="1:72" x14ac:dyDescent="0.2">
      <c r="A283" t="s">
        <v>72</v>
      </c>
      <c r="B283" t="s">
        <v>2589</v>
      </c>
      <c r="C283" t="s">
        <v>74</v>
      </c>
      <c r="D283" t="s">
        <v>74</v>
      </c>
      <c r="E283" t="s">
        <v>74</v>
      </c>
      <c r="F283" t="s">
        <v>2590</v>
      </c>
      <c r="G283" t="s">
        <v>74</v>
      </c>
      <c r="H283" t="s">
        <v>74</v>
      </c>
      <c r="I283" t="s">
        <v>2591</v>
      </c>
      <c r="J283" t="s">
        <v>289</v>
      </c>
      <c r="K283" t="s">
        <v>74</v>
      </c>
      <c r="L283" t="s">
        <v>74</v>
      </c>
      <c r="M283" t="s">
        <v>74</v>
      </c>
      <c r="N283" t="s">
        <v>74</v>
      </c>
      <c r="O283" t="s">
        <v>74</v>
      </c>
      <c r="P283" t="s">
        <v>74</v>
      </c>
      <c r="Q283" t="s">
        <v>74</v>
      </c>
      <c r="R283" t="s">
        <v>74</v>
      </c>
      <c r="S283" t="s">
        <v>74</v>
      </c>
      <c r="T283" t="s">
        <v>74</v>
      </c>
      <c r="U283" t="s">
        <v>74</v>
      </c>
      <c r="V283" t="s">
        <v>2592</v>
      </c>
      <c r="W283" t="s">
        <v>74</v>
      </c>
      <c r="X283" t="s">
        <v>74</v>
      </c>
      <c r="Y283" t="s">
        <v>74</v>
      </c>
      <c r="Z283" t="s">
        <v>74</v>
      </c>
      <c r="AA283" t="s">
        <v>2593</v>
      </c>
      <c r="AB283" t="s">
        <v>2594</v>
      </c>
      <c r="AC283" t="s">
        <v>74</v>
      </c>
      <c r="AD283" t="s">
        <v>74</v>
      </c>
      <c r="AE283" t="s">
        <v>74</v>
      </c>
      <c r="AF283" t="s">
        <v>74</v>
      </c>
      <c r="AG283" t="s">
        <v>74</v>
      </c>
      <c r="AH283" t="s">
        <v>74</v>
      </c>
      <c r="AI283" t="s">
        <v>74</v>
      </c>
      <c r="AJ283" t="s">
        <v>74</v>
      </c>
      <c r="AK283" t="s">
        <v>74</v>
      </c>
      <c r="AL283" t="s">
        <v>74</v>
      </c>
      <c r="AM283" t="s">
        <v>74</v>
      </c>
      <c r="AN283" t="s">
        <v>74</v>
      </c>
      <c r="AO283" t="s">
        <v>292</v>
      </c>
      <c r="AP283" t="s">
        <v>293</v>
      </c>
      <c r="AQ283" t="s">
        <v>74</v>
      </c>
      <c r="AR283" t="s">
        <v>74</v>
      </c>
      <c r="AS283" t="s">
        <v>74</v>
      </c>
      <c r="AT283" t="s">
        <v>1194</v>
      </c>
      <c r="AU283">
        <v>2024</v>
      </c>
      <c r="AV283">
        <v>36</v>
      </c>
      <c r="AW283">
        <v>1</v>
      </c>
      <c r="AX283" t="s">
        <v>74</v>
      </c>
      <c r="AY283" t="s">
        <v>74</v>
      </c>
      <c r="AZ283" t="s">
        <v>74</v>
      </c>
      <c r="BA283" t="s">
        <v>74</v>
      </c>
      <c r="BB283" t="s">
        <v>74</v>
      </c>
      <c r="BC283" t="s">
        <v>74</v>
      </c>
      <c r="BD283" t="s">
        <v>74</v>
      </c>
      <c r="BE283" t="s">
        <v>2595</v>
      </c>
      <c r="BF283" t="str">
        <f>HYPERLINK("http://dx.doi.org/10.1002/adma.202307220","http://dx.doi.org/10.1002/adma.202307220")</f>
        <v>http://dx.doi.org/10.1002/adma.202307220</v>
      </c>
      <c r="BG283" t="s">
        <v>74</v>
      </c>
      <c r="BH283" t="s">
        <v>2580</v>
      </c>
      <c r="BI283" t="s">
        <v>74</v>
      </c>
      <c r="BJ283" t="s">
        <v>74</v>
      </c>
      <c r="BK283" t="s">
        <v>74</v>
      </c>
      <c r="BL283" t="s">
        <v>74</v>
      </c>
      <c r="BM283" t="s">
        <v>74</v>
      </c>
      <c r="BN283">
        <v>37742095</v>
      </c>
      <c r="BO283" t="s">
        <v>74</v>
      </c>
      <c r="BP283" t="s">
        <v>74</v>
      </c>
      <c r="BQ283" t="s">
        <v>74</v>
      </c>
      <c r="BR283" t="s">
        <v>74</v>
      </c>
      <c r="BS283" t="s">
        <v>2596</v>
      </c>
      <c r="BT283" t="str">
        <f>HYPERLINK("https%3A%2F%2Fwww.webofscience.com%2Fwos%2Fwoscc%2Ffull-record%2FWOS:001107205500001","View Full Record in Web of Science")</f>
        <v>View Full Record in Web of Science</v>
      </c>
    </row>
    <row r="284" spans="1:72" x14ac:dyDescent="0.2">
      <c r="A284" t="s">
        <v>72</v>
      </c>
      <c r="B284" t="s">
        <v>2597</v>
      </c>
      <c r="C284" t="s">
        <v>74</v>
      </c>
      <c r="D284" t="s">
        <v>74</v>
      </c>
      <c r="E284" t="s">
        <v>74</v>
      </c>
      <c r="F284" t="s">
        <v>2598</v>
      </c>
      <c r="G284" t="s">
        <v>74</v>
      </c>
      <c r="H284" t="s">
        <v>74</v>
      </c>
      <c r="I284" t="s">
        <v>2599</v>
      </c>
      <c r="J284" t="s">
        <v>411</v>
      </c>
      <c r="K284" t="s">
        <v>74</v>
      </c>
      <c r="L284" t="s">
        <v>74</v>
      </c>
      <c r="M284" t="s">
        <v>74</v>
      </c>
      <c r="N284" t="s">
        <v>74</v>
      </c>
      <c r="O284" t="s">
        <v>74</v>
      </c>
      <c r="P284" t="s">
        <v>74</v>
      </c>
      <c r="Q284" t="s">
        <v>74</v>
      </c>
      <c r="R284" t="s">
        <v>74</v>
      </c>
      <c r="S284" t="s">
        <v>74</v>
      </c>
      <c r="T284" t="s">
        <v>74</v>
      </c>
      <c r="U284" t="s">
        <v>74</v>
      </c>
      <c r="V284" t="s">
        <v>2600</v>
      </c>
      <c r="W284" t="s">
        <v>74</v>
      </c>
      <c r="X284" t="s">
        <v>74</v>
      </c>
      <c r="Y284" t="s">
        <v>74</v>
      </c>
      <c r="Z284" t="s">
        <v>74</v>
      </c>
      <c r="AA284" t="s">
        <v>2601</v>
      </c>
      <c r="AB284" t="s">
        <v>2602</v>
      </c>
      <c r="AC284" t="s">
        <v>74</v>
      </c>
      <c r="AD284" t="s">
        <v>74</v>
      </c>
      <c r="AE284" t="s">
        <v>74</v>
      </c>
      <c r="AF284" t="s">
        <v>74</v>
      </c>
      <c r="AG284" t="s">
        <v>74</v>
      </c>
      <c r="AH284" t="s">
        <v>74</v>
      </c>
      <c r="AI284" t="s">
        <v>74</v>
      </c>
      <c r="AJ284" t="s">
        <v>74</v>
      </c>
      <c r="AK284" t="s">
        <v>74</v>
      </c>
      <c r="AL284" t="s">
        <v>74</v>
      </c>
      <c r="AM284" t="s">
        <v>74</v>
      </c>
      <c r="AN284" t="s">
        <v>74</v>
      </c>
      <c r="AO284" t="s">
        <v>414</v>
      </c>
      <c r="AP284" t="s">
        <v>415</v>
      </c>
      <c r="AQ284" t="s">
        <v>74</v>
      </c>
      <c r="AR284" t="s">
        <v>74</v>
      </c>
      <c r="AS284" t="s">
        <v>74</v>
      </c>
      <c r="AT284" t="s">
        <v>670</v>
      </c>
      <c r="AU284">
        <v>2024</v>
      </c>
      <c r="AV284">
        <v>20</v>
      </c>
      <c r="AW284">
        <v>14</v>
      </c>
      <c r="AX284" t="s">
        <v>74</v>
      </c>
      <c r="AY284" t="s">
        <v>74</v>
      </c>
      <c r="AZ284" t="s">
        <v>74</v>
      </c>
      <c r="BA284" t="s">
        <v>74</v>
      </c>
      <c r="BB284" t="s">
        <v>74</v>
      </c>
      <c r="BC284" t="s">
        <v>74</v>
      </c>
      <c r="BD284" t="s">
        <v>74</v>
      </c>
      <c r="BE284" t="s">
        <v>2603</v>
      </c>
      <c r="BF284" t="str">
        <f>HYPERLINK("http://dx.doi.org/10.1002/smll.202307116","http://dx.doi.org/10.1002/smll.202307116")</f>
        <v>http://dx.doi.org/10.1002/smll.202307116</v>
      </c>
      <c r="BG284" t="s">
        <v>74</v>
      </c>
      <c r="BH284" t="s">
        <v>2580</v>
      </c>
      <c r="BI284" t="s">
        <v>74</v>
      </c>
      <c r="BJ284" t="s">
        <v>74</v>
      </c>
      <c r="BK284" t="s">
        <v>74</v>
      </c>
      <c r="BL284" t="s">
        <v>74</v>
      </c>
      <c r="BM284" t="s">
        <v>74</v>
      </c>
      <c r="BN284">
        <v>37988688</v>
      </c>
      <c r="BO284" t="s">
        <v>74</v>
      </c>
      <c r="BP284" t="s">
        <v>74</v>
      </c>
      <c r="BQ284" t="s">
        <v>74</v>
      </c>
      <c r="BR284" t="s">
        <v>74</v>
      </c>
      <c r="BS284" t="s">
        <v>2604</v>
      </c>
      <c r="BT284" t="str">
        <f>HYPERLINK("https%3A%2F%2Fwww.webofscience.com%2Fwos%2Fwoscc%2Ffull-record%2FWOS:001105618700001","View Full Record in Web of Science")</f>
        <v>View Full Record in Web of Science</v>
      </c>
    </row>
    <row r="285" spans="1:72" x14ac:dyDescent="0.2">
      <c r="A285" t="s">
        <v>72</v>
      </c>
      <c r="B285" t="s">
        <v>2605</v>
      </c>
      <c r="C285" t="s">
        <v>74</v>
      </c>
      <c r="D285" t="s">
        <v>74</v>
      </c>
      <c r="E285" t="s">
        <v>74</v>
      </c>
      <c r="F285" t="s">
        <v>2606</v>
      </c>
      <c r="G285" t="s">
        <v>74</v>
      </c>
      <c r="H285" t="s">
        <v>74</v>
      </c>
      <c r="I285" t="s">
        <v>2607</v>
      </c>
      <c r="J285" t="s">
        <v>267</v>
      </c>
      <c r="K285" t="s">
        <v>74</v>
      </c>
      <c r="L285" t="s">
        <v>74</v>
      </c>
      <c r="M285" t="s">
        <v>74</v>
      </c>
      <c r="N285" t="s">
        <v>74</v>
      </c>
      <c r="O285" t="s">
        <v>74</v>
      </c>
      <c r="P285" t="s">
        <v>74</v>
      </c>
      <c r="Q285" t="s">
        <v>74</v>
      </c>
      <c r="R285" t="s">
        <v>74</v>
      </c>
      <c r="S285" t="s">
        <v>74</v>
      </c>
      <c r="T285" t="s">
        <v>74</v>
      </c>
      <c r="U285" t="s">
        <v>74</v>
      </c>
      <c r="V285" t="s">
        <v>2608</v>
      </c>
      <c r="W285" t="s">
        <v>74</v>
      </c>
      <c r="X285" t="s">
        <v>74</v>
      </c>
      <c r="Y285" t="s">
        <v>74</v>
      </c>
      <c r="Z285" t="s">
        <v>74</v>
      </c>
      <c r="AA285" t="s">
        <v>2609</v>
      </c>
      <c r="AB285" t="s">
        <v>2610</v>
      </c>
      <c r="AC285" t="s">
        <v>74</v>
      </c>
      <c r="AD285" t="s">
        <v>74</v>
      </c>
      <c r="AE285" t="s">
        <v>74</v>
      </c>
      <c r="AF285" t="s">
        <v>74</v>
      </c>
      <c r="AG285" t="s">
        <v>74</v>
      </c>
      <c r="AH285" t="s">
        <v>74</v>
      </c>
      <c r="AI285" t="s">
        <v>74</v>
      </c>
      <c r="AJ285" t="s">
        <v>74</v>
      </c>
      <c r="AK285" t="s">
        <v>74</v>
      </c>
      <c r="AL285" t="s">
        <v>74</v>
      </c>
      <c r="AM285" t="s">
        <v>74</v>
      </c>
      <c r="AN285" t="s">
        <v>74</v>
      </c>
      <c r="AO285" t="s">
        <v>270</v>
      </c>
      <c r="AP285" t="s">
        <v>271</v>
      </c>
      <c r="AQ285" t="s">
        <v>74</v>
      </c>
      <c r="AR285" t="s">
        <v>74</v>
      </c>
      <c r="AS285" t="s">
        <v>74</v>
      </c>
      <c r="AT285" t="s">
        <v>1026</v>
      </c>
      <c r="AU285">
        <v>2024</v>
      </c>
      <c r="AV285">
        <v>34</v>
      </c>
      <c r="AW285">
        <v>8</v>
      </c>
      <c r="AX285" t="s">
        <v>74</v>
      </c>
      <c r="AY285" t="s">
        <v>74</v>
      </c>
      <c r="AZ285" t="s">
        <v>74</v>
      </c>
      <c r="BA285" t="s">
        <v>74</v>
      </c>
      <c r="BB285" t="s">
        <v>74</v>
      </c>
      <c r="BC285" t="s">
        <v>74</v>
      </c>
      <c r="BD285" t="s">
        <v>74</v>
      </c>
      <c r="BE285" t="s">
        <v>2611</v>
      </c>
      <c r="BF285" t="str">
        <f>HYPERLINK("http://dx.doi.org/10.1002/adfm.202308617","http://dx.doi.org/10.1002/adfm.202308617")</f>
        <v>http://dx.doi.org/10.1002/adfm.202308617</v>
      </c>
      <c r="BG285" t="s">
        <v>74</v>
      </c>
      <c r="BH285" t="s">
        <v>2580</v>
      </c>
      <c r="BI285" t="s">
        <v>74</v>
      </c>
      <c r="BJ285" t="s">
        <v>74</v>
      </c>
      <c r="BK285" t="s">
        <v>74</v>
      </c>
      <c r="BL285" t="s">
        <v>74</v>
      </c>
      <c r="BM285" t="s">
        <v>74</v>
      </c>
      <c r="BN285" t="s">
        <v>74</v>
      </c>
      <c r="BO285" t="s">
        <v>74</v>
      </c>
      <c r="BP285" t="s">
        <v>74</v>
      </c>
      <c r="BQ285" t="s">
        <v>74</v>
      </c>
      <c r="BR285" t="s">
        <v>74</v>
      </c>
      <c r="BS285" t="s">
        <v>2612</v>
      </c>
      <c r="BT285" t="str">
        <f>HYPERLINK("https%3A%2F%2Fwww.webofscience.com%2Fwos%2Fwoscc%2Ffull-record%2FWOS:001107504800001","View Full Record in Web of Science")</f>
        <v>View Full Record in Web of Science</v>
      </c>
    </row>
    <row r="286" spans="1:72" x14ac:dyDescent="0.2">
      <c r="A286" t="s">
        <v>72</v>
      </c>
      <c r="B286" t="s">
        <v>2613</v>
      </c>
      <c r="C286" t="s">
        <v>74</v>
      </c>
      <c r="D286" t="s">
        <v>74</v>
      </c>
      <c r="E286" t="s">
        <v>74</v>
      </c>
      <c r="F286" t="s">
        <v>2614</v>
      </c>
      <c r="G286" t="s">
        <v>74</v>
      </c>
      <c r="H286" t="s">
        <v>74</v>
      </c>
      <c r="I286" t="s">
        <v>2615</v>
      </c>
      <c r="J286" t="s">
        <v>140</v>
      </c>
      <c r="K286" t="s">
        <v>74</v>
      </c>
      <c r="L286" t="s">
        <v>74</v>
      </c>
      <c r="M286" t="s">
        <v>74</v>
      </c>
      <c r="N286" t="s">
        <v>74</v>
      </c>
      <c r="O286" t="s">
        <v>74</v>
      </c>
      <c r="P286" t="s">
        <v>74</v>
      </c>
      <c r="Q286" t="s">
        <v>74</v>
      </c>
      <c r="R286" t="s">
        <v>74</v>
      </c>
      <c r="S286" t="s">
        <v>74</v>
      </c>
      <c r="T286" t="s">
        <v>74</v>
      </c>
      <c r="U286" t="s">
        <v>74</v>
      </c>
      <c r="V286" t="s">
        <v>2616</v>
      </c>
      <c r="W286" t="s">
        <v>74</v>
      </c>
      <c r="X286" t="s">
        <v>74</v>
      </c>
      <c r="Y286" t="s">
        <v>74</v>
      </c>
      <c r="Z286" t="s">
        <v>74</v>
      </c>
      <c r="AA286" t="s">
        <v>2617</v>
      </c>
      <c r="AB286" t="s">
        <v>2618</v>
      </c>
      <c r="AC286" t="s">
        <v>74</v>
      </c>
      <c r="AD286" t="s">
        <v>74</v>
      </c>
      <c r="AE286" t="s">
        <v>74</v>
      </c>
      <c r="AF286" t="s">
        <v>74</v>
      </c>
      <c r="AG286" t="s">
        <v>74</v>
      </c>
      <c r="AH286" t="s">
        <v>74</v>
      </c>
      <c r="AI286" t="s">
        <v>74</v>
      </c>
      <c r="AJ286" t="s">
        <v>74</v>
      </c>
      <c r="AK286" t="s">
        <v>74</v>
      </c>
      <c r="AL286" t="s">
        <v>74</v>
      </c>
      <c r="AM286" t="s">
        <v>74</v>
      </c>
      <c r="AN286" t="s">
        <v>74</v>
      </c>
      <c r="AO286" t="s">
        <v>142</v>
      </c>
      <c r="AP286" t="s">
        <v>143</v>
      </c>
      <c r="AQ286" t="s">
        <v>74</v>
      </c>
      <c r="AR286" t="s">
        <v>74</v>
      </c>
      <c r="AS286" t="s">
        <v>74</v>
      </c>
      <c r="AT286" t="s">
        <v>1420</v>
      </c>
      <c r="AU286">
        <v>2024</v>
      </c>
      <c r="AV286">
        <v>76</v>
      </c>
      <c r="AW286" t="s">
        <v>74</v>
      </c>
      <c r="AX286" t="s">
        <v>74</v>
      </c>
      <c r="AY286" t="s">
        <v>74</v>
      </c>
      <c r="AZ286" t="s">
        <v>74</v>
      </c>
      <c r="BA286" t="s">
        <v>74</v>
      </c>
      <c r="BB286" t="s">
        <v>74</v>
      </c>
      <c r="BC286" t="s">
        <v>74</v>
      </c>
      <c r="BD286">
        <v>109594</v>
      </c>
      <c r="BE286" t="s">
        <v>2619</v>
      </c>
      <c r="BF286" t="str">
        <f>HYPERLINK("http://dx.doi.org/10.1016/j.est.2023.109594","http://dx.doi.org/10.1016/j.est.2023.109594")</f>
        <v>http://dx.doi.org/10.1016/j.est.2023.109594</v>
      </c>
      <c r="BG286" t="s">
        <v>74</v>
      </c>
      <c r="BH286" t="s">
        <v>2580</v>
      </c>
      <c r="BI286" t="s">
        <v>74</v>
      </c>
      <c r="BJ286" t="s">
        <v>74</v>
      </c>
      <c r="BK286" t="s">
        <v>74</v>
      </c>
      <c r="BL286" t="s">
        <v>74</v>
      </c>
      <c r="BM286" t="s">
        <v>74</v>
      </c>
      <c r="BN286" t="s">
        <v>74</v>
      </c>
      <c r="BO286" t="s">
        <v>74</v>
      </c>
      <c r="BP286" t="s">
        <v>74</v>
      </c>
      <c r="BQ286" t="s">
        <v>74</v>
      </c>
      <c r="BR286" t="s">
        <v>74</v>
      </c>
      <c r="BS286" t="s">
        <v>2620</v>
      </c>
      <c r="BT286" t="str">
        <f>HYPERLINK("https%3A%2F%2Fwww.webofscience.com%2Fwos%2Fwoscc%2Ffull-record%2FWOS:001147607500001","View Full Record in Web of Science")</f>
        <v>View Full Record in Web of Science</v>
      </c>
    </row>
    <row r="287" spans="1:72" x14ac:dyDescent="0.2">
      <c r="A287" t="s">
        <v>72</v>
      </c>
      <c r="B287" t="s">
        <v>2621</v>
      </c>
      <c r="C287" t="s">
        <v>74</v>
      </c>
      <c r="D287" t="s">
        <v>74</v>
      </c>
      <c r="E287" t="s">
        <v>74</v>
      </c>
      <c r="F287" t="s">
        <v>2622</v>
      </c>
      <c r="G287" t="s">
        <v>74</v>
      </c>
      <c r="H287" t="s">
        <v>74</v>
      </c>
      <c r="I287" t="s">
        <v>2623</v>
      </c>
      <c r="J287" t="s">
        <v>140</v>
      </c>
      <c r="K287" t="s">
        <v>74</v>
      </c>
      <c r="L287" t="s">
        <v>74</v>
      </c>
      <c r="M287" t="s">
        <v>74</v>
      </c>
      <c r="N287" t="s">
        <v>74</v>
      </c>
      <c r="O287" t="s">
        <v>74</v>
      </c>
      <c r="P287" t="s">
        <v>74</v>
      </c>
      <c r="Q287" t="s">
        <v>74</v>
      </c>
      <c r="R287" t="s">
        <v>74</v>
      </c>
      <c r="S287" t="s">
        <v>74</v>
      </c>
      <c r="T287" t="s">
        <v>74</v>
      </c>
      <c r="U287" t="s">
        <v>74</v>
      </c>
      <c r="V287" t="s">
        <v>2624</v>
      </c>
      <c r="W287" t="s">
        <v>74</v>
      </c>
      <c r="X287" t="s">
        <v>74</v>
      </c>
      <c r="Y287" t="s">
        <v>74</v>
      </c>
      <c r="Z287" t="s">
        <v>74</v>
      </c>
      <c r="AA287" t="s">
        <v>2625</v>
      </c>
      <c r="AB287" t="s">
        <v>2626</v>
      </c>
      <c r="AC287" t="s">
        <v>74</v>
      </c>
      <c r="AD287" t="s">
        <v>74</v>
      </c>
      <c r="AE287" t="s">
        <v>74</v>
      </c>
      <c r="AF287" t="s">
        <v>74</v>
      </c>
      <c r="AG287" t="s">
        <v>74</v>
      </c>
      <c r="AH287" t="s">
        <v>74</v>
      </c>
      <c r="AI287" t="s">
        <v>74</v>
      </c>
      <c r="AJ287" t="s">
        <v>74</v>
      </c>
      <c r="AK287" t="s">
        <v>74</v>
      </c>
      <c r="AL287" t="s">
        <v>74</v>
      </c>
      <c r="AM287" t="s">
        <v>74</v>
      </c>
      <c r="AN287" t="s">
        <v>74</v>
      </c>
      <c r="AO287" t="s">
        <v>142</v>
      </c>
      <c r="AP287" t="s">
        <v>143</v>
      </c>
      <c r="AQ287" t="s">
        <v>74</v>
      </c>
      <c r="AR287" t="s">
        <v>74</v>
      </c>
      <c r="AS287" t="s">
        <v>74</v>
      </c>
      <c r="AT287" t="s">
        <v>1165</v>
      </c>
      <c r="AU287">
        <v>2024</v>
      </c>
      <c r="AV287">
        <v>75</v>
      </c>
      <c r="AW287" t="s">
        <v>74</v>
      </c>
      <c r="AX287" t="s">
        <v>74</v>
      </c>
      <c r="AY287" t="s">
        <v>74</v>
      </c>
      <c r="AZ287" t="s">
        <v>74</v>
      </c>
      <c r="BA287" t="s">
        <v>74</v>
      </c>
      <c r="BB287" t="s">
        <v>74</v>
      </c>
      <c r="BC287" t="s">
        <v>74</v>
      </c>
      <c r="BD287">
        <v>109712</v>
      </c>
      <c r="BE287" t="s">
        <v>2627</v>
      </c>
      <c r="BF287" t="str">
        <f>HYPERLINK("http://dx.doi.org/10.1016/j.est.2023.109712","http://dx.doi.org/10.1016/j.est.2023.109712")</f>
        <v>http://dx.doi.org/10.1016/j.est.2023.109712</v>
      </c>
      <c r="BG287" t="s">
        <v>74</v>
      </c>
      <c r="BH287" t="s">
        <v>2580</v>
      </c>
      <c r="BI287" t="s">
        <v>74</v>
      </c>
      <c r="BJ287" t="s">
        <v>74</v>
      </c>
      <c r="BK287" t="s">
        <v>74</v>
      </c>
      <c r="BL287" t="s">
        <v>74</v>
      </c>
      <c r="BM287" t="s">
        <v>74</v>
      </c>
      <c r="BN287" t="s">
        <v>74</v>
      </c>
      <c r="BO287" t="s">
        <v>74</v>
      </c>
      <c r="BP287" t="s">
        <v>74</v>
      </c>
      <c r="BQ287" t="s">
        <v>74</v>
      </c>
      <c r="BR287" t="s">
        <v>74</v>
      </c>
      <c r="BS287" t="s">
        <v>2628</v>
      </c>
      <c r="BT287" t="str">
        <f>HYPERLINK("https%3A%2F%2Fwww.webofscience.com%2Fwos%2Fwoscc%2Ffull-record%2FWOS:001118528900001","View Full Record in Web of Science")</f>
        <v>View Full Record in Web of Science</v>
      </c>
    </row>
    <row r="288" spans="1:72" x14ac:dyDescent="0.2">
      <c r="A288" t="s">
        <v>72</v>
      </c>
      <c r="B288" t="s">
        <v>2629</v>
      </c>
      <c r="C288" t="s">
        <v>74</v>
      </c>
      <c r="D288" t="s">
        <v>74</v>
      </c>
      <c r="E288" t="s">
        <v>74</v>
      </c>
      <c r="F288" t="s">
        <v>2630</v>
      </c>
      <c r="G288" t="s">
        <v>74</v>
      </c>
      <c r="H288" t="s">
        <v>74</v>
      </c>
      <c r="I288" t="s">
        <v>2631</v>
      </c>
      <c r="J288" t="s">
        <v>2632</v>
      </c>
      <c r="K288" t="s">
        <v>74</v>
      </c>
      <c r="L288" t="s">
        <v>74</v>
      </c>
      <c r="M288" t="s">
        <v>74</v>
      </c>
      <c r="N288" t="s">
        <v>74</v>
      </c>
      <c r="O288" t="s">
        <v>74</v>
      </c>
      <c r="P288" t="s">
        <v>74</v>
      </c>
      <c r="Q288" t="s">
        <v>74</v>
      </c>
      <c r="R288" t="s">
        <v>74</v>
      </c>
      <c r="S288" t="s">
        <v>74</v>
      </c>
      <c r="T288" t="s">
        <v>74</v>
      </c>
      <c r="U288" t="s">
        <v>74</v>
      </c>
      <c r="V288" t="s">
        <v>2633</v>
      </c>
      <c r="W288" t="s">
        <v>74</v>
      </c>
      <c r="X288" t="s">
        <v>74</v>
      </c>
      <c r="Y288" t="s">
        <v>74</v>
      </c>
      <c r="Z288" t="s">
        <v>74</v>
      </c>
      <c r="AA288" t="s">
        <v>2634</v>
      </c>
      <c r="AB288" t="s">
        <v>74</v>
      </c>
      <c r="AC288" t="s">
        <v>74</v>
      </c>
      <c r="AD288" t="s">
        <v>74</v>
      </c>
      <c r="AE288" t="s">
        <v>74</v>
      </c>
      <c r="AF288" t="s">
        <v>74</v>
      </c>
      <c r="AG288" t="s">
        <v>74</v>
      </c>
      <c r="AH288" t="s">
        <v>74</v>
      </c>
      <c r="AI288" t="s">
        <v>74</v>
      </c>
      <c r="AJ288" t="s">
        <v>74</v>
      </c>
      <c r="AK288" t="s">
        <v>74</v>
      </c>
      <c r="AL288" t="s">
        <v>74</v>
      </c>
      <c r="AM288" t="s">
        <v>74</v>
      </c>
      <c r="AN288" t="s">
        <v>74</v>
      </c>
      <c r="AO288" t="s">
        <v>2635</v>
      </c>
      <c r="AP288" t="s">
        <v>2636</v>
      </c>
      <c r="AQ288" t="s">
        <v>74</v>
      </c>
      <c r="AR288" t="s">
        <v>74</v>
      </c>
      <c r="AS288" t="s">
        <v>74</v>
      </c>
      <c r="AT288" t="s">
        <v>2637</v>
      </c>
      <c r="AU288">
        <v>2024</v>
      </c>
      <c r="AV288">
        <v>11</v>
      </c>
      <c r="AW288">
        <v>2</v>
      </c>
      <c r="AX288" t="s">
        <v>74</v>
      </c>
      <c r="AY288" t="s">
        <v>74</v>
      </c>
      <c r="AZ288" t="s">
        <v>74</v>
      </c>
      <c r="BA288" t="s">
        <v>74</v>
      </c>
      <c r="BB288">
        <v>480</v>
      </c>
      <c r="BC288">
        <v>489</v>
      </c>
      <c r="BD288" t="s">
        <v>74</v>
      </c>
      <c r="BE288" t="s">
        <v>2638</v>
      </c>
      <c r="BF288" t="str">
        <f>HYPERLINK("http://dx.doi.org/10.1039/d3mh01039b","http://dx.doi.org/10.1039/d3mh01039b")</f>
        <v>http://dx.doi.org/10.1039/d3mh01039b</v>
      </c>
      <c r="BG288" t="s">
        <v>74</v>
      </c>
      <c r="BH288" t="s">
        <v>2580</v>
      </c>
      <c r="BI288" t="s">
        <v>74</v>
      </c>
      <c r="BJ288" t="s">
        <v>74</v>
      </c>
      <c r="BK288" t="s">
        <v>74</v>
      </c>
      <c r="BL288" t="s">
        <v>74</v>
      </c>
      <c r="BM288" t="s">
        <v>74</v>
      </c>
      <c r="BN288">
        <v>37965817</v>
      </c>
      <c r="BO288" t="s">
        <v>74</v>
      </c>
      <c r="BP288" t="s">
        <v>74</v>
      </c>
      <c r="BQ288" t="s">
        <v>74</v>
      </c>
      <c r="BR288" t="s">
        <v>74</v>
      </c>
      <c r="BS288" t="s">
        <v>2639</v>
      </c>
      <c r="BT288" t="str">
        <f>HYPERLINK("https%3A%2F%2Fwww.webofscience.com%2Fwos%2Fwoscc%2Ffull-record%2FWOS:001101867300001","View Full Record in Web of Science")</f>
        <v>View Full Record in Web of Science</v>
      </c>
    </row>
    <row r="289" spans="1:72" x14ac:dyDescent="0.2">
      <c r="A289" t="s">
        <v>72</v>
      </c>
      <c r="B289" t="s">
        <v>2640</v>
      </c>
      <c r="C289" t="s">
        <v>74</v>
      </c>
      <c r="D289" t="s">
        <v>74</v>
      </c>
      <c r="E289" t="s">
        <v>74</v>
      </c>
      <c r="F289" t="s">
        <v>2641</v>
      </c>
      <c r="G289" t="s">
        <v>74</v>
      </c>
      <c r="H289" t="s">
        <v>74</v>
      </c>
      <c r="I289" t="s">
        <v>2642</v>
      </c>
      <c r="J289" t="s">
        <v>352</v>
      </c>
      <c r="K289" t="s">
        <v>74</v>
      </c>
      <c r="L289" t="s">
        <v>74</v>
      </c>
      <c r="M289" t="s">
        <v>74</v>
      </c>
      <c r="N289" t="s">
        <v>74</v>
      </c>
      <c r="O289" t="s">
        <v>74</v>
      </c>
      <c r="P289" t="s">
        <v>74</v>
      </c>
      <c r="Q289" t="s">
        <v>74</v>
      </c>
      <c r="R289" t="s">
        <v>74</v>
      </c>
      <c r="S289" t="s">
        <v>74</v>
      </c>
      <c r="T289" t="s">
        <v>74</v>
      </c>
      <c r="U289" t="s">
        <v>74</v>
      </c>
      <c r="V289" t="s">
        <v>2643</v>
      </c>
      <c r="W289" t="s">
        <v>74</v>
      </c>
      <c r="X289" t="s">
        <v>74</v>
      </c>
      <c r="Y289" t="s">
        <v>74</v>
      </c>
      <c r="Z289" t="s">
        <v>74</v>
      </c>
      <c r="AA289" t="s">
        <v>2644</v>
      </c>
      <c r="AB289" t="s">
        <v>74</v>
      </c>
      <c r="AC289" t="s">
        <v>74</v>
      </c>
      <c r="AD289" t="s">
        <v>74</v>
      </c>
      <c r="AE289" t="s">
        <v>74</v>
      </c>
      <c r="AF289" t="s">
        <v>74</v>
      </c>
      <c r="AG289" t="s">
        <v>74</v>
      </c>
      <c r="AH289" t="s">
        <v>74</v>
      </c>
      <c r="AI289" t="s">
        <v>74</v>
      </c>
      <c r="AJ289" t="s">
        <v>74</v>
      </c>
      <c r="AK289" t="s">
        <v>74</v>
      </c>
      <c r="AL289" t="s">
        <v>74</v>
      </c>
      <c r="AM289" t="s">
        <v>74</v>
      </c>
      <c r="AN289" t="s">
        <v>74</v>
      </c>
      <c r="AO289" t="s">
        <v>354</v>
      </c>
      <c r="AP289" t="s">
        <v>355</v>
      </c>
      <c r="AQ289" t="s">
        <v>74</v>
      </c>
      <c r="AR289" t="s">
        <v>74</v>
      </c>
      <c r="AS289" t="s">
        <v>74</v>
      </c>
      <c r="AT289" t="s">
        <v>1318</v>
      </c>
      <c r="AU289">
        <v>2023</v>
      </c>
      <c r="AV289">
        <v>13</v>
      </c>
      <c r="AW289">
        <v>47</v>
      </c>
      <c r="AX289" t="s">
        <v>74</v>
      </c>
      <c r="AY289" t="s">
        <v>74</v>
      </c>
      <c r="AZ289" t="s">
        <v>74</v>
      </c>
      <c r="BA289" t="s">
        <v>74</v>
      </c>
      <c r="BB289" t="s">
        <v>74</v>
      </c>
      <c r="BC289" t="s">
        <v>74</v>
      </c>
      <c r="BD289" t="s">
        <v>74</v>
      </c>
      <c r="BE289" t="s">
        <v>2645</v>
      </c>
      <c r="BF289" t="str">
        <f>HYPERLINK("http://dx.doi.org/10.1002/aenm.202302825","http://dx.doi.org/10.1002/aenm.202302825")</f>
        <v>http://dx.doi.org/10.1002/aenm.202302825</v>
      </c>
      <c r="BG289" t="s">
        <v>74</v>
      </c>
      <c r="BH289" t="s">
        <v>2580</v>
      </c>
      <c r="BI289" t="s">
        <v>74</v>
      </c>
      <c r="BJ289" t="s">
        <v>74</v>
      </c>
      <c r="BK289" t="s">
        <v>74</v>
      </c>
      <c r="BL289" t="s">
        <v>74</v>
      </c>
      <c r="BM289" t="s">
        <v>74</v>
      </c>
      <c r="BN289" t="s">
        <v>74</v>
      </c>
      <c r="BO289" t="s">
        <v>74</v>
      </c>
      <c r="BP289" t="s">
        <v>74</v>
      </c>
      <c r="BQ289" t="s">
        <v>74</v>
      </c>
      <c r="BR289" t="s">
        <v>74</v>
      </c>
      <c r="BS289" t="s">
        <v>2646</v>
      </c>
      <c r="BT289" t="str">
        <f>HYPERLINK("https%3A%2F%2Fwww.webofscience.com%2Fwos%2Fwoscc%2Ffull-record%2FWOS:001097468200001","View Full Record in Web of Science")</f>
        <v>View Full Record in Web of Science</v>
      </c>
    </row>
    <row r="290" spans="1:72" x14ac:dyDescent="0.2">
      <c r="A290" t="s">
        <v>72</v>
      </c>
      <c r="B290" t="s">
        <v>2647</v>
      </c>
      <c r="C290" t="s">
        <v>74</v>
      </c>
      <c r="D290" t="s">
        <v>74</v>
      </c>
      <c r="E290" t="s">
        <v>74</v>
      </c>
      <c r="F290" t="s">
        <v>2648</v>
      </c>
      <c r="G290" t="s">
        <v>74</v>
      </c>
      <c r="H290" t="s">
        <v>74</v>
      </c>
      <c r="I290" t="s">
        <v>2649</v>
      </c>
      <c r="J290" t="s">
        <v>1332</v>
      </c>
      <c r="K290" t="s">
        <v>74</v>
      </c>
      <c r="L290" t="s">
        <v>74</v>
      </c>
      <c r="M290" t="s">
        <v>74</v>
      </c>
      <c r="N290" t="s">
        <v>74</v>
      </c>
      <c r="O290" t="s">
        <v>74</v>
      </c>
      <c r="P290" t="s">
        <v>74</v>
      </c>
      <c r="Q290" t="s">
        <v>74</v>
      </c>
      <c r="R290" t="s">
        <v>74</v>
      </c>
      <c r="S290" t="s">
        <v>74</v>
      </c>
      <c r="T290" t="s">
        <v>74</v>
      </c>
      <c r="U290" t="s">
        <v>74</v>
      </c>
      <c r="V290" t="s">
        <v>2650</v>
      </c>
      <c r="W290" t="s">
        <v>74</v>
      </c>
      <c r="X290" t="s">
        <v>74</v>
      </c>
      <c r="Y290" t="s">
        <v>74</v>
      </c>
      <c r="Z290" t="s">
        <v>74</v>
      </c>
      <c r="AA290" t="s">
        <v>2651</v>
      </c>
      <c r="AB290" t="s">
        <v>2652</v>
      </c>
      <c r="AC290" t="s">
        <v>74</v>
      </c>
      <c r="AD290" t="s">
        <v>74</v>
      </c>
      <c r="AE290" t="s">
        <v>74</v>
      </c>
      <c r="AF290" t="s">
        <v>74</v>
      </c>
      <c r="AG290" t="s">
        <v>74</v>
      </c>
      <c r="AH290" t="s">
        <v>74</v>
      </c>
      <c r="AI290" t="s">
        <v>74</v>
      </c>
      <c r="AJ290" t="s">
        <v>74</v>
      </c>
      <c r="AK290" t="s">
        <v>74</v>
      </c>
      <c r="AL290" t="s">
        <v>74</v>
      </c>
      <c r="AM290" t="s">
        <v>74</v>
      </c>
      <c r="AN290" t="s">
        <v>74</v>
      </c>
      <c r="AO290" t="s">
        <v>1336</v>
      </c>
      <c r="AP290" t="s">
        <v>1337</v>
      </c>
      <c r="AQ290" t="s">
        <v>74</v>
      </c>
      <c r="AR290" t="s">
        <v>74</v>
      </c>
      <c r="AS290" t="s">
        <v>74</v>
      </c>
      <c r="AT290" t="s">
        <v>2517</v>
      </c>
      <c r="AU290">
        <v>2023</v>
      </c>
      <c r="AV290">
        <v>52</v>
      </c>
      <c r="AW290">
        <v>47</v>
      </c>
      <c r="AX290" t="s">
        <v>74</v>
      </c>
      <c r="AY290" t="s">
        <v>74</v>
      </c>
      <c r="AZ290" t="s">
        <v>74</v>
      </c>
      <c r="BA290" t="s">
        <v>74</v>
      </c>
      <c r="BB290">
        <v>18045</v>
      </c>
      <c r="BC290">
        <v>18052</v>
      </c>
      <c r="BD290" t="s">
        <v>74</v>
      </c>
      <c r="BE290" t="s">
        <v>2653</v>
      </c>
      <c r="BF290" t="str">
        <f>HYPERLINK("http://dx.doi.org/10.1039/d3dt02883f","http://dx.doi.org/10.1039/d3dt02883f")</f>
        <v>http://dx.doi.org/10.1039/d3dt02883f</v>
      </c>
      <c r="BG290" t="s">
        <v>74</v>
      </c>
      <c r="BH290" t="s">
        <v>2580</v>
      </c>
      <c r="BI290" t="s">
        <v>74</v>
      </c>
      <c r="BJ290" t="s">
        <v>74</v>
      </c>
      <c r="BK290" t="s">
        <v>74</v>
      </c>
      <c r="BL290" t="s">
        <v>74</v>
      </c>
      <c r="BM290" t="s">
        <v>74</v>
      </c>
      <c r="BN290">
        <v>37990859</v>
      </c>
      <c r="BO290" t="s">
        <v>74</v>
      </c>
      <c r="BP290" t="s">
        <v>74</v>
      </c>
      <c r="BQ290" t="s">
        <v>74</v>
      </c>
      <c r="BR290" t="s">
        <v>74</v>
      </c>
      <c r="BS290" t="s">
        <v>2654</v>
      </c>
      <c r="BT290" t="str">
        <f>HYPERLINK("https%3A%2F%2Fwww.webofscience.com%2Fwos%2Fwoscc%2Ffull-record%2FWOS:001108100700001","View Full Record in Web of Science")</f>
        <v>View Full Record in Web of Science</v>
      </c>
    </row>
    <row r="291" spans="1:72" x14ac:dyDescent="0.2">
      <c r="A291" t="s">
        <v>72</v>
      </c>
      <c r="B291" t="s">
        <v>2655</v>
      </c>
      <c r="C291" t="s">
        <v>74</v>
      </c>
      <c r="D291" t="s">
        <v>74</v>
      </c>
      <c r="E291" t="s">
        <v>74</v>
      </c>
      <c r="F291" t="s">
        <v>2656</v>
      </c>
      <c r="G291" t="s">
        <v>74</v>
      </c>
      <c r="H291" t="s">
        <v>74</v>
      </c>
      <c r="I291" t="s">
        <v>2657</v>
      </c>
      <c r="J291" t="s">
        <v>161</v>
      </c>
      <c r="K291" t="s">
        <v>74</v>
      </c>
      <c r="L291" t="s">
        <v>74</v>
      </c>
      <c r="M291" t="s">
        <v>74</v>
      </c>
      <c r="N291" t="s">
        <v>74</v>
      </c>
      <c r="O291" t="s">
        <v>74</v>
      </c>
      <c r="P291" t="s">
        <v>74</v>
      </c>
      <c r="Q291" t="s">
        <v>74</v>
      </c>
      <c r="R291" t="s">
        <v>74</v>
      </c>
      <c r="S291" t="s">
        <v>74</v>
      </c>
      <c r="T291" t="s">
        <v>74</v>
      </c>
      <c r="U291" t="s">
        <v>74</v>
      </c>
      <c r="V291" t="s">
        <v>2658</v>
      </c>
      <c r="W291" t="s">
        <v>74</v>
      </c>
      <c r="X291" t="s">
        <v>74</v>
      </c>
      <c r="Y291" t="s">
        <v>74</v>
      </c>
      <c r="Z291" t="s">
        <v>74</v>
      </c>
      <c r="AA291" t="s">
        <v>2659</v>
      </c>
      <c r="AB291" t="s">
        <v>2660</v>
      </c>
      <c r="AC291" t="s">
        <v>74</v>
      </c>
      <c r="AD291" t="s">
        <v>74</v>
      </c>
      <c r="AE291" t="s">
        <v>74</v>
      </c>
      <c r="AF291" t="s">
        <v>74</v>
      </c>
      <c r="AG291" t="s">
        <v>74</v>
      </c>
      <c r="AH291" t="s">
        <v>74</v>
      </c>
      <c r="AI291" t="s">
        <v>74</v>
      </c>
      <c r="AJ291" t="s">
        <v>74</v>
      </c>
      <c r="AK291" t="s">
        <v>74</v>
      </c>
      <c r="AL291" t="s">
        <v>74</v>
      </c>
      <c r="AM291" t="s">
        <v>74</v>
      </c>
      <c r="AN291" t="s">
        <v>74</v>
      </c>
      <c r="AO291" t="s">
        <v>163</v>
      </c>
      <c r="AP291" t="s">
        <v>164</v>
      </c>
      <c r="AQ291" t="s">
        <v>74</v>
      </c>
      <c r="AR291" t="s">
        <v>74</v>
      </c>
      <c r="AS291" t="s">
        <v>74</v>
      </c>
      <c r="AT291" t="s">
        <v>2571</v>
      </c>
      <c r="AU291">
        <v>2023</v>
      </c>
      <c r="AV291">
        <v>477</v>
      </c>
      <c r="AW291" t="s">
        <v>74</v>
      </c>
      <c r="AX291" t="s">
        <v>74</v>
      </c>
      <c r="AY291" t="s">
        <v>74</v>
      </c>
      <c r="AZ291" t="s">
        <v>74</v>
      </c>
      <c r="BA291" t="s">
        <v>74</v>
      </c>
      <c r="BB291" t="s">
        <v>74</v>
      </c>
      <c r="BC291" t="s">
        <v>74</v>
      </c>
      <c r="BD291">
        <v>147021</v>
      </c>
      <c r="BE291" t="s">
        <v>2661</v>
      </c>
      <c r="BF291" t="str">
        <f>HYPERLINK("http://dx.doi.org/10.1016/j.cej.2023.147021","http://dx.doi.org/10.1016/j.cej.2023.147021")</f>
        <v>http://dx.doi.org/10.1016/j.cej.2023.147021</v>
      </c>
      <c r="BG291" t="s">
        <v>74</v>
      </c>
      <c r="BH291" t="s">
        <v>2580</v>
      </c>
      <c r="BI291" t="s">
        <v>74</v>
      </c>
      <c r="BJ291" t="s">
        <v>74</v>
      </c>
      <c r="BK291" t="s">
        <v>74</v>
      </c>
      <c r="BL291" t="s">
        <v>74</v>
      </c>
      <c r="BM291" t="s">
        <v>74</v>
      </c>
      <c r="BN291" t="s">
        <v>74</v>
      </c>
      <c r="BO291" t="s">
        <v>74</v>
      </c>
      <c r="BP291" t="s">
        <v>74</v>
      </c>
      <c r="BQ291" t="s">
        <v>74</v>
      </c>
      <c r="BR291" t="s">
        <v>74</v>
      </c>
      <c r="BS291" t="s">
        <v>2662</v>
      </c>
      <c r="BT291" t="str">
        <f>HYPERLINK("https%3A%2F%2Fwww.webofscience.com%2Fwos%2Fwoscc%2Ffull-record%2FWOS:001106234400001","View Full Record in Web of Science")</f>
        <v>View Full Record in Web of Science</v>
      </c>
    </row>
    <row r="292" spans="1:72" x14ac:dyDescent="0.2">
      <c r="A292" t="s">
        <v>72</v>
      </c>
      <c r="B292" t="s">
        <v>2663</v>
      </c>
      <c r="C292" t="s">
        <v>74</v>
      </c>
      <c r="D292" t="s">
        <v>74</v>
      </c>
      <c r="E292" t="s">
        <v>74</v>
      </c>
      <c r="F292" t="s">
        <v>2664</v>
      </c>
      <c r="G292" t="s">
        <v>74</v>
      </c>
      <c r="H292" t="s">
        <v>74</v>
      </c>
      <c r="I292" t="s">
        <v>2665</v>
      </c>
      <c r="J292" t="s">
        <v>140</v>
      </c>
      <c r="K292" t="s">
        <v>74</v>
      </c>
      <c r="L292" t="s">
        <v>74</v>
      </c>
      <c r="M292" t="s">
        <v>74</v>
      </c>
      <c r="N292" t="s">
        <v>74</v>
      </c>
      <c r="O292" t="s">
        <v>74</v>
      </c>
      <c r="P292" t="s">
        <v>74</v>
      </c>
      <c r="Q292" t="s">
        <v>74</v>
      </c>
      <c r="R292" t="s">
        <v>74</v>
      </c>
      <c r="S292" t="s">
        <v>74</v>
      </c>
      <c r="T292" t="s">
        <v>74</v>
      </c>
      <c r="U292" t="s">
        <v>74</v>
      </c>
      <c r="V292" t="s">
        <v>2666</v>
      </c>
      <c r="W292" t="s">
        <v>74</v>
      </c>
      <c r="X292" t="s">
        <v>74</v>
      </c>
      <c r="Y292" t="s">
        <v>74</v>
      </c>
      <c r="Z292" t="s">
        <v>74</v>
      </c>
      <c r="AA292" t="s">
        <v>2667</v>
      </c>
      <c r="AB292" t="s">
        <v>74</v>
      </c>
      <c r="AC292" t="s">
        <v>74</v>
      </c>
      <c r="AD292" t="s">
        <v>74</v>
      </c>
      <c r="AE292" t="s">
        <v>74</v>
      </c>
      <c r="AF292" t="s">
        <v>74</v>
      </c>
      <c r="AG292" t="s">
        <v>74</v>
      </c>
      <c r="AH292" t="s">
        <v>74</v>
      </c>
      <c r="AI292" t="s">
        <v>74</v>
      </c>
      <c r="AJ292" t="s">
        <v>74</v>
      </c>
      <c r="AK292" t="s">
        <v>74</v>
      </c>
      <c r="AL292" t="s">
        <v>74</v>
      </c>
      <c r="AM292" t="s">
        <v>74</v>
      </c>
      <c r="AN292" t="s">
        <v>74</v>
      </c>
      <c r="AO292" t="s">
        <v>142</v>
      </c>
      <c r="AP292" t="s">
        <v>143</v>
      </c>
      <c r="AQ292" t="s">
        <v>74</v>
      </c>
      <c r="AR292" t="s">
        <v>74</v>
      </c>
      <c r="AS292" t="s">
        <v>74</v>
      </c>
      <c r="AT292" t="s">
        <v>2668</v>
      </c>
      <c r="AU292">
        <v>2023</v>
      </c>
      <c r="AV292">
        <v>74</v>
      </c>
      <c r="AW292" t="s">
        <v>74</v>
      </c>
      <c r="AX292" t="s">
        <v>145</v>
      </c>
      <c r="AY292" t="s">
        <v>74</v>
      </c>
      <c r="AZ292" t="s">
        <v>74</v>
      </c>
      <c r="BA292" t="s">
        <v>74</v>
      </c>
      <c r="BB292" t="s">
        <v>74</v>
      </c>
      <c r="BC292" t="s">
        <v>74</v>
      </c>
      <c r="BD292">
        <v>109485</v>
      </c>
      <c r="BE292" t="s">
        <v>2669</v>
      </c>
      <c r="BF292" t="str">
        <f>HYPERLINK("http://dx.doi.org/10.1016/j.est.2023.109485","http://dx.doi.org/10.1016/j.est.2023.109485")</f>
        <v>http://dx.doi.org/10.1016/j.est.2023.109485</v>
      </c>
      <c r="BG292" t="s">
        <v>74</v>
      </c>
      <c r="BH292" t="s">
        <v>2670</v>
      </c>
      <c r="BI292" t="s">
        <v>74</v>
      </c>
      <c r="BJ292" t="s">
        <v>74</v>
      </c>
      <c r="BK292" t="s">
        <v>74</v>
      </c>
      <c r="BL292" t="s">
        <v>74</v>
      </c>
      <c r="BM292" t="s">
        <v>74</v>
      </c>
      <c r="BN292" t="s">
        <v>74</v>
      </c>
      <c r="BO292" t="s">
        <v>74</v>
      </c>
      <c r="BP292" t="s">
        <v>74</v>
      </c>
      <c r="BQ292" t="s">
        <v>74</v>
      </c>
      <c r="BR292" t="s">
        <v>74</v>
      </c>
      <c r="BS292" t="s">
        <v>2671</v>
      </c>
      <c r="BT292" t="str">
        <f>HYPERLINK("https%3A%2F%2Fwww.webofscience.com%2Fwos%2Fwoscc%2Ffull-record%2FWOS:001108564800001","View Full Record in Web of Science")</f>
        <v>View Full Record in Web of Science</v>
      </c>
    </row>
    <row r="293" spans="1:72" x14ac:dyDescent="0.2">
      <c r="A293" t="s">
        <v>72</v>
      </c>
      <c r="B293" t="s">
        <v>2672</v>
      </c>
      <c r="C293" t="s">
        <v>74</v>
      </c>
      <c r="D293" t="s">
        <v>74</v>
      </c>
      <c r="E293" t="s">
        <v>74</v>
      </c>
      <c r="F293" t="s">
        <v>2673</v>
      </c>
      <c r="G293" t="s">
        <v>74</v>
      </c>
      <c r="H293" t="s">
        <v>74</v>
      </c>
      <c r="I293" t="s">
        <v>2674</v>
      </c>
      <c r="J293" t="s">
        <v>422</v>
      </c>
      <c r="K293" t="s">
        <v>74</v>
      </c>
      <c r="L293" t="s">
        <v>74</v>
      </c>
      <c r="M293" t="s">
        <v>74</v>
      </c>
      <c r="N293" t="s">
        <v>74</v>
      </c>
      <c r="O293" t="s">
        <v>74</v>
      </c>
      <c r="P293" t="s">
        <v>74</v>
      </c>
      <c r="Q293" t="s">
        <v>74</v>
      </c>
      <c r="R293" t="s">
        <v>74</v>
      </c>
      <c r="S293" t="s">
        <v>74</v>
      </c>
      <c r="T293" t="s">
        <v>74</v>
      </c>
      <c r="U293" t="s">
        <v>74</v>
      </c>
      <c r="V293" t="s">
        <v>2675</v>
      </c>
      <c r="W293" t="s">
        <v>74</v>
      </c>
      <c r="X293" t="s">
        <v>74</v>
      </c>
      <c r="Y293" t="s">
        <v>74</v>
      </c>
      <c r="Z293" t="s">
        <v>74</v>
      </c>
      <c r="AA293" t="s">
        <v>2676</v>
      </c>
      <c r="AB293" t="s">
        <v>74</v>
      </c>
      <c r="AC293" t="s">
        <v>74</v>
      </c>
      <c r="AD293" t="s">
        <v>74</v>
      </c>
      <c r="AE293" t="s">
        <v>74</v>
      </c>
      <c r="AF293" t="s">
        <v>74</v>
      </c>
      <c r="AG293" t="s">
        <v>74</v>
      </c>
      <c r="AH293" t="s">
        <v>74</v>
      </c>
      <c r="AI293" t="s">
        <v>74</v>
      </c>
      <c r="AJ293" t="s">
        <v>74</v>
      </c>
      <c r="AK293" t="s">
        <v>74</v>
      </c>
      <c r="AL293" t="s">
        <v>74</v>
      </c>
      <c r="AM293" t="s">
        <v>74</v>
      </c>
      <c r="AN293" t="s">
        <v>74</v>
      </c>
      <c r="AO293" t="s">
        <v>426</v>
      </c>
      <c r="AP293" t="s">
        <v>74</v>
      </c>
      <c r="AQ293" t="s">
        <v>74</v>
      </c>
      <c r="AR293" t="s">
        <v>74</v>
      </c>
      <c r="AS293" t="s">
        <v>74</v>
      </c>
      <c r="AT293" t="s">
        <v>2677</v>
      </c>
      <c r="AU293">
        <v>2023</v>
      </c>
      <c r="AV293">
        <v>7</v>
      </c>
      <c r="AW293">
        <v>18</v>
      </c>
      <c r="AX293" t="s">
        <v>74</v>
      </c>
      <c r="AY293" t="s">
        <v>74</v>
      </c>
      <c r="AZ293" t="s">
        <v>74</v>
      </c>
      <c r="BA293" t="s">
        <v>74</v>
      </c>
      <c r="BB293">
        <v>7603</v>
      </c>
      <c r="BC293">
        <v>7614</v>
      </c>
      <c r="BD293" t="s">
        <v>74</v>
      </c>
      <c r="BE293" t="s">
        <v>2678</v>
      </c>
      <c r="BF293" t="str">
        <f>HYPERLINK("http://dx.doi.org/10.1021/acsaem.3c01925","http://dx.doi.org/10.1021/acsaem.3c01925")</f>
        <v>http://dx.doi.org/10.1021/acsaem.3c01925</v>
      </c>
      <c r="BG293" t="s">
        <v>74</v>
      </c>
      <c r="BH293" t="s">
        <v>2670</v>
      </c>
      <c r="BI293" t="s">
        <v>74</v>
      </c>
      <c r="BJ293" t="s">
        <v>74</v>
      </c>
      <c r="BK293" t="s">
        <v>74</v>
      </c>
      <c r="BL293" t="s">
        <v>74</v>
      </c>
      <c r="BM293" t="s">
        <v>74</v>
      </c>
      <c r="BN293" t="s">
        <v>74</v>
      </c>
      <c r="BO293" t="s">
        <v>74</v>
      </c>
      <c r="BP293" t="s">
        <v>74</v>
      </c>
      <c r="BQ293" t="s">
        <v>74</v>
      </c>
      <c r="BR293" t="s">
        <v>74</v>
      </c>
      <c r="BS293" t="s">
        <v>2679</v>
      </c>
      <c r="BT293" t="str">
        <f>HYPERLINK("https%3A%2F%2Fwww.webofscience.com%2Fwos%2Fwoscc%2Ffull-record%2FWOS:001096751500001","View Full Record in Web of Science")</f>
        <v>View Full Record in Web of Science</v>
      </c>
    </row>
    <row r="294" spans="1:72" x14ac:dyDescent="0.2">
      <c r="A294" t="s">
        <v>72</v>
      </c>
      <c r="B294" t="s">
        <v>2680</v>
      </c>
      <c r="C294" t="s">
        <v>74</v>
      </c>
      <c r="D294" t="s">
        <v>74</v>
      </c>
      <c r="E294" t="s">
        <v>74</v>
      </c>
      <c r="F294" t="s">
        <v>2681</v>
      </c>
      <c r="G294" t="s">
        <v>74</v>
      </c>
      <c r="H294" t="s">
        <v>74</v>
      </c>
      <c r="I294" t="s">
        <v>2682</v>
      </c>
      <c r="J294" t="s">
        <v>422</v>
      </c>
      <c r="K294" t="s">
        <v>74</v>
      </c>
      <c r="L294" t="s">
        <v>74</v>
      </c>
      <c r="M294" t="s">
        <v>74</v>
      </c>
      <c r="N294" t="s">
        <v>74</v>
      </c>
      <c r="O294" t="s">
        <v>74</v>
      </c>
      <c r="P294" t="s">
        <v>74</v>
      </c>
      <c r="Q294" t="s">
        <v>74</v>
      </c>
      <c r="R294" t="s">
        <v>74</v>
      </c>
      <c r="S294" t="s">
        <v>74</v>
      </c>
      <c r="T294" t="s">
        <v>74</v>
      </c>
      <c r="U294" t="s">
        <v>74</v>
      </c>
      <c r="V294" t="s">
        <v>2683</v>
      </c>
      <c r="W294" t="s">
        <v>74</v>
      </c>
      <c r="X294" t="s">
        <v>74</v>
      </c>
      <c r="Y294" t="s">
        <v>74</v>
      </c>
      <c r="Z294" t="s">
        <v>74</v>
      </c>
      <c r="AA294" t="s">
        <v>74</v>
      </c>
      <c r="AB294" t="s">
        <v>74</v>
      </c>
      <c r="AC294" t="s">
        <v>74</v>
      </c>
      <c r="AD294" t="s">
        <v>74</v>
      </c>
      <c r="AE294" t="s">
        <v>74</v>
      </c>
      <c r="AF294" t="s">
        <v>74</v>
      </c>
      <c r="AG294" t="s">
        <v>74</v>
      </c>
      <c r="AH294" t="s">
        <v>74</v>
      </c>
      <c r="AI294" t="s">
        <v>74</v>
      </c>
      <c r="AJ294" t="s">
        <v>74</v>
      </c>
      <c r="AK294" t="s">
        <v>74</v>
      </c>
      <c r="AL294" t="s">
        <v>74</v>
      </c>
      <c r="AM294" t="s">
        <v>74</v>
      </c>
      <c r="AN294" t="s">
        <v>74</v>
      </c>
      <c r="AO294" t="s">
        <v>426</v>
      </c>
      <c r="AP294" t="s">
        <v>74</v>
      </c>
      <c r="AQ294" t="s">
        <v>74</v>
      </c>
      <c r="AR294" t="s">
        <v>74</v>
      </c>
      <c r="AS294" t="s">
        <v>74</v>
      </c>
      <c r="AT294" t="s">
        <v>2677</v>
      </c>
      <c r="AU294">
        <v>2023</v>
      </c>
      <c r="AV294">
        <v>6</v>
      </c>
      <c r="AW294">
        <v>21</v>
      </c>
      <c r="AX294" t="s">
        <v>74</v>
      </c>
      <c r="AY294" t="s">
        <v>74</v>
      </c>
      <c r="AZ294" t="s">
        <v>74</v>
      </c>
      <c r="BA294" t="s">
        <v>74</v>
      </c>
      <c r="BB294">
        <v>10970</v>
      </c>
      <c r="BC294">
        <v>10977</v>
      </c>
      <c r="BD294" t="s">
        <v>74</v>
      </c>
      <c r="BE294" t="s">
        <v>2684</v>
      </c>
      <c r="BF294" t="str">
        <f>HYPERLINK("http://dx.doi.org/10.1021/acsaem.3c01784","http://dx.doi.org/10.1021/acsaem.3c01784")</f>
        <v>http://dx.doi.org/10.1021/acsaem.3c01784</v>
      </c>
      <c r="BG294" t="s">
        <v>74</v>
      </c>
      <c r="BH294" t="s">
        <v>2670</v>
      </c>
      <c r="BI294" t="s">
        <v>74</v>
      </c>
      <c r="BJ294" t="s">
        <v>74</v>
      </c>
      <c r="BK294" t="s">
        <v>74</v>
      </c>
      <c r="BL294" t="s">
        <v>74</v>
      </c>
      <c r="BM294" t="s">
        <v>74</v>
      </c>
      <c r="BN294" t="s">
        <v>74</v>
      </c>
      <c r="BO294" t="s">
        <v>74</v>
      </c>
      <c r="BP294" t="s">
        <v>74</v>
      </c>
      <c r="BQ294" t="s">
        <v>74</v>
      </c>
      <c r="BR294" t="s">
        <v>74</v>
      </c>
      <c r="BS294" t="s">
        <v>2685</v>
      </c>
      <c r="BT294" t="str">
        <f>HYPERLINK("https%3A%2F%2Fwww.webofscience.com%2Fwos%2Fwoscc%2Ffull-record%2FWOS:001096757300001","View Full Record in Web of Science")</f>
        <v>View Full Record in Web of Science</v>
      </c>
    </row>
    <row r="295" spans="1:72" x14ac:dyDescent="0.2">
      <c r="A295" t="s">
        <v>72</v>
      </c>
      <c r="B295" t="s">
        <v>2686</v>
      </c>
      <c r="C295" t="s">
        <v>74</v>
      </c>
      <c r="D295" t="s">
        <v>74</v>
      </c>
      <c r="E295" t="s">
        <v>74</v>
      </c>
      <c r="F295" t="s">
        <v>2687</v>
      </c>
      <c r="G295" t="s">
        <v>74</v>
      </c>
      <c r="H295" t="s">
        <v>74</v>
      </c>
      <c r="I295" t="s">
        <v>2688</v>
      </c>
      <c r="J295" t="s">
        <v>1941</v>
      </c>
      <c r="K295" t="s">
        <v>74</v>
      </c>
      <c r="L295" t="s">
        <v>74</v>
      </c>
      <c r="M295" t="s">
        <v>74</v>
      </c>
      <c r="N295" t="s">
        <v>74</v>
      </c>
      <c r="O295" t="s">
        <v>74</v>
      </c>
      <c r="P295" t="s">
        <v>74</v>
      </c>
      <c r="Q295" t="s">
        <v>74</v>
      </c>
      <c r="R295" t="s">
        <v>74</v>
      </c>
      <c r="S295" t="s">
        <v>74</v>
      </c>
      <c r="T295" t="s">
        <v>74</v>
      </c>
      <c r="U295" t="s">
        <v>74</v>
      </c>
      <c r="V295" t="s">
        <v>2689</v>
      </c>
      <c r="W295" t="s">
        <v>74</v>
      </c>
      <c r="X295" t="s">
        <v>74</v>
      </c>
      <c r="Y295" t="s">
        <v>74</v>
      </c>
      <c r="Z295" t="s">
        <v>74</v>
      </c>
      <c r="AA295" t="s">
        <v>2690</v>
      </c>
      <c r="AB295" t="s">
        <v>2013</v>
      </c>
      <c r="AC295" t="s">
        <v>74</v>
      </c>
      <c r="AD295" t="s">
        <v>74</v>
      </c>
      <c r="AE295" t="s">
        <v>74</v>
      </c>
      <c r="AF295" t="s">
        <v>74</v>
      </c>
      <c r="AG295" t="s">
        <v>74</v>
      </c>
      <c r="AH295" t="s">
        <v>74</v>
      </c>
      <c r="AI295" t="s">
        <v>74</v>
      </c>
      <c r="AJ295" t="s">
        <v>74</v>
      </c>
      <c r="AK295" t="s">
        <v>74</v>
      </c>
      <c r="AL295" t="s">
        <v>74</v>
      </c>
      <c r="AM295" t="s">
        <v>74</v>
      </c>
      <c r="AN295" t="s">
        <v>74</v>
      </c>
      <c r="AO295" t="s">
        <v>74</v>
      </c>
      <c r="AP295" t="s">
        <v>1945</v>
      </c>
      <c r="AQ295" t="s">
        <v>74</v>
      </c>
      <c r="AR295" t="s">
        <v>74</v>
      </c>
      <c r="AS295" t="s">
        <v>74</v>
      </c>
      <c r="AT295" t="s">
        <v>2691</v>
      </c>
      <c r="AU295">
        <v>2023</v>
      </c>
      <c r="AV295">
        <v>6</v>
      </c>
      <c r="AW295">
        <v>21</v>
      </c>
      <c r="AX295" t="s">
        <v>74</v>
      </c>
      <c r="AY295" t="s">
        <v>74</v>
      </c>
      <c r="AZ295" t="s">
        <v>74</v>
      </c>
      <c r="BA295" t="s">
        <v>74</v>
      </c>
      <c r="BB295">
        <v>20120</v>
      </c>
      <c r="BC295">
        <v>20128</v>
      </c>
      <c r="BD295" t="s">
        <v>74</v>
      </c>
      <c r="BE295" t="s">
        <v>2692</v>
      </c>
      <c r="BF295" t="str">
        <f>HYPERLINK("http://dx.doi.org/10.1021/acsanm.3c03935","http://dx.doi.org/10.1021/acsanm.3c03935")</f>
        <v>http://dx.doi.org/10.1021/acsanm.3c03935</v>
      </c>
      <c r="BG295" t="s">
        <v>74</v>
      </c>
      <c r="BH295" t="s">
        <v>2670</v>
      </c>
      <c r="BI295" t="s">
        <v>74</v>
      </c>
      <c r="BJ295" t="s">
        <v>74</v>
      </c>
      <c r="BK295" t="s">
        <v>74</v>
      </c>
      <c r="BL295" t="s">
        <v>74</v>
      </c>
      <c r="BM295" t="s">
        <v>74</v>
      </c>
      <c r="BN295" t="s">
        <v>74</v>
      </c>
      <c r="BO295" t="s">
        <v>74</v>
      </c>
      <c r="BP295" t="s">
        <v>74</v>
      </c>
      <c r="BQ295" t="s">
        <v>74</v>
      </c>
      <c r="BR295" t="s">
        <v>74</v>
      </c>
      <c r="BS295" t="s">
        <v>2693</v>
      </c>
      <c r="BT295" t="str">
        <f>HYPERLINK("https%3A%2F%2Fwww.webofscience.com%2Fwos%2Fwoscc%2Ffull-record%2FWOS:001092824900001","View Full Record in Web of Science")</f>
        <v>View Full Record in Web of Science</v>
      </c>
    </row>
    <row r="296" spans="1:72" x14ac:dyDescent="0.2">
      <c r="A296" t="s">
        <v>72</v>
      </c>
      <c r="B296" t="s">
        <v>2694</v>
      </c>
      <c r="C296" t="s">
        <v>74</v>
      </c>
      <c r="D296" t="s">
        <v>74</v>
      </c>
      <c r="E296" t="s">
        <v>74</v>
      </c>
      <c r="F296" t="s">
        <v>2695</v>
      </c>
      <c r="G296" t="s">
        <v>74</v>
      </c>
      <c r="H296" t="s">
        <v>74</v>
      </c>
      <c r="I296" t="s">
        <v>2696</v>
      </c>
      <c r="J296" t="s">
        <v>161</v>
      </c>
      <c r="K296" t="s">
        <v>74</v>
      </c>
      <c r="L296" t="s">
        <v>74</v>
      </c>
      <c r="M296" t="s">
        <v>74</v>
      </c>
      <c r="N296" t="s">
        <v>74</v>
      </c>
      <c r="O296" t="s">
        <v>74</v>
      </c>
      <c r="P296" t="s">
        <v>74</v>
      </c>
      <c r="Q296" t="s">
        <v>74</v>
      </c>
      <c r="R296" t="s">
        <v>74</v>
      </c>
      <c r="S296" t="s">
        <v>74</v>
      </c>
      <c r="T296" t="s">
        <v>74</v>
      </c>
      <c r="U296" t="s">
        <v>74</v>
      </c>
      <c r="V296" t="s">
        <v>2697</v>
      </c>
      <c r="W296" t="s">
        <v>74</v>
      </c>
      <c r="X296" t="s">
        <v>74</v>
      </c>
      <c r="Y296" t="s">
        <v>74</v>
      </c>
      <c r="Z296" t="s">
        <v>74</v>
      </c>
      <c r="AA296" t="s">
        <v>2698</v>
      </c>
      <c r="AB296" t="s">
        <v>2699</v>
      </c>
      <c r="AC296" t="s">
        <v>74</v>
      </c>
      <c r="AD296" t="s">
        <v>74</v>
      </c>
      <c r="AE296" t="s">
        <v>74</v>
      </c>
      <c r="AF296" t="s">
        <v>74</v>
      </c>
      <c r="AG296" t="s">
        <v>74</v>
      </c>
      <c r="AH296" t="s">
        <v>74</v>
      </c>
      <c r="AI296" t="s">
        <v>74</v>
      </c>
      <c r="AJ296" t="s">
        <v>74</v>
      </c>
      <c r="AK296" t="s">
        <v>74</v>
      </c>
      <c r="AL296" t="s">
        <v>74</v>
      </c>
      <c r="AM296" t="s">
        <v>74</v>
      </c>
      <c r="AN296" t="s">
        <v>74</v>
      </c>
      <c r="AO296" t="s">
        <v>163</v>
      </c>
      <c r="AP296" t="s">
        <v>164</v>
      </c>
      <c r="AQ296" t="s">
        <v>74</v>
      </c>
      <c r="AR296" t="s">
        <v>74</v>
      </c>
      <c r="AS296" t="s">
        <v>74</v>
      </c>
      <c r="AT296" t="s">
        <v>1391</v>
      </c>
      <c r="AU296">
        <v>2023</v>
      </c>
      <c r="AV296">
        <v>476</v>
      </c>
      <c r="AW296" t="s">
        <v>74</v>
      </c>
      <c r="AX296" t="s">
        <v>74</v>
      </c>
      <c r="AY296" t="s">
        <v>74</v>
      </c>
      <c r="AZ296" t="s">
        <v>74</v>
      </c>
      <c r="BA296" t="s">
        <v>74</v>
      </c>
      <c r="BB296" t="s">
        <v>74</v>
      </c>
      <c r="BC296" t="s">
        <v>74</v>
      </c>
      <c r="BD296">
        <v>146580</v>
      </c>
      <c r="BE296" t="s">
        <v>2700</v>
      </c>
      <c r="BF296" t="str">
        <f>HYPERLINK("http://dx.doi.org/10.1016/j.cej.2023.146580","http://dx.doi.org/10.1016/j.cej.2023.146580")</f>
        <v>http://dx.doi.org/10.1016/j.cej.2023.146580</v>
      </c>
      <c r="BG296" t="s">
        <v>74</v>
      </c>
      <c r="BH296" t="s">
        <v>2670</v>
      </c>
      <c r="BI296" t="s">
        <v>74</v>
      </c>
      <c r="BJ296" t="s">
        <v>74</v>
      </c>
      <c r="BK296" t="s">
        <v>74</v>
      </c>
      <c r="BL296" t="s">
        <v>74</v>
      </c>
      <c r="BM296" t="s">
        <v>74</v>
      </c>
      <c r="BN296" t="s">
        <v>74</v>
      </c>
      <c r="BO296" t="s">
        <v>74</v>
      </c>
      <c r="BP296" t="s">
        <v>74</v>
      </c>
      <c r="BQ296" t="s">
        <v>74</v>
      </c>
      <c r="BR296" t="s">
        <v>74</v>
      </c>
      <c r="BS296" t="s">
        <v>2701</v>
      </c>
      <c r="BT296" t="str">
        <f>HYPERLINK("https%3A%2F%2Fwww.webofscience.com%2Fwos%2Fwoscc%2Ffull-record%2FWOS:001096509600001","View Full Record in Web of Science")</f>
        <v>View Full Record in Web of Science</v>
      </c>
    </row>
    <row r="297" spans="1:72" x14ac:dyDescent="0.2">
      <c r="A297" t="s">
        <v>72</v>
      </c>
      <c r="B297" t="s">
        <v>2702</v>
      </c>
      <c r="C297" t="s">
        <v>74</v>
      </c>
      <c r="D297" t="s">
        <v>74</v>
      </c>
      <c r="E297" t="s">
        <v>74</v>
      </c>
      <c r="F297" t="s">
        <v>2703</v>
      </c>
      <c r="G297" t="s">
        <v>74</v>
      </c>
      <c r="H297" t="s">
        <v>74</v>
      </c>
      <c r="I297" t="s">
        <v>2704</v>
      </c>
      <c r="J297" t="s">
        <v>171</v>
      </c>
      <c r="K297" t="s">
        <v>74</v>
      </c>
      <c r="L297" t="s">
        <v>74</v>
      </c>
      <c r="M297" t="s">
        <v>74</v>
      </c>
      <c r="N297" t="s">
        <v>74</v>
      </c>
      <c r="O297" t="s">
        <v>74</v>
      </c>
      <c r="P297" t="s">
        <v>74</v>
      </c>
      <c r="Q297" t="s">
        <v>74</v>
      </c>
      <c r="R297" t="s">
        <v>74</v>
      </c>
      <c r="S297" t="s">
        <v>74</v>
      </c>
      <c r="T297" t="s">
        <v>74</v>
      </c>
      <c r="U297" t="s">
        <v>74</v>
      </c>
      <c r="V297" t="s">
        <v>2705</v>
      </c>
      <c r="W297" t="s">
        <v>74</v>
      </c>
      <c r="X297" t="s">
        <v>74</v>
      </c>
      <c r="Y297" t="s">
        <v>74</v>
      </c>
      <c r="Z297" t="s">
        <v>74</v>
      </c>
      <c r="AA297" t="s">
        <v>2706</v>
      </c>
      <c r="AB297" t="s">
        <v>2707</v>
      </c>
      <c r="AC297" t="s">
        <v>74</v>
      </c>
      <c r="AD297" t="s">
        <v>74</v>
      </c>
      <c r="AE297" t="s">
        <v>74</v>
      </c>
      <c r="AF297" t="s">
        <v>74</v>
      </c>
      <c r="AG297" t="s">
        <v>74</v>
      </c>
      <c r="AH297" t="s">
        <v>74</v>
      </c>
      <c r="AI297" t="s">
        <v>74</v>
      </c>
      <c r="AJ297" t="s">
        <v>74</v>
      </c>
      <c r="AK297" t="s">
        <v>74</v>
      </c>
      <c r="AL297" t="s">
        <v>74</v>
      </c>
      <c r="AM297" t="s">
        <v>74</v>
      </c>
      <c r="AN297" t="s">
        <v>74</v>
      </c>
      <c r="AO297" t="s">
        <v>173</v>
      </c>
      <c r="AP297" t="s">
        <v>174</v>
      </c>
      <c r="AQ297" t="s">
        <v>74</v>
      </c>
      <c r="AR297" t="s">
        <v>74</v>
      </c>
      <c r="AS297" t="s">
        <v>74</v>
      </c>
      <c r="AT297" t="s">
        <v>1420</v>
      </c>
      <c r="AU297">
        <v>2024</v>
      </c>
      <c r="AV297">
        <v>654</v>
      </c>
      <c r="AW297" t="s">
        <v>74</v>
      </c>
      <c r="AX297" t="s">
        <v>1549</v>
      </c>
      <c r="AY297" t="s">
        <v>74</v>
      </c>
      <c r="AZ297" t="s">
        <v>74</v>
      </c>
      <c r="BA297" t="s">
        <v>74</v>
      </c>
      <c r="BB297">
        <v>258</v>
      </c>
      <c r="BC297">
        <v>267</v>
      </c>
      <c r="BD297" t="s">
        <v>74</v>
      </c>
      <c r="BE297" t="s">
        <v>2708</v>
      </c>
      <c r="BF297" t="str">
        <f>HYPERLINK("http://dx.doi.org/10.1016/j.jcis.2023.10.031","http://dx.doi.org/10.1016/j.jcis.2023.10.031")</f>
        <v>http://dx.doi.org/10.1016/j.jcis.2023.10.031</v>
      </c>
      <c r="BG297" t="s">
        <v>74</v>
      </c>
      <c r="BH297" t="s">
        <v>2670</v>
      </c>
      <c r="BI297" t="s">
        <v>74</v>
      </c>
      <c r="BJ297" t="s">
        <v>74</v>
      </c>
      <c r="BK297" t="s">
        <v>74</v>
      </c>
      <c r="BL297" t="s">
        <v>74</v>
      </c>
      <c r="BM297" t="s">
        <v>74</v>
      </c>
      <c r="BN297">
        <v>37839242</v>
      </c>
      <c r="BO297" t="s">
        <v>74</v>
      </c>
      <c r="BP297" t="s">
        <v>74</v>
      </c>
      <c r="BQ297" t="s">
        <v>74</v>
      </c>
      <c r="BR297" t="s">
        <v>74</v>
      </c>
      <c r="BS297" t="s">
        <v>2709</v>
      </c>
      <c r="BT297" t="str">
        <f>HYPERLINK("https%3A%2F%2Fwww.webofscience.com%2Fwos%2Fwoscc%2Ffull-record%2FWOS:001097284300001","View Full Record in Web of Science")</f>
        <v>View Full Record in Web of Science</v>
      </c>
    </row>
    <row r="298" spans="1:72" x14ac:dyDescent="0.2">
      <c r="A298" t="s">
        <v>72</v>
      </c>
      <c r="B298" t="s">
        <v>2710</v>
      </c>
      <c r="C298" t="s">
        <v>74</v>
      </c>
      <c r="D298" t="s">
        <v>74</v>
      </c>
      <c r="E298" t="s">
        <v>74</v>
      </c>
      <c r="F298" t="s">
        <v>2711</v>
      </c>
      <c r="G298" t="s">
        <v>74</v>
      </c>
      <c r="H298" t="s">
        <v>74</v>
      </c>
      <c r="I298" t="s">
        <v>2712</v>
      </c>
      <c r="J298" t="s">
        <v>1256</v>
      </c>
      <c r="K298" t="s">
        <v>74</v>
      </c>
      <c r="L298" t="s">
        <v>74</v>
      </c>
      <c r="M298" t="s">
        <v>74</v>
      </c>
      <c r="N298" t="s">
        <v>74</v>
      </c>
      <c r="O298" t="s">
        <v>74</v>
      </c>
      <c r="P298" t="s">
        <v>74</v>
      </c>
      <c r="Q298" t="s">
        <v>74</v>
      </c>
      <c r="R298" t="s">
        <v>74</v>
      </c>
      <c r="S298" t="s">
        <v>74</v>
      </c>
      <c r="T298" t="s">
        <v>74</v>
      </c>
      <c r="U298" t="s">
        <v>74</v>
      </c>
      <c r="V298" t="s">
        <v>2713</v>
      </c>
      <c r="W298" t="s">
        <v>74</v>
      </c>
      <c r="X298" t="s">
        <v>74</v>
      </c>
      <c r="Y298" t="s">
        <v>74</v>
      </c>
      <c r="Z298" t="s">
        <v>74</v>
      </c>
      <c r="AA298" t="s">
        <v>74</v>
      </c>
      <c r="AB298" t="s">
        <v>74</v>
      </c>
      <c r="AC298" t="s">
        <v>74</v>
      </c>
      <c r="AD298" t="s">
        <v>74</v>
      </c>
      <c r="AE298" t="s">
        <v>74</v>
      </c>
      <c r="AF298" t="s">
        <v>74</v>
      </c>
      <c r="AG298" t="s">
        <v>74</v>
      </c>
      <c r="AH298" t="s">
        <v>74</v>
      </c>
      <c r="AI298" t="s">
        <v>74</v>
      </c>
      <c r="AJ298" t="s">
        <v>74</v>
      </c>
      <c r="AK298" t="s">
        <v>74</v>
      </c>
      <c r="AL298" t="s">
        <v>74</v>
      </c>
      <c r="AM298" t="s">
        <v>74</v>
      </c>
      <c r="AN298" t="s">
        <v>74</v>
      </c>
      <c r="AO298" t="s">
        <v>1258</v>
      </c>
      <c r="AP298" t="s">
        <v>1259</v>
      </c>
      <c r="AQ298" t="s">
        <v>74</v>
      </c>
      <c r="AR298" t="s">
        <v>74</v>
      </c>
      <c r="AS298" t="s">
        <v>74</v>
      </c>
      <c r="AT298" t="s">
        <v>2571</v>
      </c>
      <c r="AU298">
        <v>2023</v>
      </c>
      <c r="AV298">
        <v>470</v>
      </c>
      <c r="AW298" t="s">
        <v>74</v>
      </c>
      <c r="AX298" t="s">
        <v>74</v>
      </c>
      <c r="AY298" t="s">
        <v>74</v>
      </c>
      <c r="AZ298" t="s">
        <v>74</v>
      </c>
      <c r="BA298" t="s">
        <v>74</v>
      </c>
      <c r="BB298" t="s">
        <v>74</v>
      </c>
      <c r="BC298" t="s">
        <v>74</v>
      </c>
      <c r="BD298">
        <v>143311</v>
      </c>
      <c r="BE298" t="s">
        <v>2714</v>
      </c>
      <c r="BF298" t="str">
        <f>HYPERLINK("http://dx.doi.org/10.1016/j.electacta.2023.143311","http://dx.doi.org/10.1016/j.electacta.2023.143311")</f>
        <v>http://dx.doi.org/10.1016/j.electacta.2023.143311</v>
      </c>
      <c r="BG298" t="s">
        <v>74</v>
      </c>
      <c r="BH298" t="s">
        <v>2670</v>
      </c>
      <c r="BI298" t="s">
        <v>74</v>
      </c>
      <c r="BJ298" t="s">
        <v>74</v>
      </c>
      <c r="BK298" t="s">
        <v>74</v>
      </c>
      <c r="BL298" t="s">
        <v>74</v>
      </c>
      <c r="BM298" t="s">
        <v>74</v>
      </c>
      <c r="BN298" t="s">
        <v>74</v>
      </c>
      <c r="BO298" t="s">
        <v>74</v>
      </c>
      <c r="BP298" t="s">
        <v>74</v>
      </c>
      <c r="BQ298" t="s">
        <v>74</v>
      </c>
      <c r="BR298" t="s">
        <v>74</v>
      </c>
      <c r="BS298" t="s">
        <v>2715</v>
      </c>
      <c r="BT298" t="str">
        <f>HYPERLINK("https%3A%2F%2Fwww.webofscience.com%2Fwos%2Fwoscc%2Ffull-record%2FWOS:001096492900001","View Full Record in Web of Science")</f>
        <v>View Full Record in Web of Science</v>
      </c>
    </row>
    <row r="299" spans="1:72" x14ac:dyDescent="0.2">
      <c r="A299" t="s">
        <v>72</v>
      </c>
      <c r="B299" t="s">
        <v>2716</v>
      </c>
      <c r="C299" t="s">
        <v>74</v>
      </c>
      <c r="D299" t="s">
        <v>74</v>
      </c>
      <c r="E299" t="s">
        <v>74</v>
      </c>
      <c r="F299" t="s">
        <v>2717</v>
      </c>
      <c r="G299" t="s">
        <v>74</v>
      </c>
      <c r="H299" t="s">
        <v>74</v>
      </c>
      <c r="I299" t="s">
        <v>2718</v>
      </c>
      <c r="J299" t="s">
        <v>2200</v>
      </c>
      <c r="K299" t="s">
        <v>74</v>
      </c>
      <c r="L299" t="s">
        <v>74</v>
      </c>
      <c r="M299" t="s">
        <v>74</v>
      </c>
      <c r="N299" t="s">
        <v>74</v>
      </c>
      <c r="O299" t="s">
        <v>74</v>
      </c>
      <c r="P299" t="s">
        <v>74</v>
      </c>
      <c r="Q299" t="s">
        <v>74</v>
      </c>
      <c r="R299" t="s">
        <v>74</v>
      </c>
      <c r="S299" t="s">
        <v>74</v>
      </c>
      <c r="T299" t="s">
        <v>74</v>
      </c>
      <c r="U299" t="s">
        <v>74</v>
      </c>
      <c r="V299" t="s">
        <v>2719</v>
      </c>
      <c r="W299" t="s">
        <v>74</v>
      </c>
      <c r="X299" t="s">
        <v>74</v>
      </c>
      <c r="Y299" t="s">
        <v>74</v>
      </c>
      <c r="Z299" t="s">
        <v>74</v>
      </c>
      <c r="AA299" t="s">
        <v>2720</v>
      </c>
      <c r="AB299" t="s">
        <v>2721</v>
      </c>
      <c r="AC299" t="s">
        <v>74</v>
      </c>
      <c r="AD299" t="s">
        <v>74</v>
      </c>
      <c r="AE299" t="s">
        <v>74</v>
      </c>
      <c r="AF299" t="s">
        <v>74</v>
      </c>
      <c r="AG299" t="s">
        <v>74</v>
      </c>
      <c r="AH299" t="s">
        <v>74</v>
      </c>
      <c r="AI299" t="s">
        <v>74</v>
      </c>
      <c r="AJ299" t="s">
        <v>74</v>
      </c>
      <c r="AK299" t="s">
        <v>74</v>
      </c>
      <c r="AL299" t="s">
        <v>74</v>
      </c>
      <c r="AM299" t="s">
        <v>74</v>
      </c>
      <c r="AN299" t="s">
        <v>74</v>
      </c>
      <c r="AO299" t="s">
        <v>74</v>
      </c>
      <c r="AP299" t="s">
        <v>2204</v>
      </c>
      <c r="AQ299" t="s">
        <v>74</v>
      </c>
      <c r="AR299" t="s">
        <v>74</v>
      </c>
      <c r="AS299" t="s">
        <v>74</v>
      </c>
      <c r="AT299" t="s">
        <v>954</v>
      </c>
      <c r="AU299">
        <v>2024</v>
      </c>
      <c r="AV299">
        <v>6</v>
      </c>
      <c r="AW299">
        <v>3</v>
      </c>
      <c r="AX299" t="s">
        <v>74</v>
      </c>
      <c r="AY299" t="s">
        <v>74</v>
      </c>
      <c r="AZ299" t="s">
        <v>74</v>
      </c>
      <c r="BA299" t="s">
        <v>74</v>
      </c>
      <c r="BB299" t="s">
        <v>74</v>
      </c>
      <c r="BC299" t="s">
        <v>74</v>
      </c>
      <c r="BD299" t="s">
        <v>74</v>
      </c>
      <c r="BE299" t="s">
        <v>2722</v>
      </c>
      <c r="BF299" t="str">
        <f>HYPERLINK("http://dx.doi.org/10.1002/cey2.427","http://dx.doi.org/10.1002/cey2.427")</f>
        <v>http://dx.doi.org/10.1002/cey2.427</v>
      </c>
      <c r="BG299" t="s">
        <v>74</v>
      </c>
      <c r="BH299" t="s">
        <v>2670</v>
      </c>
      <c r="BI299" t="s">
        <v>74</v>
      </c>
      <c r="BJ299" t="s">
        <v>74</v>
      </c>
      <c r="BK299" t="s">
        <v>74</v>
      </c>
      <c r="BL299" t="s">
        <v>74</v>
      </c>
      <c r="BM299" t="s">
        <v>74</v>
      </c>
      <c r="BN299" t="s">
        <v>74</v>
      </c>
      <c r="BO299" t="s">
        <v>74</v>
      </c>
      <c r="BP299" t="s">
        <v>74</v>
      </c>
      <c r="BQ299" t="s">
        <v>74</v>
      </c>
      <c r="BR299" t="s">
        <v>74</v>
      </c>
      <c r="BS299" t="s">
        <v>2723</v>
      </c>
      <c r="BT299" t="str">
        <f>HYPERLINK("https%3A%2F%2Fwww.webofscience.com%2Fwos%2Fwoscc%2Ffull-record%2FWOS:001075020100001","View Full Record in Web of Science")</f>
        <v>View Full Record in Web of Science</v>
      </c>
    </row>
    <row r="300" spans="1:72" x14ac:dyDescent="0.2">
      <c r="A300" t="s">
        <v>72</v>
      </c>
      <c r="B300" t="s">
        <v>2724</v>
      </c>
      <c r="C300" t="s">
        <v>74</v>
      </c>
      <c r="D300" t="s">
        <v>74</v>
      </c>
      <c r="E300" t="s">
        <v>74</v>
      </c>
      <c r="F300" t="s">
        <v>2725</v>
      </c>
      <c r="G300" t="s">
        <v>74</v>
      </c>
      <c r="H300" t="s">
        <v>74</v>
      </c>
      <c r="I300" t="s">
        <v>2726</v>
      </c>
      <c r="J300" t="s">
        <v>689</v>
      </c>
      <c r="K300" t="s">
        <v>74</v>
      </c>
      <c r="L300" t="s">
        <v>74</v>
      </c>
      <c r="M300" t="s">
        <v>74</v>
      </c>
      <c r="N300" t="s">
        <v>74</v>
      </c>
      <c r="O300" t="s">
        <v>74</v>
      </c>
      <c r="P300" t="s">
        <v>74</v>
      </c>
      <c r="Q300" t="s">
        <v>74</v>
      </c>
      <c r="R300" t="s">
        <v>74</v>
      </c>
      <c r="S300" t="s">
        <v>74</v>
      </c>
      <c r="T300" t="s">
        <v>74</v>
      </c>
      <c r="U300" t="s">
        <v>74</v>
      </c>
      <c r="V300" t="s">
        <v>2727</v>
      </c>
      <c r="W300" t="s">
        <v>74</v>
      </c>
      <c r="X300" t="s">
        <v>74</v>
      </c>
      <c r="Y300" t="s">
        <v>74</v>
      </c>
      <c r="Z300" t="s">
        <v>74</v>
      </c>
      <c r="AA300" t="s">
        <v>2728</v>
      </c>
      <c r="AB300" t="s">
        <v>2729</v>
      </c>
      <c r="AC300" t="s">
        <v>74</v>
      </c>
      <c r="AD300" t="s">
        <v>74</v>
      </c>
      <c r="AE300" t="s">
        <v>74</v>
      </c>
      <c r="AF300" t="s">
        <v>74</v>
      </c>
      <c r="AG300" t="s">
        <v>74</v>
      </c>
      <c r="AH300" t="s">
        <v>74</v>
      </c>
      <c r="AI300" t="s">
        <v>74</v>
      </c>
      <c r="AJ300" t="s">
        <v>74</v>
      </c>
      <c r="AK300" t="s">
        <v>74</v>
      </c>
      <c r="AL300" t="s">
        <v>74</v>
      </c>
      <c r="AM300" t="s">
        <v>74</v>
      </c>
      <c r="AN300" t="s">
        <v>74</v>
      </c>
      <c r="AO300" t="s">
        <v>693</v>
      </c>
      <c r="AP300" t="s">
        <v>694</v>
      </c>
      <c r="AQ300" t="s">
        <v>74</v>
      </c>
      <c r="AR300" t="s">
        <v>74</v>
      </c>
      <c r="AS300" t="s">
        <v>74</v>
      </c>
      <c r="AT300" t="s">
        <v>2730</v>
      </c>
      <c r="AU300">
        <v>2023</v>
      </c>
      <c r="AV300">
        <v>17</v>
      </c>
      <c r="AW300">
        <v>20</v>
      </c>
      <c r="AX300" t="s">
        <v>74</v>
      </c>
      <c r="AY300" t="s">
        <v>74</v>
      </c>
      <c r="AZ300" t="s">
        <v>74</v>
      </c>
      <c r="BA300" t="s">
        <v>74</v>
      </c>
      <c r="BB300">
        <v>20315</v>
      </c>
      <c r="BC300">
        <v>20324</v>
      </c>
      <c r="BD300" t="s">
        <v>74</v>
      </c>
      <c r="BE300" t="s">
        <v>2731</v>
      </c>
      <c r="BF300" t="str">
        <f>HYPERLINK("http://dx.doi.org/10.1021/acsnano.3c06336","http://dx.doi.org/10.1021/acsnano.3c06336")</f>
        <v>http://dx.doi.org/10.1021/acsnano.3c06336</v>
      </c>
      <c r="BG300" t="s">
        <v>74</v>
      </c>
      <c r="BH300" t="s">
        <v>2670</v>
      </c>
      <c r="BI300" t="s">
        <v>74</v>
      </c>
      <c r="BJ300" t="s">
        <v>74</v>
      </c>
      <c r="BK300" t="s">
        <v>74</v>
      </c>
      <c r="BL300" t="s">
        <v>74</v>
      </c>
      <c r="BM300" t="s">
        <v>74</v>
      </c>
      <c r="BN300">
        <v>37787661</v>
      </c>
      <c r="BO300" t="s">
        <v>74</v>
      </c>
      <c r="BP300" t="s">
        <v>74</v>
      </c>
      <c r="BQ300" t="s">
        <v>74</v>
      </c>
      <c r="BR300" t="s">
        <v>74</v>
      </c>
      <c r="BS300" t="s">
        <v>2732</v>
      </c>
      <c r="BT300" t="str">
        <f>HYPERLINK("https%3A%2F%2Fwww.webofscience.com%2Fwos%2Fwoscc%2Ffull-record%2FWOS:001077690700001","View Full Record in Web of Science")</f>
        <v>View Full Record in Web of Science</v>
      </c>
    </row>
    <row r="301" spans="1:72" x14ac:dyDescent="0.2">
      <c r="A301" t="s">
        <v>72</v>
      </c>
      <c r="B301" t="s">
        <v>2733</v>
      </c>
      <c r="C301" t="s">
        <v>74</v>
      </c>
      <c r="D301" t="s">
        <v>74</v>
      </c>
      <c r="E301" t="s">
        <v>74</v>
      </c>
      <c r="F301" t="s">
        <v>2734</v>
      </c>
      <c r="G301" t="s">
        <v>74</v>
      </c>
      <c r="H301" t="s">
        <v>74</v>
      </c>
      <c r="I301" t="s">
        <v>2735</v>
      </c>
      <c r="J301" t="s">
        <v>140</v>
      </c>
      <c r="K301" t="s">
        <v>74</v>
      </c>
      <c r="L301" t="s">
        <v>74</v>
      </c>
      <c r="M301" t="s">
        <v>74</v>
      </c>
      <c r="N301" t="s">
        <v>74</v>
      </c>
      <c r="O301" t="s">
        <v>74</v>
      </c>
      <c r="P301" t="s">
        <v>74</v>
      </c>
      <c r="Q301" t="s">
        <v>74</v>
      </c>
      <c r="R301" t="s">
        <v>74</v>
      </c>
      <c r="S301" t="s">
        <v>74</v>
      </c>
      <c r="T301" t="s">
        <v>74</v>
      </c>
      <c r="U301" t="s">
        <v>74</v>
      </c>
      <c r="V301" t="s">
        <v>2736</v>
      </c>
      <c r="W301" t="s">
        <v>74</v>
      </c>
      <c r="X301" t="s">
        <v>74</v>
      </c>
      <c r="Y301" t="s">
        <v>74</v>
      </c>
      <c r="Z301" t="s">
        <v>74</v>
      </c>
      <c r="AA301" t="s">
        <v>74</v>
      </c>
      <c r="AB301" t="s">
        <v>74</v>
      </c>
      <c r="AC301" t="s">
        <v>74</v>
      </c>
      <c r="AD301" t="s">
        <v>74</v>
      </c>
      <c r="AE301" t="s">
        <v>74</v>
      </c>
      <c r="AF301" t="s">
        <v>74</v>
      </c>
      <c r="AG301" t="s">
        <v>74</v>
      </c>
      <c r="AH301" t="s">
        <v>74</v>
      </c>
      <c r="AI301" t="s">
        <v>74</v>
      </c>
      <c r="AJ301" t="s">
        <v>74</v>
      </c>
      <c r="AK301" t="s">
        <v>74</v>
      </c>
      <c r="AL301" t="s">
        <v>74</v>
      </c>
      <c r="AM301" t="s">
        <v>74</v>
      </c>
      <c r="AN301" t="s">
        <v>74</v>
      </c>
      <c r="AO301" t="s">
        <v>142</v>
      </c>
      <c r="AP301" t="s">
        <v>143</v>
      </c>
      <c r="AQ301" t="s">
        <v>74</v>
      </c>
      <c r="AR301" t="s">
        <v>74</v>
      </c>
      <c r="AS301" t="s">
        <v>74</v>
      </c>
      <c r="AT301" t="s">
        <v>2737</v>
      </c>
      <c r="AU301">
        <v>2023</v>
      </c>
      <c r="AV301">
        <v>73</v>
      </c>
      <c r="AW301" t="s">
        <v>74</v>
      </c>
      <c r="AX301" t="s">
        <v>2738</v>
      </c>
      <c r="AY301" t="s">
        <v>74</v>
      </c>
      <c r="AZ301" t="s">
        <v>74</v>
      </c>
      <c r="BA301" t="s">
        <v>74</v>
      </c>
      <c r="BB301" t="s">
        <v>74</v>
      </c>
      <c r="BC301" t="s">
        <v>74</v>
      </c>
      <c r="BD301">
        <v>109086</v>
      </c>
      <c r="BE301" t="s">
        <v>2739</v>
      </c>
      <c r="BF301" t="str">
        <f>HYPERLINK("http://dx.doi.org/10.1016/j.est.2023.109086","http://dx.doi.org/10.1016/j.est.2023.109086")</f>
        <v>http://dx.doi.org/10.1016/j.est.2023.109086</v>
      </c>
      <c r="BG301" t="s">
        <v>74</v>
      </c>
      <c r="BH301" t="s">
        <v>2740</v>
      </c>
      <c r="BI301" t="s">
        <v>74</v>
      </c>
      <c r="BJ301" t="s">
        <v>74</v>
      </c>
      <c r="BK301" t="s">
        <v>74</v>
      </c>
      <c r="BL301" t="s">
        <v>74</v>
      </c>
      <c r="BM301" t="s">
        <v>74</v>
      </c>
      <c r="BN301" t="s">
        <v>74</v>
      </c>
      <c r="BO301" t="s">
        <v>74</v>
      </c>
      <c r="BP301" t="s">
        <v>74</v>
      </c>
      <c r="BQ301" t="s">
        <v>74</v>
      </c>
      <c r="BR301" t="s">
        <v>74</v>
      </c>
      <c r="BS301" t="s">
        <v>2741</v>
      </c>
      <c r="BT301" t="str">
        <f>HYPERLINK("https%3A%2F%2Fwww.webofscience.com%2Fwos%2Fwoscc%2Ffull-record%2FWOS:001097675400001","View Full Record in Web of Science")</f>
        <v>View Full Record in Web of Science</v>
      </c>
    </row>
    <row r="302" spans="1:72" x14ac:dyDescent="0.2">
      <c r="A302" t="s">
        <v>72</v>
      </c>
      <c r="B302" t="s">
        <v>2742</v>
      </c>
      <c r="C302" t="s">
        <v>74</v>
      </c>
      <c r="D302" t="s">
        <v>74</v>
      </c>
      <c r="E302" t="s">
        <v>74</v>
      </c>
      <c r="F302" t="s">
        <v>2743</v>
      </c>
      <c r="G302" t="s">
        <v>74</v>
      </c>
      <c r="H302" t="s">
        <v>74</v>
      </c>
      <c r="I302" t="s">
        <v>2744</v>
      </c>
      <c r="J302" t="s">
        <v>498</v>
      </c>
      <c r="K302" t="s">
        <v>74</v>
      </c>
      <c r="L302" t="s">
        <v>74</v>
      </c>
      <c r="M302" t="s">
        <v>74</v>
      </c>
      <c r="N302" t="s">
        <v>74</v>
      </c>
      <c r="O302" t="s">
        <v>74</v>
      </c>
      <c r="P302" t="s">
        <v>74</v>
      </c>
      <c r="Q302" t="s">
        <v>74</v>
      </c>
      <c r="R302" t="s">
        <v>74</v>
      </c>
      <c r="S302" t="s">
        <v>74</v>
      </c>
      <c r="T302" t="s">
        <v>74</v>
      </c>
      <c r="U302" t="s">
        <v>74</v>
      </c>
      <c r="V302" t="s">
        <v>2745</v>
      </c>
      <c r="W302" t="s">
        <v>74</v>
      </c>
      <c r="X302" t="s">
        <v>74</v>
      </c>
      <c r="Y302" t="s">
        <v>74</v>
      </c>
      <c r="Z302" t="s">
        <v>74</v>
      </c>
      <c r="AA302" t="s">
        <v>2746</v>
      </c>
      <c r="AB302" t="s">
        <v>2747</v>
      </c>
      <c r="AC302" t="s">
        <v>74</v>
      </c>
      <c r="AD302" t="s">
        <v>74</v>
      </c>
      <c r="AE302" t="s">
        <v>74</v>
      </c>
      <c r="AF302" t="s">
        <v>74</v>
      </c>
      <c r="AG302" t="s">
        <v>74</v>
      </c>
      <c r="AH302" t="s">
        <v>74</v>
      </c>
      <c r="AI302" t="s">
        <v>74</v>
      </c>
      <c r="AJ302" t="s">
        <v>74</v>
      </c>
      <c r="AK302" t="s">
        <v>74</v>
      </c>
      <c r="AL302" t="s">
        <v>74</v>
      </c>
      <c r="AM302" t="s">
        <v>74</v>
      </c>
      <c r="AN302" t="s">
        <v>74</v>
      </c>
      <c r="AO302" t="s">
        <v>502</v>
      </c>
      <c r="AP302" t="s">
        <v>503</v>
      </c>
      <c r="AQ302" t="s">
        <v>74</v>
      </c>
      <c r="AR302" t="s">
        <v>74</v>
      </c>
      <c r="AS302" t="s">
        <v>74</v>
      </c>
      <c r="AT302" t="s">
        <v>2748</v>
      </c>
      <c r="AU302">
        <v>2023</v>
      </c>
      <c r="AV302">
        <v>127</v>
      </c>
      <c r="AW302">
        <v>40</v>
      </c>
      <c r="AX302" t="s">
        <v>74</v>
      </c>
      <c r="AY302" t="s">
        <v>74</v>
      </c>
      <c r="AZ302" t="s">
        <v>74</v>
      </c>
      <c r="BA302" t="s">
        <v>74</v>
      </c>
      <c r="BB302">
        <v>19963</v>
      </c>
      <c r="BC302">
        <v>19972</v>
      </c>
      <c r="BD302" t="s">
        <v>74</v>
      </c>
      <c r="BE302" t="s">
        <v>2749</v>
      </c>
      <c r="BF302" t="str">
        <f>HYPERLINK("http://dx.doi.org/10.1021/acs.jpcc.3c03997","http://dx.doi.org/10.1021/acs.jpcc.3c03997")</f>
        <v>http://dx.doi.org/10.1021/acs.jpcc.3c03997</v>
      </c>
      <c r="BG302" t="s">
        <v>74</v>
      </c>
      <c r="BH302" t="s">
        <v>2740</v>
      </c>
      <c r="BI302" t="s">
        <v>74</v>
      </c>
      <c r="BJ302" t="s">
        <v>74</v>
      </c>
      <c r="BK302" t="s">
        <v>74</v>
      </c>
      <c r="BL302" t="s">
        <v>74</v>
      </c>
      <c r="BM302" t="s">
        <v>74</v>
      </c>
      <c r="BN302" t="s">
        <v>74</v>
      </c>
      <c r="BO302" t="s">
        <v>74</v>
      </c>
      <c r="BP302" t="s">
        <v>74</v>
      </c>
      <c r="BQ302" t="s">
        <v>74</v>
      </c>
      <c r="BR302" t="s">
        <v>74</v>
      </c>
      <c r="BS302" t="s">
        <v>2750</v>
      </c>
      <c r="BT302" t="str">
        <f>HYPERLINK("https%3A%2F%2Fwww.webofscience.com%2Fwos%2Fwoscc%2Ffull-record%2FWOS:001074990600001","View Full Record in Web of Science")</f>
        <v>View Full Record in Web of Science</v>
      </c>
    </row>
    <row r="303" spans="1:72" x14ac:dyDescent="0.2">
      <c r="A303" t="s">
        <v>72</v>
      </c>
      <c r="B303" t="s">
        <v>2751</v>
      </c>
      <c r="C303" t="s">
        <v>74</v>
      </c>
      <c r="D303" t="s">
        <v>74</v>
      </c>
      <c r="E303" t="s">
        <v>74</v>
      </c>
      <c r="F303" t="s">
        <v>2752</v>
      </c>
      <c r="G303" t="s">
        <v>74</v>
      </c>
      <c r="H303" t="s">
        <v>74</v>
      </c>
      <c r="I303" t="s">
        <v>2753</v>
      </c>
      <c r="J303" t="s">
        <v>278</v>
      </c>
      <c r="K303" t="s">
        <v>74</v>
      </c>
      <c r="L303" t="s">
        <v>74</v>
      </c>
      <c r="M303" t="s">
        <v>74</v>
      </c>
      <c r="N303" t="s">
        <v>74</v>
      </c>
      <c r="O303" t="s">
        <v>74</v>
      </c>
      <c r="P303" t="s">
        <v>74</v>
      </c>
      <c r="Q303" t="s">
        <v>74</v>
      </c>
      <c r="R303" t="s">
        <v>74</v>
      </c>
      <c r="S303" t="s">
        <v>74</v>
      </c>
      <c r="T303" t="s">
        <v>74</v>
      </c>
      <c r="U303" t="s">
        <v>74</v>
      </c>
      <c r="V303" t="s">
        <v>2754</v>
      </c>
      <c r="W303" t="s">
        <v>74</v>
      </c>
      <c r="X303" t="s">
        <v>74</v>
      </c>
      <c r="Y303" t="s">
        <v>74</v>
      </c>
      <c r="Z303" t="s">
        <v>74</v>
      </c>
      <c r="AA303" t="s">
        <v>2755</v>
      </c>
      <c r="AB303" t="s">
        <v>2756</v>
      </c>
      <c r="AC303" t="s">
        <v>74</v>
      </c>
      <c r="AD303" t="s">
        <v>74</v>
      </c>
      <c r="AE303" t="s">
        <v>74</v>
      </c>
      <c r="AF303" t="s">
        <v>74</v>
      </c>
      <c r="AG303" t="s">
        <v>74</v>
      </c>
      <c r="AH303" t="s">
        <v>74</v>
      </c>
      <c r="AI303" t="s">
        <v>74</v>
      </c>
      <c r="AJ303" t="s">
        <v>74</v>
      </c>
      <c r="AK303" t="s">
        <v>74</v>
      </c>
      <c r="AL303" t="s">
        <v>74</v>
      </c>
      <c r="AM303" t="s">
        <v>74</v>
      </c>
      <c r="AN303" t="s">
        <v>74</v>
      </c>
      <c r="AO303" t="s">
        <v>281</v>
      </c>
      <c r="AP303" t="s">
        <v>282</v>
      </c>
      <c r="AQ303" t="s">
        <v>74</v>
      </c>
      <c r="AR303" t="s">
        <v>74</v>
      </c>
      <c r="AS303" t="s">
        <v>74</v>
      </c>
      <c r="AT303" t="s">
        <v>2757</v>
      </c>
      <c r="AU303">
        <v>2023</v>
      </c>
      <c r="AV303">
        <v>11</v>
      </c>
      <c r="AW303">
        <v>41</v>
      </c>
      <c r="AX303" t="s">
        <v>74</v>
      </c>
      <c r="AY303" t="s">
        <v>74</v>
      </c>
      <c r="AZ303" t="s">
        <v>74</v>
      </c>
      <c r="BA303" t="s">
        <v>74</v>
      </c>
      <c r="BB303">
        <v>22329</v>
      </c>
      <c r="BC303">
        <v>22339</v>
      </c>
      <c r="BD303" t="s">
        <v>74</v>
      </c>
      <c r="BE303" t="s">
        <v>2758</v>
      </c>
      <c r="BF303" t="str">
        <f>HYPERLINK("http://dx.doi.org/10.1039/d3ta03741j","http://dx.doi.org/10.1039/d3ta03741j")</f>
        <v>http://dx.doi.org/10.1039/d3ta03741j</v>
      </c>
      <c r="BG303" t="s">
        <v>74</v>
      </c>
      <c r="BH303" t="s">
        <v>2740</v>
      </c>
      <c r="BI303" t="s">
        <v>74</v>
      </c>
      <c r="BJ303" t="s">
        <v>74</v>
      </c>
      <c r="BK303" t="s">
        <v>74</v>
      </c>
      <c r="BL303" t="s">
        <v>74</v>
      </c>
      <c r="BM303" t="s">
        <v>74</v>
      </c>
      <c r="BN303" t="s">
        <v>74</v>
      </c>
      <c r="BO303" t="s">
        <v>74</v>
      </c>
      <c r="BP303" t="s">
        <v>74</v>
      </c>
      <c r="BQ303" t="s">
        <v>74</v>
      </c>
      <c r="BR303" t="s">
        <v>74</v>
      </c>
      <c r="BS303" t="s">
        <v>2759</v>
      </c>
      <c r="BT303" t="str">
        <f>HYPERLINK("https%3A%2F%2Fwww.webofscience.com%2Fwos%2Fwoscc%2Ffull-record%2FWOS:001078126300001","View Full Record in Web of Science")</f>
        <v>View Full Record in Web of Science</v>
      </c>
    </row>
    <row r="304" spans="1:72" x14ac:dyDescent="0.2">
      <c r="A304" t="s">
        <v>72</v>
      </c>
      <c r="B304" t="s">
        <v>2760</v>
      </c>
      <c r="C304" t="s">
        <v>74</v>
      </c>
      <c r="D304" t="s">
        <v>74</v>
      </c>
      <c r="E304" t="s">
        <v>74</v>
      </c>
      <c r="F304" t="s">
        <v>2761</v>
      </c>
      <c r="G304" t="s">
        <v>74</v>
      </c>
      <c r="H304" t="s">
        <v>74</v>
      </c>
      <c r="I304" t="s">
        <v>2762</v>
      </c>
      <c r="J304" t="s">
        <v>2763</v>
      </c>
      <c r="K304" t="s">
        <v>74</v>
      </c>
      <c r="L304" t="s">
        <v>74</v>
      </c>
      <c r="M304" t="s">
        <v>74</v>
      </c>
      <c r="N304" t="s">
        <v>74</v>
      </c>
      <c r="O304" t="s">
        <v>74</v>
      </c>
      <c r="P304" t="s">
        <v>74</v>
      </c>
      <c r="Q304" t="s">
        <v>74</v>
      </c>
      <c r="R304" t="s">
        <v>74</v>
      </c>
      <c r="S304" t="s">
        <v>74</v>
      </c>
      <c r="T304" t="s">
        <v>74</v>
      </c>
      <c r="U304" t="s">
        <v>74</v>
      </c>
      <c r="V304" t="s">
        <v>2764</v>
      </c>
      <c r="W304" t="s">
        <v>74</v>
      </c>
      <c r="X304" t="s">
        <v>74</v>
      </c>
      <c r="Y304" t="s">
        <v>74</v>
      </c>
      <c r="Z304" t="s">
        <v>74</v>
      </c>
      <c r="AA304" t="s">
        <v>2765</v>
      </c>
      <c r="AB304" t="s">
        <v>74</v>
      </c>
      <c r="AC304" t="s">
        <v>74</v>
      </c>
      <c r="AD304" t="s">
        <v>74</v>
      </c>
      <c r="AE304" t="s">
        <v>74</v>
      </c>
      <c r="AF304" t="s">
        <v>74</v>
      </c>
      <c r="AG304" t="s">
        <v>74</v>
      </c>
      <c r="AH304" t="s">
        <v>74</v>
      </c>
      <c r="AI304" t="s">
        <v>74</v>
      </c>
      <c r="AJ304" t="s">
        <v>74</v>
      </c>
      <c r="AK304" t="s">
        <v>74</v>
      </c>
      <c r="AL304" t="s">
        <v>74</v>
      </c>
      <c r="AM304" t="s">
        <v>74</v>
      </c>
      <c r="AN304" t="s">
        <v>74</v>
      </c>
      <c r="AO304" t="s">
        <v>2766</v>
      </c>
      <c r="AP304" t="s">
        <v>74</v>
      </c>
      <c r="AQ304" t="s">
        <v>74</v>
      </c>
      <c r="AR304" t="s">
        <v>74</v>
      </c>
      <c r="AS304" t="s">
        <v>74</v>
      </c>
      <c r="AT304" t="s">
        <v>2767</v>
      </c>
      <c r="AU304">
        <v>2023</v>
      </c>
      <c r="AV304">
        <v>35</v>
      </c>
      <c r="AW304">
        <v>9</v>
      </c>
      <c r="AX304" t="s">
        <v>74</v>
      </c>
      <c r="AY304" t="s">
        <v>74</v>
      </c>
      <c r="AZ304" t="s">
        <v>74</v>
      </c>
      <c r="BA304" t="s">
        <v>74</v>
      </c>
      <c r="BB304">
        <v>1327</v>
      </c>
      <c r="BC304">
        <v>1340</v>
      </c>
      <c r="BD304" t="s">
        <v>74</v>
      </c>
      <c r="BE304" t="s">
        <v>2768</v>
      </c>
      <c r="BF304" t="str">
        <f>HYPERLINK("http://dx.doi.org/10.7536/PC221007","http://dx.doi.org/10.7536/PC221007")</f>
        <v>http://dx.doi.org/10.7536/PC221007</v>
      </c>
      <c r="BG304" t="s">
        <v>74</v>
      </c>
      <c r="BH304" t="s">
        <v>74</v>
      </c>
      <c r="BI304" t="s">
        <v>74</v>
      </c>
      <c r="BJ304" t="s">
        <v>74</v>
      </c>
      <c r="BK304" t="s">
        <v>74</v>
      </c>
      <c r="BL304" t="s">
        <v>74</v>
      </c>
      <c r="BM304" t="s">
        <v>74</v>
      </c>
      <c r="BN304" t="s">
        <v>74</v>
      </c>
      <c r="BO304" t="s">
        <v>74</v>
      </c>
      <c r="BP304" t="s">
        <v>74</v>
      </c>
      <c r="BQ304" t="s">
        <v>74</v>
      </c>
      <c r="BR304" t="s">
        <v>74</v>
      </c>
      <c r="BS304" t="s">
        <v>2769</v>
      </c>
      <c r="BT304" t="str">
        <f>HYPERLINK("https%3A%2F%2Fwww.webofscience.com%2Fwos%2Fwoscc%2Ffull-record%2FWOS:001108855200001","View Full Record in Web of Science")</f>
        <v>View Full Record in Web of Science</v>
      </c>
    </row>
    <row r="305" spans="1:72" x14ac:dyDescent="0.2">
      <c r="A305" t="s">
        <v>72</v>
      </c>
      <c r="B305" t="s">
        <v>2770</v>
      </c>
      <c r="C305" t="s">
        <v>74</v>
      </c>
      <c r="D305" t="s">
        <v>74</v>
      </c>
      <c r="E305" t="s">
        <v>74</v>
      </c>
      <c r="F305" t="s">
        <v>2771</v>
      </c>
      <c r="G305" t="s">
        <v>74</v>
      </c>
      <c r="H305" t="s">
        <v>74</v>
      </c>
      <c r="I305" t="s">
        <v>2772</v>
      </c>
      <c r="J305" t="s">
        <v>151</v>
      </c>
      <c r="K305" t="s">
        <v>74</v>
      </c>
      <c r="L305" t="s">
        <v>74</v>
      </c>
      <c r="M305" t="s">
        <v>74</v>
      </c>
      <c r="N305" t="s">
        <v>74</v>
      </c>
      <c r="O305" t="s">
        <v>74</v>
      </c>
      <c r="P305" t="s">
        <v>74</v>
      </c>
      <c r="Q305" t="s">
        <v>74</v>
      </c>
      <c r="R305" t="s">
        <v>74</v>
      </c>
      <c r="S305" t="s">
        <v>74</v>
      </c>
      <c r="T305" t="s">
        <v>74</v>
      </c>
      <c r="U305" t="s">
        <v>74</v>
      </c>
      <c r="V305" t="s">
        <v>2773</v>
      </c>
      <c r="W305" t="s">
        <v>74</v>
      </c>
      <c r="X305" t="s">
        <v>74</v>
      </c>
      <c r="Y305" t="s">
        <v>74</v>
      </c>
      <c r="Z305" t="s">
        <v>74</v>
      </c>
      <c r="AA305" t="s">
        <v>2774</v>
      </c>
      <c r="AB305" t="s">
        <v>2775</v>
      </c>
      <c r="AC305" t="s">
        <v>74</v>
      </c>
      <c r="AD305" t="s">
        <v>74</v>
      </c>
      <c r="AE305" t="s">
        <v>74</v>
      </c>
      <c r="AF305" t="s">
        <v>74</v>
      </c>
      <c r="AG305" t="s">
        <v>74</v>
      </c>
      <c r="AH305" t="s">
        <v>74</v>
      </c>
      <c r="AI305" t="s">
        <v>74</v>
      </c>
      <c r="AJ305" t="s">
        <v>74</v>
      </c>
      <c r="AK305" t="s">
        <v>74</v>
      </c>
      <c r="AL305" t="s">
        <v>74</v>
      </c>
      <c r="AM305" t="s">
        <v>74</v>
      </c>
      <c r="AN305" t="s">
        <v>74</v>
      </c>
      <c r="AO305" t="s">
        <v>153</v>
      </c>
      <c r="AP305" t="s">
        <v>154</v>
      </c>
      <c r="AQ305" t="s">
        <v>74</v>
      </c>
      <c r="AR305" t="s">
        <v>74</v>
      </c>
      <c r="AS305" t="s">
        <v>74</v>
      </c>
      <c r="AT305" t="s">
        <v>92</v>
      </c>
      <c r="AU305">
        <v>2023</v>
      </c>
      <c r="AV305">
        <v>63</v>
      </c>
      <c r="AW305" t="s">
        <v>74</v>
      </c>
      <c r="AX305" t="s">
        <v>74</v>
      </c>
      <c r="AY305" t="s">
        <v>74</v>
      </c>
      <c r="AZ305" t="s">
        <v>74</v>
      </c>
      <c r="BA305" t="s">
        <v>74</v>
      </c>
      <c r="BB305" t="s">
        <v>74</v>
      </c>
      <c r="BC305" t="s">
        <v>74</v>
      </c>
      <c r="BD305">
        <v>102984</v>
      </c>
      <c r="BE305" t="s">
        <v>2776</v>
      </c>
      <c r="BF305" t="str">
        <f>HYPERLINK("http://dx.doi.org/10.1016/j.ensm.2023.102984","http://dx.doi.org/10.1016/j.ensm.2023.102984")</f>
        <v>http://dx.doi.org/10.1016/j.ensm.2023.102984</v>
      </c>
      <c r="BG305" t="s">
        <v>74</v>
      </c>
      <c r="BH305" t="s">
        <v>2740</v>
      </c>
      <c r="BI305" t="s">
        <v>74</v>
      </c>
      <c r="BJ305" t="s">
        <v>74</v>
      </c>
      <c r="BK305" t="s">
        <v>74</v>
      </c>
      <c r="BL305" t="s">
        <v>74</v>
      </c>
      <c r="BM305" t="s">
        <v>74</v>
      </c>
      <c r="BN305" t="s">
        <v>74</v>
      </c>
      <c r="BO305" t="s">
        <v>74</v>
      </c>
      <c r="BP305" t="s">
        <v>74</v>
      </c>
      <c r="BQ305" t="s">
        <v>74</v>
      </c>
      <c r="BR305" t="s">
        <v>74</v>
      </c>
      <c r="BS305" t="s">
        <v>2777</v>
      </c>
      <c r="BT305" t="str">
        <f>HYPERLINK("https%3A%2F%2Fwww.webofscience.com%2Fwos%2Fwoscc%2Ffull-record%2FWOS:001084854000001","View Full Record in Web of Science")</f>
        <v>View Full Record in Web of Science</v>
      </c>
    </row>
    <row r="306" spans="1:72" x14ac:dyDescent="0.2">
      <c r="A306" t="s">
        <v>72</v>
      </c>
      <c r="B306" t="s">
        <v>2778</v>
      </c>
      <c r="C306" t="s">
        <v>74</v>
      </c>
      <c r="D306" t="s">
        <v>74</v>
      </c>
      <c r="E306" t="s">
        <v>74</v>
      </c>
      <c r="F306" t="s">
        <v>2779</v>
      </c>
      <c r="G306" t="s">
        <v>74</v>
      </c>
      <c r="H306" t="s">
        <v>74</v>
      </c>
      <c r="I306" t="s">
        <v>2780</v>
      </c>
      <c r="J306" t="s">
        <v>267</v>
      </c>
      <c r="K306" t="s">
        <v>74</v>
      </c>
      <c r="L306" t="s">
        <v>74</v>
      </c>
      <c r="M306" t="s">
        <v>74</v>
      </c>
      <c r="N306" t="s">
        <v>74</v>
      </c>
      <c r="O306" t="s">
        <v>74</v>
      </c>
      <c r="P306" t="s">
        <v>74</v>
      </c>
      <c r="Q306" t="s">
        <v>74</v>
      </c>
      <c r="R306" t="s">
        <v>74</v>
      </c>
      <c r="S306" t="s">
        <v>74</v>
      </c>
      <c r="T306" t="s">
        <v>74</v>
      </c>
      <c r="U306" t="s">
        <v>74</v>
      </c>
      <c r="V306" t="s">
        <v>2781</v>
      </c>
      <c r="W306" t="s">
        <v>74</v>
      </c>
      <c r="X306" t="s">
        <v>74</v>
      </c>
      <c r="Y306" t="s">
        <v>74</v>
      </c>
      <c r="Z306" t="s">
        <v>74</v>
      </c>
      <c r="AA306" t="s">
        <v>2782</v>
      </c>
      <c r="AB306" t="s">
        <v>74</v>
      </c>
      <c r="AC306" t="s">
        <v>74</v>
      </c>
      <c r="AD306" t="s">
        <v>74</v>
      </c>
      <c r="AE306" t="s">
        <v>74</v>
      </c>
      <c r="AF306" t="s">
        <v>74</v>
      </c>
      <c r="AG306" t="s">
        <v>74</v>
      </c>
      <c r="AH306" t="s">
        <v>74</v>
      </c>
      <c r="AI306" t="s">
        <v>74</v>
      </c>
      <c r="AJ306" t="s">
        <v>74</v>
      </c>
      <c r="AK306" t="s">
        <v>74</v>
      </c>
      <c r="AL306" t="s">
        <v>74</v>
      </c>
      <c r="AM306" t="s">
        <v>74</v>
      </c>
      <c r="AN306" t="s">
        <v>74</v>
      </c>
      <c r="AO306" t="s">
        <v>270</v>
      </c>
      <c r="AP306" t="s">
        <v>271</v>
      </c>
      <c r="AQ306" t="s">
        <v>74</v>
      </c>
      <c r="AR306" t="s">
        <v>74</v>
      </c>
      <c r="AS306" t="s">
        <v>74</v>
      </c>
      <c r="AT306" t="s">
        <v>1194</v>
      </c>
      <c r="AU306">
        <v>2024</v>
      </c>
      <c r="AV306">
        <v>34</v>
      </c>
      <c r="AW306">
        <v>1</v>
      </c>
      <c r="AX306" t="s">
        <v>74</v>
      </c>
      <c r="AY306" t="s">
        <v>74</v>
      </c>
      <c r="AZ306" t="s">
        <v>74</v>
      </c>
      <c r="BA306" t="s">
        <v>74</v>
      </c>
      <c r="BB306" t="s">
        <v>74</v>
      </c>
      <c r="BC306" t="s">
        <v>74</v>
      </c>
      <c r="BD306" t="s">
        <v>74</v>
      </c>
      <c r="BE306" t="s">
        <v>2783</v>
      </c>
      <c r="BF306" t="str">
        <f>HYPERLINK("http://dx.doi.org/10.1002/adfm.202307677","http://dx.doi.org/10.1002/adfm.202307677")</f>
        <v>http://dx.doi.org/10.1002/adfm.202307677</v>
      </c>
      <c r="BG306" t="s">
        <v>74</v>
      </c>
      <c r="BH306" t="s">
        <v>2740</v>
      </c>
      <c r="BI306" t="s">
        <v>74</v>
      </c>
      <c r="BJ306" t="s">
        <v>74</v>
      </c>
      <c r="BK306" t="s">
        <v>74</v>
      </c>
      <c r="BL306" t="s">
        <v>74</v>
      </c>
      <c r="BM306" t="s">
        <v>74</v>
      </c>
      <c r="BN306" t="s">
        <v>74</v>
      </c>
      <c r="BO306" t="s">
        <v>74</v>
      </c>
      <c r="BP306" t="s">
        <v>74</v>
      </c>
      <c r="BQ306" t="s">
        <v>74</v>
      </c>
      <c r="BR306" t="s">
        <v>74</v>
      </c>
      <c r="BS306" t="s">
        <v>2784</v>
      </c>
      <c r="BT306" t="str">
        <f>HYPERLINK("https%3A%2F%2Fwww.webofscience.com%2Fwos%2Fwoscc%2Ffull-record%2FWOS:001066412600001","View Full Record in Web of Science")</f>
        <v>View Full Record in Web of Science</v>
      </c>
    </row>
    <row r="307" spans="1:72" x14ac:dyDescent="0.2">
      <c r="A307" t="s">
        <v>72</v>
      </c>
      <c r="B307" t="s">
        <v>2785</v>
      </c>
      <c r="C307" t="s">
        <v>74</v>
      </c>
      <c r="D307" t="s">
        <v>74</v>
      </c>
      <c r="E307" t="s">
        <v>74</v>
      </c>
      <c r="F307" t="s">
        <v>2786</v>
      </c>
      <c r="G307" t="s">
        <v>74</v>
      </c>
      <c r="H307" t="s">
        <v>74</v>
      </c>
      <c r="I307" t="s">
        <v>2787</v>
      </c>
      <c r="J307" t="s">
        <v>151</v>
      </c>
      <c r="K307" t="s">
        <v>74</v>
      </c>
      <c r="L307" t="s">
        <v>74</v>
      </c>
      <c r="M307" t="s">
        <v>74</v>
      </c>
      <c r="N307" t="s">
        <v>74</v>
      </c>
      <c r="O307" t="s">
        <v>74</v>
      </c>
      <c r="P307" t="s">
        <v>74</v>
      </c>
      <c r="Q307" t="s">
        <v>74</v>
      </c>
      <c r="R307" t="s">
        <v>74</v>
      </c>
      <c r="S307" t="s">
        <v>74</v>
      </c>
      <c r="T307" t="s">
        <v>74</v>
      </c>
      <c r="U307" t="s">
        <v>74</v>
      </c>
      <c r="V307" t="s">
        <v>2788</v>
      </c>
      <c r="W307" t="s">
        <v>74</v>
      </c>
      <c r="X307" t="s">
        <v>74</v>
      </c>
      <c r="Y307" t="s">
        <v>74</v>
      </c>
      <c r="Z307" t="s">
        <v>74</v>
      </c>
      <c r="AA307" t="s">
        <v>2789</v>
      </c>
      <c r="AB307" t="s">
        <v>1637</v>
      </c>
      <c r="AC307" t="s">
        <v>74</v>
      </c>
      <c r="AD307" t="s">
        <v>74</v>
      </c>
      <c r="AE307" t="s">
        <v>74</v>
      </c>
      <c r="AF307" t="s">
        <v>74</v>
      </c>
      <c r="AG307" t="s">
        <v>74</v>
      </c>
      <c r="AH307" t="s">
        <v>74</v>
      </c>
      <c r="AI307" t="s">
        <v>74</v>
      </c>
      <c r="AJ307" t="s">
        <v>74</v>
      </c>
      <c r="AK307" t="s">
        <v>74</v>
      </c>
      <c r="AL307" t="s">
        <v>74</v>
      </c>
      <c r="AM307" t="s">
        <v>74</v>
      </c>
      <c r="AN307" t="s">
        <v>74</v>
      </c>
      <c r="AO307" t="s">
        <v>153</v>
      </c>
      <c r="AP307" t="s">
        <v>154</v>
      </c>
      <c r="AQ307" t="s">
        <v>74</v>
      </c>
      <c r="AR307" t="s">
        <v>74</v>
      </c>
      <c r="AS307" t="s">
        <v>74</v>
      </c>
      <c r="AT307" t="s">
        <v>155</v>
      </c>
      <c r="AU307">
        <v>2023</v>
      </c>
      <c r="AV307">
        <v>62</v>
      </c>
      <c r="AW307" t="s">
        <v>74</v>
      </c>
      <c r="AX307" t="s">
        <v>74</v>
      </c>
      <c r="AY307" t="s">
        <v>74</v>
      </c>
      <c r="AZ307" t="s">
        <v>74</v>
      </c>
      <c r="BA307" t="s">
        <v>74</v>
      </c>
      <c r="BB307" t="s">
        <v>74</v>
      </c>
      <c r="BC307" t="s">
        <v>74</v>
      </c>
      <c r="BD307">
        <v>102959</v>
      </c>
      <c r="BE307" t="s">
        <v>2790</v>
      </c>
      <c r="BF307" t="str">
        <f>HYPERLINK("http://dx.doi.org/10.1016/j.ensm.2023.102959","http://dx.doi.org/10.1016/j.ensm.2023.102959")</f>
        <v>http://dx.doi.org/10.1016/j.ensm.2023.102959</v>
      </c>
      <c r="BG307" t="s">
        <v>74</v>
      </c>
      <c r="BH307" t="s">
        <v>2740</v>
      </c>
      <c r="BI307" t="s">
        <v>74</v>
      </c>
      <c r="BJ307" t="s">
        <v>74</v>
      </c>
      <c r="BK307" t="s">
        <v>74</v>
      </c>
      <c r="BL307" t="s">
        <v>74</v>
      </c>
      <c r="BM307" t="s">
        <v>74</v>
      </c>
      <c r="BN307" t="s">
        <v>74</v>
      </c>
      <c r="BO307" t="s">
        <v>74</v>
      </c>
      <c r="BP307" t="s">
        <v>74</v>
      </c>
      <c r="BQ307" t="s">
        <v>74</v>
      </c>
      <c r="BR307" t="s">
        <v>74</v>
      </c>
      <c r="BS307" t="s">
        <v>2791</v>
      </c>
      <c r="BT307" t="str">
        <f>HYPERLINK("https%3A%2F%2Fwww.webofscience.com%2Fwos%2Fwoscc%2Ffull-record%2FWOS:001078374900001","View Full Record in Web of Science")</f>
        <v>View Full Record in Web of Science</v>
      </c>
    </row>
    <row r="308" spans="1:72" x14ac:dyDescent="0.2">
      <c r="A308" t="s">
        <v>72</v>
      </c>
      <c r="B308" t="s">
        <v>2792</v>
      </c>
      <c r="C308" t="s">
        <v>74</v>
      </c>
      <c r="D308" t="s">
        <v>74</v>
      </c>
      <c r="E308" t="s">
        <v>74</v>
      </c>
      <c r="F308" t="s">
        <v>2793</v>
      </c>
      <c r="G308" t="s">
        <v>74</v>
      </c>
      <c r="H308" t="s">
        <v>74</v>
      </c>
      <c r="I308" t="s">
        <v>2794</v>
      </c>
      <c r="J308" t="s">
        <v>140</v>
      </c>
      <c r="K308" t="s">
        <v>74</v>
      </c>
      <c r="L308" t="s">
        <v>74</v>
      </c>
      <c r="M308" t="s">
        <v>74</v>
      </c>
      <c r="N308" t="s">
        <v>74</v>
      </c>
      <c r="O308" t="s">
        <v>74</v>
      </c>
      <c r="P308" t="s">
        <v>74</v>
      </c>
      <c r="Q308" t="s">
        <v>74</v>
      </c>
      <c r="R308" t="s">
        <v>74</v>
      </c>
      <c r="S308" t="s">
        <v>74</v>
      </c>
      <c r="T308" t="s">
        <v>74</v>
      </c>
      <c r="U308" t="s">
        <v>74</v>
      </c>
      <c r="V308" t="s">
        <v>2795</v>
      </c>
      <c r="W308" t="s">
        <v>74</v>
      </c>
      <c r="X308" t="s">
        <v>74</v>
      </c>
      <c r="Y308" t="s">
        <v>74</v>
      </c>
      <c r="Z308" t="s">
        <v>74</v>
      </c>
      <c r="AA308" t="s">
        <v>2796</v>
      </c>
      <c r="AB308" t="s">
        <v>74</v>
      </c>
      <c r="AC308" t="s">
        <v>74</v>
      </c>
      <c r="AD308" t="s">
        <v>74</v>
      </c>
      <c r="AE308" t="s">
        <v>74</v>
      </c>
      <c r="AF308" t="s">
        <v>74</v>
      </c>
      <c r="AG308" t="s">
        <v>74</v>
      </c>
      <c r="AH308" t="s">
        <v>74</v>
      </c>
      <c r="AI308" t="s">
        <v>74</v>
      </c>
      <c r="AJ308" t="s">
        <v>74</v>
      </c>
      <c r="AK308" t="s">
        <v>74</v>
      </c>
      <c r="AL308" t="s">
        <v>74</v>
      </c>
      <c r="AM308" t="s">
        <v>74</v>
      </c>
      <c r="AN308" t="s">
        <v>74</v>
      </c>
      <c r="AO308" t="s">
        <v>142</v>
      </c>
      <c r="AP308" t="s">
        <v>143</v>
      </c>
      <c r="AQ308" t="s">
        <v>74</v>
      </c>
      <c r="AR308" t="s">
        <v>74</v>
      </c>
      <c r="AS308" t="s">
        <v>74</v>
      </c>
      <c r="AT308" t="s">
        <v>2571</v>
      </c>
      <c r="AU308">
        <v>2023</v>
      </c>
      <c r="AV308">
        <v>73</v>
      </c>
      <c r="AW308" t="s">
        <v>74</v>
      </c>
      <c r="AX308" t="s">
        <v>1549</v>
      </c>
      <c r="AY308" t="s">
        <v>74</v>
      </c>
      <c r="AZ308" t="s">
        <v>74</v>
      </c>
      <c r="BA308" t="s">
        <v>74</v>
      </c>
      <c r="BB308" t="s">
        <v>74</v>
      </c>
      <c r="BC308" t="s">
        <v>74</v>
      </c>
      <c r="BD308">
        <v>108874</v>
      </c>
      <c r="BE308" t="s">
        <v>2797</v>
      </c>
      <c r="BF308" t="str">
        <f>HYPERLINK("http://dx.doi.org/10.1016/j.est.2023.108874","http://dx.doi.org/10.1016/j.est.2023.108874")</f>
        <v>http://dx.doi.org/10.1016/j.est.2023.108874</v>
      </c>
      <c r="BG308" t="s">
        <v>74</v>
      </c>
      <c r="BH308" t="s">
        <v>2740</v>
      </c>
      <c r="BI308" t="s">
        <v>74</v>
      </c>
      <c r="BJ308" t="s">
        <v>74</v>
      </c>
      <c r="BK308" t="s">
        <v>74</v>
      </c>
      <c r="BL308" t="s">
        <v>74</v>
      </c>
      <c r="BM308" t="s">
        <v>74</v>
      </c>
      <c r="BN308" t="s">
        <v>74</v>
      </c>
      <c r="BO308" t="s">
        <v>74</v>
      </c>
      <c r="BP308" t="s">
        <v>74</v>
      </c>
      <c r="BQ308" t="s">
        <v>74</v>
      </c>
      <c r="BR308" t="s">
        <v>74</v>
      </c>
      <c r="BS308" t="s">
        <v>2798</v>
      </c>
      <c r="BT308" t="str">
        <f>HYPERLINK("https%3A%2F%2Fwww.webofscience.com%2Fwos%2Fwoscc%2Ffull-record%2FWOS:001078613600001","View Full Record in Web of Science")</f>
        <v>View Full Record in Web of Science</v>
      </c>
    </row>
    <row r="309" spans="1:72" x14ac:dyDescent="0.2">
      <c r="A309" t="s">
        <v>72</v>
      </c>
      <c r="B309" t="s">
        <v>2799</v>
      </c>
      <c r="C309" t="s">
        <v>74</v>
      </c>
      <c r="D309" t="s">
        <v>74</v>
      </c>
      <c r="E309" t="s">
        <v>74</v>
      </c>
      <c r="F309" t="s">
        <v>2800</v>
      </c>
      <c r="G309" t="s">
        <v>74</v>
      </c>
      <c r="H309" t="s">
        <v>74</v>
      </c>
      <c r="I309" t="s">
        <v>2801</v>
      </c>
      <c r="J309" t="s">
        <v>1293</v>
      </c>
      <c r="K309" t="s">
        <v>74</v>
      </c>
      <c r="L309" t="s">
        <v>74</v>
      </c>
      <c r="M309" t="s">
        <v>74</v>
      </c>
      <c r="N309" t="s">
        <v>74</v>
      </c>
      <c r="O309" t="s">
        <v>74</v>
      </c>
      <c r="P309" t="s">
        <v>74</v>
      </c>
      <c r="Q309" t="s">
        <v>74</v>
      </c>
      <c r="R309" t="s">
        <v>74</v>
      </c>
      <c r="S309" t="s">
        <v>74</v>
      </c>
      <c r="T309" t="s">
        <v>74</v>
      </c>
      <c r="U309" t="s">
        <v>74</v>
      </c>
      <c r="V309" t="s">
        <v>2802</v>
      </c>
      <c r="W309" t="s">
        <v>74</v>
      </c>
      <c r="X309" t="s">
        <v>74</v>
      </c>
      <c r="Y309" t="s">
        <v>74</v>
      </c>
      <c r="Z309" t="s">
        <v>74</v>
      </c>
      <c r="AA309" t="s">
        <v>2803</v>
      </c>
      <c r="AB309" t="s">
        <v>2804</v>
      </c>
      <c r="AC309" t="s">
        <v>74</v>
      </c>
      <c r="AD309" t="s">
        <v>74</v>
      </c>
      <c r="AE309" t="s">
        <v>74</v>
      </c>
      <c r="AF309" t="s">
        <v>74</v>
      </c>
      <c r="AG309" t="s">
        <v>74</v>
      </c>
      <c r="AH309" t="s">
        <v>74</v>
      </c>
      <c r="AI309" t="s">
        <v>74</v>
      </c>
      <c r="AJ309" t="s">
        <v>74</v>
      </c>
      <c r="AK309" t="s">
        <v>74</v>
      </c>
      <c r="AL309" t="s">
        <v>74</v>
      </c>
      <c r="AM309" t="s">
        <v>74</v>
      </c>
      <c r="AN309" t="s">
        <v>74</v>
      </c>
      <c r="AO309" t="s">
        <v>1297</v>
      </c>
      <c r="AP309" t="s">
        <v>1298</v>
      </c>
      <c r="AQ309" t="s">
        <v>74</v>
      </c>
      <c r="AR309" t="s">
        <v>74</v>
      </c>
      <c r="AS309" t="s">
        <v>74</v>
      </c>
      <c r="AT309" t="s">
        <v>1919</v>
      </c>
      <c r="AU309">
        <v>2023</v>
      </c>
      <c r="AV309">
        <v>170</v>
      </c>
      <c r="AW309">
        <v>9</v>
      </c>
      <c r="AX309" t="s">
        <v>74</v>
      </c>
      <c r="AY309" t="s">
        <v>74</v>
      </c>
      <c r="AZ309" t="s">
        <v>74</v>
      </c>
      <c r="BA309" t="s">
        <v>74</v>
      </c>
      <c r="BB309" t="s">
        <v>74</v>
      </c>
      <c r="BC309" t="s">
        <v>74</v>
      </c>
      <c r="BD309">
        <v>90518</v>
      </c>
      <c r="BE309" t="s">
        <v>2805</v>
      </c>
      <c r="BF309" t="str">
        <f>HYPERLINK("http://dx.doi.org/10.1149/1945-7111/acf624","http://dx.doi.org/10.1149/1945-7111/acf624")</f>
        <v>http://dx.doi.org/10.1149/1945-7111/acf624</v>
      </c>
      <c r="BG309" t="s">
        <v>74</v>
      </c>
      <c r="BH309" t="s">
        <v>74</v>
      </c>
      <c r="BI309" t="s">
        <v>74</v>
      </c>
      <c r="BJ309" t="s">
        <v>74</v>
      </c>
      <c r="BK309" t="s">
        <v>74</v>
      </c>
      <c r="BL309" t="s">
        <v>74</v>
      </c>
      <c r="BM309" t="s">
        <v>74</v>
      </c>
      <c r="BN309" t="s">
        <v>74</v>
      </c>
      <c r="BO309" t="s">
        <v>74</v>
      </c>
      <c r="BP309" t="s">
        <v>74</v>
      </c>
      <c r="BQ309" t="s">
        <v>74</v>
      </c>
      <c r="BR309" t="s">
        <v>74</v>
      </c>
      <c r="BS309" t="s">
        <v>2806</v>
      </c>
      <c r="BT309" t="str">
        <f>HYPERLINK("https%3A%2F%2Fwww.webofscience.com%2Fwos%2Fwoscc%2Ffull-record%2FWOS:001076314700001","View Full Record in Web of Science")</f>
        <v>View Full Record in Web of Science</v>
      </c>
    </row>
    <row r="310" spans="1:72" x14ac:dyDescent="0.2">
      <c r="A310" t="s">
        <v>72</v>
      </c>
      <c r="B310" t="s">
        <v>2807</v>
      </c>
      <c r="C310" t="s">
        <v>74</v>
      </c>
      <c r="D310" t="s">
        <v>74</v>
      </c>
      <c r="E310" t="s">
        <v>74</v>
      </c>
      <c r="F310" t="s">
        <v>2808</v>
      </c>
      <c r="G310" t="s">
        <v>74</v>
      </c>
      <c r="H310" t="s">
        <v>74</v>
      </c>
      <c r="I310" t="s">
        <v>2809</v>
      </c>
      <c r="J310" t="s">
        <v>995</v>
      </c>
      <c r="K310" t="s">
        <v>74</v>
      </c>
      <c r="L310" t="s">
        <v>74</v>
      </c>
      <c r="M310" t="s">
        <v>74</v>
      </c>
      <c r="N310" t="s">
        <v>74</v>
      </c>
      <c r="O310" t="s">
        <v>74</v>
      </c>
      <c r="P310" t="s">
        <v>74</v>
      </c>
      <c r="Q310" t="s">
        <v>74</v>
      </c>
      <c r="R310" t="s">
        <v>74</v>
      </c>
      <c r="S310" t="s">
        <v>74</v>
      </c>
      <c r="T310" t="s">
        <v>74</v>
      </c>
      <c r="U310" t="s">
        <v>74</v>
      </c>
      <c r="V310" t="s">
        <v>2810</v>
      </c>
      <c r="W310" t="s">
        <v>74</v>
      </c>
      <c r="X310" t="s">
        <v>74</v>
      </c>
      <c r="Y310" t="s">
        <v>74</v>
      </c>
      <c r="Z310" t="s">
        <v>74</v>
      </c>
      <c r="AA310" t="s">
        <v>2811</v>
      </c>
      <c r="AB310" t="s">
        <v>2812</v>
      </c>
      <c r="AC310" t="s">
        <v>74</v>
      </c>
      <c r="AD310" t="s">
        <v>74</v>
      </c>
      <c r="AE310" t="s">
        <v>74</v>
      </c>
      <c r="AF310" t="s">
        <v>74</v>
      </c>
      <c r="AG310" t="s">
        <v>74</v>
      </c>
      <c r="AH310" t="s">
        <v>74</v>
      </c>
      <c r="AI310" t="s">
        <v>74</v>
      </c>
      <c r="AJ310" t="s">
        <v>74</v>
      </c>
      <c r="AK310" t="s">
        <v>74</v>
      </c>
      <c r="AL310" t="s">
        <v>74</v>
      </c>
      <c r="AM310" t="s">
        <v>74</v>
      </c>
      <c r="AN310" t="s">
        <v>74</v>
      </c>
      <c r="AO310" t="s">
        <v>74</v>
      </c>
      <c r="AP310" t="s">
        <v>998</v>
      </c>
      <c r="AQ310" t="s">
        <v>74</v>
      </c>
      <c r="AR310" t="s">
        <v>74</v>
      </c>
      <c r="AS310" t="s">
        <v>74</v>
      </c>
      <c r="AT310" t="s">
        <v>865</v>
      </c>
      <c r="AU310">
        <v>2023</v>
      </c>
      <c r="AV310">
        <v>5</v>
      </c>
      <c r="AW310">
        <v>10</v>
      </c>
      <c r="AX310" t="s">
        <v>74</v>
      </c>
      <c r="AY310" t="s">
        <v>74</v>
      </c>
      <c r="AZ310" t="s">
        <v>74</v>
      </c>
      <c r="BA310" t="s">
        <v>74</v>
      </c>
      <c r="BB310">
        <v>2648</v>
      </c>
      <c r="BC310">
        <v>2655</v>
      </c>
      <c r="BD310">
        <v>538</v>
      </c>
      <c r="BE310" t="s">
        <v>2813</v>
      </c>
      <c r="BF310" t="str">
        <f>HYPERLINK("http://dx.doi.org/10.1021/acsmaterialslett.3c00538","http://dx.doi.org/10.1021/acsmaterialslett.3c00538")</f>
        <v>http://dx.doi.org/10.1021/acsmaterialslett.3c00538</v>
      </c>
      <c r="BG310" t="s">
        <v>74</v>
      </c>
      <c r="BH310" t="s">
        <v>2814</v>
      </c>
      <c r="BI310" t="s">
        <v>74</v>
      </c>
      <c r="BJ310" t="s">
        <v>74</v>
      </c>
      <c r="BK310" t="s">
        <v>74</v>
      </c>
      <c r="BL310" t="s">
        <v>74</v>
      </c>
      <c r="BM310" t="s">
        <v>74</v>
      </c>
      <c r="BN310" t="s">
        <v>74</v>
      </c>
      <c r="BO310" t="s">
        <v>74</v>
      </c>
      <c r="BP310" t="s">
        <v>74</v>
      </c>
      <c r="BQ310" t="s">
        <v>74</v>
      </c>
      <c r="BR310" t="s">
        <v>74</v>
      </c>
      <c r="BS310" t="s">
        <v>2815</v>
      </c>
      <c r="BT310" t="str">
        <f>HYPERLINK("https%3A%2F%2Fwww.webofscience.com%2Fwos%2Fwoscc%2Ffull-record%2FWOS:001060975300001","View Full Record in Web of Science")</f>
        <v>View Full Record in Web of Science</v>
      </c>
    </row>
    <row r="311" spans="1:72" x14ac:dyDescent="0.2">
      <c r="A311" t="s">
        <v>72</v>
      </c>
      <c r="B311" t="s">
        <v>2816</v>
      </c>
      <c r="C311" t="s">
        <v>74</v>
      </c>
      <c r="D311" t="s">
        <v>74</v>
      </c>
      <c r="E311" t="s">
        <v>74</v>
      </c>
      <c r="F311" t="s">
        <v>2817</v>
      </c>
      <c r="G311" t="s">
        <v>74</v>
      </c>
      <c r="H311" t="s">
        <v>74</v>
      </c>
      <c r="I311" t="s">
        <v>2818</v>
      </c>
      <c r="J311" t="s">
        <v>624</v>
      </c>
      <c r="K311" t="s">
        <v>74</v>
      </c>
      <c r="L311" t="s">
        <v>74</v>
      </c>
      <c r="M311" t="s">
        <v>74</v>
      </c>
      <c r="N311" t="s">
        <v>74</v>
      </c>
      <c r="O311" t="s">
        <v>74</v>
      </c>
      <c r="P311" t="s">
        <v>74</v>
      </c>
      <c r="Q311" t="s">
        <v>74</v>
      </c>
      <c r="R311" t="s">
        <v>74</v>
      </c>
      <c r="S311" t="s">
        <v>74</v>
      </c>
      <c r="T311" t="s">
        <v>74</v>
      </c>
      <c r="U311" t="s">
        <v>74</v>
      </c>
      <c r="V311" t="s">
        <v>2819</v>
      </c>
      <c r="W311" t="s">
        <v>74</v>
      </c>
      <c r="X311" t="s">
        <v>74</v>
      </c>
      <c r="Y311" t="s">
        <v>74</v>
      </c>
      <c r="Z311" t="s">
        <v>74</v>
      </c>
      <c r="AA311" t="s">
        <v>2820</v>
      </c>
      <c r="AB311" t="s">
        <v>2821</v>
      </c>
      <c r="AC311" t="s">
        <v>74</v>
      </c>
      <c r="AD311" t="s">
        <v>74</v>
      </c>
      <c r="AE311" t="s">
        <v>74</v>
      </c>
      <c r="AF311" t="s">
        <v>74</v>
      </c>
      <c r="AG311" t="s">
        <v>74</v>
      </c>
      <c r="AH311" t="s">
        <v>74</v>
      </c>
      <c r="AI311" t="s">
        <v>74</v>
      </c>
      <c r="AJ311" t="s">
        <v>74</v>
      </c>
      <c r="AK311" t="s">
        <v>74</v>
      </c>
      <c r="AL311" t="s">
        <v>74</v>
      </c>
      <c r="AM311" t="s">
        <v>74</v>
      </c>
      <c r="AN311" t="s">
        <v>74</v>
      </c>
      <c r="AO311" t="s">
        <v>627</v>
      </c>
      <c r="AP311" t="s">
        <v>628</v>
      </c>
      <c r="AQ311" t="s">
        <v>74</v>
      </c>
      <c r="AR311" t="s">
        <v>74</v>
      </c>
      <c r="AS311" t="s">
        <v>74</v>
      </c>
      <c r="AT311" t="s">
        <v>92</v>
      </c>
      <c r="AU311">
        <v>2023</v>
      </c>
      <c r="AV311">
        <v>116</v>
      </c>
      <c r="AW311" t="s">
        <v>74</v>
      </c>
      <c r="AX311" t="s">
        <v>74</v>
      </c>
      <c r="AY311" t="s">
        <v>74</v>
      </c>
      <c r="AZ311" t="s">
        <v>74</v>
      </c>
      <c r="BA311" t="s">
        <v>74</v>
      </c>
      <c r="BB311" t="s">
        <v>74</v>
      </c>
      <c r="BC311" t="s">
        <v>74</v>
      </c>
      <c r="BD311">
        <v>108825</v>
      </c>
      <c r="BE311" t="s">
        <v>2822</v>
      </c>
      <c r="BF311" t="str">
        <f>HYPERLINK("http://dx.doi.org/10.1016/j.nanoen.2023.108825","http://dx.doi.org/10.1016/j.nanoen.2023.108825")</f>
        <v>http://dx.doi.org/10.1016/j.nanoen.2023.108825</v>
      </c>
      <c r="BG311" t="s">
        <v>74</v>
      </c>
      <c r="BH311" t="s">
        <v>2814</v>
      </c>
      <c r="BI311" t="s">
        <v>74</v>
      </c>
      <c r="BJ311" t="s">
        <v>74</v>
      </c>
      <c r="BK311" t="s">
        <v>74</v>
      </c>
      <c r="BL311" t="s">
        <v>74</v>
      </c>
      <c r="BM311" t="s">
        <v>74</v>
      </c>
      <c r="BN311" t="s">
        <v>74</v>
      </c>
      <c r="BO311" t="s">
        <v>74</v>
      </c>
      <c r="BP311" t="s">
        <v>74</v>
      </c>
      <c r="BQ311" t="s">
        <v>74</v>
      </c>
      <c r="BR311" t="s">
        <v>74</v>
      </c>
      <c r="BS311" t="s">
        <v>2823</v>
      </c>
      <c r="BT311" t="str">
        <f>HYPERLINK("https%3A%2F%2Fwww.webofscience.com%2Fwos%2Fwoscc%2Ffull-record%2FWOS:001090651800001","View Full Record in Web of Science")</f>
        <v>View Full Record in Web of Science</v>
      </c>
    </row>
    <row r="312" spans="1:72" x14ac:dyDescent="0.2">
      <c r="A312" t="s">
        <v>72</v>
      </c>
      <c r="B312" t="s">
        <v>2824</v>
      </c>
      <c r="C312" t="s">
        <v>74</v>
      </c>
      <c r="D312" t="s">
        <v>74</v>
      </c>
      <c r="E312" t="s">
        <v>74</v>
      </c>
      <c r="F312" t="s">
        <v>2825</v>
      </c>
      <c r="G312" t="s">
        <v>74</v>
      </c>
      <c r="H312" t="s">
        <v>74</v>
      </c>
      <c r="I312" t="s">
        <v>2826</v>
      </c>
      <c r="J312" t="s">
        <v>689</v>
      </c>
      <c r="K312" t="s">
        <v>74</v>
      </c>
      <c r="L312" t="s">
        <v>74</v>
      </c>
      <c r="M312" t="s">
        <v>74</v>
      </c>
      <c r="N312" t="s">
        <v>74</v>
      </c>
      <c r="O312" t="s">
        <v>74</v>
      </c>
      <c r="P312" t="s">
        <v>74</v>
      </c>
      <c r="Q312" t="s">
        <v>74</v>
      </c>
      <c r="R312" t="s">
        <v>74</v>
      </c>
      <c r="S312" t="s">
        <v>74</v>
      </c>
      <c r="T312" t="s">
        <v>74</v>
      </c>
      <c r="U312" t="s">
        <v>74</v>
      </c>
      <c r="V312" t="s">
        <v>2827</v>
      </c>
      <c r="W312" t="s">
        <v>74</v>
      </c>
      <c r="X312" t="s">
        <v>74</v>
      </c>
      <c r="Y312" t="s">
        <v>74</v>
      </c>
      <c r="Z312" t="s">
        <v>74</v>
      </c>
      <c r="AA312" t="s">
        <v>2828</v>
      </c>
      <c r="AB312" t="s">
        <v>2829</v>
      </c>
      <c r="AC312" t="s">
        <v>74</v>
      </c>
      <c r="AD312" t="s">
        <v>74</v>
      </c>
      <c r="AE312" t="s">
        <v>74</v>
      </c>
      <c r="AF312" t="s">
        <v>74</v>
      </c>
      <c r="AG312" t="s">
        <v>74</v>
      </c>
      <c r="AH312" t="s">
        <v>74</v>
      </c>
      <c r="AI312" t="s">
        <v>74</v>
      </c>
      <c r="AJ312" t="s">
        <v>74</v>
      </c>
      <c r="AK312" t="s">
        <v>74</v>
      </c>
      <c r="AL312" t="s">
        <v>74</v>
      </c>
      <c r="AM312" t="s">
        <v>74</v>
      </c>
      <c r="AN312" t="s">
        <v>74</v>
      </c>
      <c r="AO312" t="s">
        <v>693</v>
      </c>
      <c r="AP312" t="s">
        <v>694</v>
      </c>
      <c r="AQ312" t="s">
        <v>74</v>
      </c>
      <c r="AR312" t="s">
        <v>74</v>
      </c>
      <c r="AS312" t="s">
        <v>74</v>
      </c>
      <c r="AT312" t="s">
        <v>2830</v>
      </c>
      <c r="AU312">
        <v>2023</v>
      </c>
      <c r="AV312">
        <v>17</v>
      </c>
      <c r="AW312">
        <v>17</v>
      </c>
      <c r="AX312" t="s">
        <v>74</v>
      </c>
      <c r="AY312" t="s">
        <v>74</v>
      </c>
      <c r="AZ312" t="s">
        <v>74</v>
      </c>
      <c r="BA312" t="s">
        <v>74</v>
      </c>
      <c r="BB312">
        <v>17476</v>
      </c>
      <c r="BC312">
        <v>17488</v>
      </c>
      <c r="BD312" t="s">
        <v>74</v>
      </c>
      <c r="BE312" t="s">
        <v>2831</v>
      </c>
      <c r="BF312" t="str">
        <f>HYPERLINK("http://dx.doi.org/10.1021/acsnano.3c05845","http://dx.doi.org/10.1021/acsnano.3c05845")</f>
        <v>http://dx.doi.org/10.1021/acsnano.3c05845</v>
      </c>
      <c r="BG312" t="s">
        <v>74</v>
      </c>
      <c r="BH312" t="s">
        <v>2814</v>
      </c>
      <c r="BI312" t="s">
        <v>74</v>
      </c>
      <c r="BJ312" t="s">
        <v>74</v>
      </c>
      <c r="BK312" t="s">
        <v>74</v>
      </c>
      <c r="BL312" t="s">
        <v>74</v>
      </c>
      <c r="BM312" t="s">
        <v>74</v>
      </c>
      <c r="BN312">
        <v>37606308</v>
      </c>
      <c r="BO312" t="s">
        <v>74</v>
      </c>
      <c r="BP312" t="s">
        <v>74</v>
      </c>
      <c r="BQ312" t="s">
        <v>74</v>
      </c>
      <c r="BR312" t="s">
        <v>74</v>
      </c>
      <c r="BS312" t="s">
        <v>2832</v>
      </c>
      <c r="BT312" t="str">
        <f>HYPERLINK("https%3A%2F%2Fwww.webofscience.com%2Fwos%2Fwoscc%2Ffull-record%2FWOS:001052715300001","View Full Record in Web of Science")</f>
        <v>View Full Record in Web of Science</v>
      </c>
    </row>
    <row r="313" spans="1:72" x14ac:dyDescent="0.2">
      <c r="A313" t="s">
        <v>72</v>
      </c>
      <c r="B313" t="s">
        <v>2833</v>
      </c>
      <c r="C313" t="s">
        <v>74</v>
      </c>
      <c r="D313" t="s">
        <v>74</v>
      </c>
      <c r="E313" t="s">
        <v>74</v>
      </c>
      <c r="F313" t="s">
        <v>2834</v>
      </c>
      <c r="G313" t="s">
        <v>74</v>
      </c>
      <c r="H313" t="s">
        <v>74</v>
      </c>
      <c r="I313" t="s">
        <v>2835</v>
      </c>
      <c r="J313" t="s">
        <v>278</v>
      </c>
      <c r="K313" t="s">
        <v>74</v>
      </c>
      <c r="L313" t="s">
        <v>74</v>
      </c>
      <c r="M313" t="s">
        <v>74</v>
      </c>
      <c r="N313" t="s">
        <v>74</v>
      </c>
      <c r="O313" t="s">
        <v>74</v>
      </c>
      <c r="P313" t="s">
        <v>74</v>
      </c>
      <c r="Q313" t="s">
        <v>74</v>
      </c>
      <c r="R313" t="s">
        <v>74</v>
      </c>
      <c r="S313" t="s">
        <v>74</v>
      </c>
      <c r="T313" t="s">
        <v>74</v>
      </c>
      <c r="U313" t="s">
        <v>74</v>
      </c>
      <c r="V313" t="s">
        <v>2836</v>
      </c>
      <c r="W313" t="s">
        <v>74</v>
      </c>
      <c r="X313" t="s">
        <v>74</v>
      </c>
      <c r="Y313" t="s">
        <v>74</v>
      </c>
      <c r="Z313" t="s">
        <v>74</v>
      </c>
      <c r="AA313" t="s">
        <v>2837</v>
      </c>
      <c r="AB313" t="s">
        <v>2838</v>
      </c>
      <c r="AC313" t="s">
        <v>74</v>
      </c>
      <c r="AD313" t="s">
        <v>74</v>
      </c>
      <c r="AE313" t="s">
        <v>74</v>
      </c>
      <c r="AF313" t="s">
        <v>74</v>
      </c>
      <c r="AG313" t="s">
        <v>74</v>
      </c>
      <c r="AH313" t="s">
        <v>74</v>
      </c>
      <c r="AI313" t="s">
        <v>74</v>
      </c>
      <c r="AJ313" t="s">
        <v>74</v>
      </c>
      <c r="AK313" t="s">
        <v>74</v>
      </c>
      <c r="AL313" t="s">
        <v>74</v>
      </c>
      <c r="AM313" t="s">
        <v>74</v>
      </c>
      <c r="AN313" t="s">
        <v>74</v>
      </c>
      <c r="AO313" t="s">
        <v>281</v>
      </c>
      <c r="AP313" t="s">
        <v>282</v>
      </c>
      <c r="AQ313" t="s">
        <v>74</v>
      </c>
      <c r="AR313" t="s">
        <v>74</v>
      </c>
      <c r="AS313" t="s">
        <v>74</v>
      </c>
      <c r="AT313" t="s">
        <v>2839</v>
      </c>
      <c r="AU313">
        <v>2023</v>
      </c>
      <c r="AV313">
        <v>11</v>
      </c>
      <c r="AW313">
        <v>35</v>
      </c>
      <c r="AX313" t="s">
        <v>74</v>
      </c>
      <c r="AY313" t="s">
        <v>74</v>
      </c>
      <c r="AZ313" t="s">
        <v>74</v>
      </c>
      <c r="BA313" t="s">
        <v>74</v>
      </c>
      <c r="BB313">
        <v>18996</v>
      </c>
      <c r="BC313">
        <v>19003</v>
      </c>
      <c r="BD313" t="s">
        <v>74</v>
      </c>
      <c r="BE313" t="s">
        <v>2840</v>
      </c>
      <c r="BF313" t="str">
        <f>HYPERLINK("http://dx.doi.org/10.1039/d3ta03914e","http://dx.doi.org/10.1039/d3ta03914e")</f>
        <v>http://dx.doi.org/10.1039/d3ta03914e</v>
      </c>
      <c r="BG313" t="s">
        <v>74</v>
      </c>
      <c r="BH313" t="s">
        <v>2814</v>
      </c>
      <c r="BI313" t="s">
        <v>74</v>
      </c>
      <c r="BJ313" t="s">
        <v>74</v>
      </c>
      <c r="BK313" t="s">
        <v>74</v>
      </c>
      <c r="BL313" t="s">
        <v>74</v>
      </c>
      <c r="BM313" t="s">
        <v>74</v>
      </c>
      <c r="BN313" t="s">
        <v>74</v>
      </c>
      <c r="BO313" t="s">
        <v>74</v>
      </c>
      <c r="BP313" t="s">
        <v>74</v>
      </c>
      <c r="BQ313" t="s">
        <v>74</v>
      </c>
      <c r="BR313" t="s">
        <v>74</v>
      </c>
      <c r="BS313" t="s">
        <v>2841</v>
      </c>
      <c r="BT313" t="str">
        <f>HYPERLINK("https%3A%2F%2Fwww.webofscience.com%2Fwos%2Fwoscc%2Ffull-record%2FWOS:001063435700001","View Full Record in Web of Science")</f>
        <v>View Full Record in Web of Science</v>
      </c>
    </row>
    <row r="314" spans="1:72" x14ac:dyDescent="0.2">
      <c r="A314" t="s">
        <v>72</v>
      </c>
      <c r="B314" t="s">
        <v>2842</v>
      </c>
      <c r="C314" t="s">
        <v>74</v>
      </c>
      <c r="D314" t="s">
        <v>74</v>
      </c>
      <c r="E314" t="s">
        <v>74</v>
      </c>
      <c r="F314" t="s">
        <v>2843</v>
      </c>
      <c r="G314" t="s">
        <v>74</v>
      </c>
      <c r="H314" t="s">
        <v>74</v>
      </c>
      <c r="I314" t="s">
        <v>2844</v>
      </c>
      <c r="J314" t="s">
        <v>2845</v>
      </c>
      <c r="K314" t="s">
        <v>74</v>
      </c>
      <c r="L314" t="s">
        <v>74</v>
      </c>
      <c r="M314" t="s">
        <v>74</v>
      </c>
      <c r="N314" t="s">
        <v>74</v>
      </c>
      <c r="O314" t="s">
        <v>74</v>
      </c>
      <c r="P314" t="s">
        <v>74</v>
      </c>
      <c r="Q314" t="s">
        <v>74</v>
      </c>
      <c r="R314" t="s">
        <v>74</v>
      </c>
      <c r="S314" t="s">
        <v>74</v>
      </c>
      <c r="T314" t="s">
        <v>74</v>
      </c>
      <c r="U314" t="s">
        <v>74</v>
      </c>
      <c r="V314" t="s">
        <v>2846</v>
      </c>
      <c r="W314" t="s">
        <v>74</v>
      </c>
      <c r="X314" t="s">
        <v>74</v>
      </c>
      <c r="Y314" t="s">
        <v>74</v>
      </c>
      <c r="Z314" t="s">
        <v>74</v>
      </c>
      <c r="AA314" t="s">
        <v>2847</v>
      </c>
      <c r="AB314" t="s">
        <v>2848</v>
      </c>
      <c r="AC314" t="s">
        <v>74</v>
      </c>
      <c r="AD314" t="s">
        <v>74</v>
      </c>
      <c r="AE314" t="s">
        <v>74</v>
      </c>
      <c r="AF314" t="s">
        <v>74</v>
      </c>
      <c r="AG314" t="s">
        <v>74</v>
      </c>
      <c r="AH314" t="s">
        <v>74</v>
      </c>
      <c r="AI314" t="s">
        <v>74</v>
      </c>
      <c r="AJ314" t="s">
        <v>74</v>
      </c>
      <c r="AK314" t="s">
        <v>74</v>
      </c>
      <c r="AL314" t="s">
        <v>74</v>
      </c>
      <c r="AM314" t="s">
        <v>74</v>
      </c>
      <c r="AN314" t="s">
        <v>74</v>
      </c>
      <c r="AO314" t="s">
        <v>2849</v>
      </c>
      <c r="AP314" t="s">
        <v>74</v>
      </c>
      <c r="AQ314" t="s">
        <v>74</v>
      </c>
      <c r="AR314" t="s">
        <v>74</v>
      </c>
      <c r="AS314" t="s">
        <v>74</v>
      </c>
      <c r="AT314" t="s">
        <v>2850</v>
      </c>
      <c r="AU314">
        <v>2023</v>
      </c>
      <c r="AV314">
        <v>10</v>
      </c>
      <c r="AW314">
        <v>1</v>
      </c>
      <c r="AX314" t="s">
        <v>74</v>
      </c>
      <c r="AY314" t="s">
        <v>74</v>
      </c>
      <c r="AZ314" t="s">
        <v>74</v>
      </c>
      <c r="BA314" t="s">
        <v>74</v>
      </c>
      <c r="BB314" t="s">
        <v>74</v>
      </c>
      <c r="BC314" t="s">
        <v>74</v>
      </c>
      <c r="BD314">
        <v>37</v>
      </c>
      <c r="BE314" t="s">
        <v>2851</v>
      </c>
      <c r="BF314" t="str">
        <f>HYPERLINK("http://dx.doi.org/10.1186/s40580-023-00384-4","http://dx.doi.org/10.1186/s40580-023-00384-4")</f>
        <v>http://dx.doi.org/10.1186/s40580-023-00384-4</v>
      </c>
      <c r="BG314" t="s">
        <v>74</v>
      </c>
      <c r="BH314" t="s">
        <v>74</v>
      </c>
      <c r="BI314" t="s">
        <v>74</v>
      </c>
      <c r="BJ314" t="s">
        <v>74</v>
      </c>
      <c r="BK314" t="s">
        <v>74</v>
      </c>
      <c r="BL314" t="s">
        <v>74</v>
      </c>
      <c r="BM314" t="s">
        <v>74</v>
      </c>
      <c r="BN314">
        <v>37561270</v>
      </c>
      <c r="BO314" t="s">
        <v>74</v>
      </c>
      <c r="BP314" t="s">
        <v>74</v>
      </c>
      <c r="BQ314" t="s">
        <v>74</v>
      </c>
      <c r="BR314" t="s">
        <v>74</v>
      </c>
      <c r="BS314" t="s">
        <v>2852</v>
      </c>
      <c r="BT314" t="str">
        <f>HYPERLINK("https%3A%2F%2Fwww.webofscience.com%2Fwos%2Fwoscc%2Ffull-record%2FWOS:001048237200001","View Full Record in Web of Science")</f>
        <v>View Full Record in Web of Science</v>
      </c>
    </row>
    <row r="315" spans="1:72" x14ac:dyDescent="0.2">
      <c r="A315" t="s">
        <v>72</v>
      </c>
      <c r="B315" t="s">
        <v>2853</v>
      </c>
      <c r="C315" t="s">
        <v>74</v>
      </c>
      <c r="D315" t="s">
        <v>74</v>
      </c>
      <c r="E315" t="s">
        <v>74</v>
      </c>
      <c r="F315" t="s">
        <v>2854</v>
      </c>
      <c r="G315" t="s">
        <v>74</v>
      </c>
      <c r="H315" t="s">
        <v>74</v>
      </c>
      <c r="I315" t="s">
        <v>2855</v>
      </c>
      <c r="J315" t="s">
        <v>278</v>
      </c>
      <c r="K315" t="s">
        <v>74</v>
      </c>
      <c r="L315" t="s">
        <v>74</v>
      </c>
      <c r="M315" t="s">
        <v>74</v>
      </c>
      <c r="N315" t="s">
        <v>74</v>
      </c>
      <c r="O315" t="s">
        <v>74</v>
      </c>
      <c r="P315" t="s">
        <v>74</v>
      </c>
      <c r="Q315" t="s">
        <v>74</v>
      </c>
      <c r="R315" t="s">
        <v>74</v>
      </c>
      <c r="S315" t="s">
        <v>74</v>
      </c>
      <c r="T315" t="s">
        <v>74</v>
      </c>
      <c r="U315" t="s">
        <v>74</v>
      </c>
      <c r="V315" t="s">
        <v>2856</v>
      </c>
      <c r="W315" t="s">
        <v>74</v>
      </c>
      <c r="X315" t="s">
        <v>74</v>
      </c>
      <c r="Y315" t="s">
        <v>74</v>
      </c>
      <c r="Z315" t="s">
        <v>74</v>
      </c>
      <c r="AA315" t="s">
        <v>2857</v>
      </c>
      <c r="AB315" t="s">
        <v>2858</v>
      </c>
      <c r="AC315" t="s">
        <v>74</v>
      </c>
      <c r="AD315" t="s">
        <v>74</v>
      </c>
      <c r="AE315" t="s">
        <v>74</v>
      </c>
      <c r="AF315" t="s">
        <v>74</v>
      </c>
      <c r="AG315" t="s">
        <v>74</v>
      </c>
      <c r="AH315" t="s">
        <v>74</v>
      </c>
      <c r="AI315" t="s">
        <v>74</v>
      </c>
      <c r="AJ315" t="s">
        <v>74</v>
      </c>
      <c r="AK315" t="s">
        <v>74</v>
      </c>
      <c r="AL315" t="s">
        <v>74</v>
      </c>
      <c r="AM315" t="s">
        <v>74</v>
      </c>
      <c r="AN315" t="s">
        <v>74</v>
      </c>
      <c r="AO315" t="s">
        <v>281</v>
      </c>
      <c r="AP315" t="s">
        <v>282</v>
      </c>
      <c r="AQ315" t="s">
        <v>74</v>
      </c>
      <c r="AR315" t="s">
        <v>74</v>
      </c>
      <c r="AS315" t="s">
        <v>74</v>
      </c>
      <c r="AT315" t="s">
        <v>2830</v>
      </c>
      <c r="AU315">
        <v>2023</v>
      </c>
      <c r="AV315">
        <v>11</v>
      </c>
      <c r="AW315">
        <v>33</v>
      </c>
      <c r="AX315" t="s">
        <v>74</v>
      </c>
      <c r="AY315" t="s">
        <v>74</v>
      </c>
      <c r="AZ315" t="s">
        <v>74</v>
      </c>
      <c r="BA315" t="s">
        <v>74</v>
      </c>
      <c r="BB315">
        <v>17810</v>
      </c>
      <c r="BC315">
        <v>17820</v>
      </c>
      <c r="BD315" t="s">
        <v>74</v>
      </c>
      <c r="BE315" t="s">
        <v>2859</v>
      </c>
      <c r="BF315" t="str">
        <f>HYPERLINK("http://dx.doi.org/10.1039/d3ta02784h","http://dx.doi.org/10.1039/d3ta02784h")</f>
        <v>http://dx.doi.org/10.1039/d3ta02784h</v>
      </c>
      <c r="BG315" t="s">
        <v>74</v>
      </c>
      <c r="BH315" t="s">
        <v>2814</v>
      </c>
      <c r="BI315" t="s">
        <v>74</v>
      </c>
      <c r="BJ315" t="s">
        <v>74</v>
      </c>
      <c r="BK315" t="s">
        <v>74</v>
      </c>
      <c r="BL315" t="s">
        <v>74</v>
      </c>
      <c r="BM315" t="s">
        <v>74</v>
      </c>
      <c r="BN315" t="s">
        <v>74</v>
      </c>
      <c r="BO315" t="s">
        <v>74</v>
      </c>
      <c r="BP315" t="s">
        <v>74</v>
      </c>
      <c r="BQ315" t="s">
        <v>74</v>
      </c>
      <c r="BR315" t="s">
        <v>74</v>
      </c>
      <c r="BS315" t="s">
        <v>2860</v>
      </c>
      <c r="BT315" t="str">
        <f>HYPERLINK("https%3A%2F%2Fwww.webofscience.com%2Fwos%2Fwoscc%2Ffull-record%2FWOS:001046081600001","View Full Record in Web of Science")</f>
        <v>View Full Record in Web of Science</v>
      </c>
    </row>
    <row r="316" spans="1:72" x14ac:dyDescent="0.2">
      <c r="A316" t="s">
        <v>72</v>
      </c>
      <c r="B316" t="s">
        <v>2861</v>
      </c>
      <c r="C316" t="s">
        <v>74</v>
      </c>
      <c r="D316" t="s">
        <v>74</v>
      </c>
      <c r="E316" t="s">
        <v>74</v>
      </c>
      <c r="F316" t="s">
        <v>2862</v>
      </c>
      <c r="G316" t="s">
        <v>74</v>
      </c>
      <c r="H316" t="s">
        <v>74</v>
      </c>
      <c r="I316" t="s">
        <v>2863</v>
      </c>
      <c r="J316" t="s">
        <v>267</v>
      </c>
      <c r="K316" t="s">
        <v>74</v>
      </c>
      <c r="L316" t="s">
        <v>74</v>
      </c>
      <c r="M316" t="s">
        <v>74</v>
      </c>
      <c r="N316" t="s">
        <v>74</v>
      </c>
      <c r="O316" t="s">
        <v>74</v>
      </c>
      <c r="P316" t="s">
        <v>74</v>
      </c>
      <c r="Q316" t="s">
        <v>74</v>
      </c>
      <c r="R316" t="s">
        <v>74</v>
      </c>
      <c r="S316" t="s">
        <v>74</v>
      </c>
      <c r="T316" t="s">
        <v>74</v>
      </c>
      <c r="U316" t="s">
        <v>74</v>
      </c>
      <c r="V316" t="s">
        <v>2864</v>
      </c>
      <c r="W316" t="s">
        <v>74</v>
      </c>
      <c r="X316" t="s">
        <v>74</v>
      </c>
      <c r="Y316" t="s">
        <v>74</v>
      </c>
      <c r="Z316" t="s">
        <v>74</v>
      </c>
      <c r="AA316" t="s">
        <v>2865</v>
      </c>
      <c r="AB316" t="s">
        <v>2866</v>
      </c>
      <c r="AC316" t="s">
        <v>74</v>
      </c>
      <c r="AD316" t="s">
        <v>74</v>
      </c>
      <c r="AE316" t="s">
        <v>74</v>
      </c>
      <c r="AF316" t="s">
        <v>74</v>
      </c>
      <c r="AG316" t="s">
        <v>74</v>
      </c>
      <c r="AH316" t="s">
        <v>74</v>
      </c>
      <c r="AI316" t="s">
        <v>74</v>
      </c>
      <c r="AJ316" t="s">
        <v>74</v>
      </c>
      <c r="AK316" t="s">
        <v>74</v>
      </c>
      <c r="AL316" t="s">
        <v>74</v>
      </c>
      <c r="AM316" t="s">
        <v>74</v>
      </c>
      <c r="AN316" t="s">
        <v>74</v>
      </c>
      <c r="AO316" t="s">
        <v>270</v>
      </c>
      <c r="AP316" t="s">
        <v>271</v>
      </c>
      <c r="AQ316" t="s">
        <v>74</v>
      </c>
      <c r="AR316" t="s">
        <v>74</v>
      </c>
      <c r="AS316" t="s">
        <v>74</v>
      </c>
      <c r="AT316" t="s">
        <v>92</v>
      </c>
      <c r="AU316">
        <v>2023</v>
      </c>
      <c r="AV316">
        <v>33</v>
      </c>
      <c r="AW316">
        <v>46</v>
      </c>
      <c r="AX316" t="s">
        <v>74</v>
      </c>
      <c r="AY316" t="s">
        <v>74</v>
      </c>
      <c r="AZ316" t="s">
        <v>74</v>
      </c>
      <c r="BA316" t="s">
        <v>74</v>
      </c>
      <c r="BB316" t="s">
        <v>74</v>
      </c>
      <c r="BC316" t="s">
        <v>74</v>
      </c>
      <c r="BD316" t="s">
        <v>74</v>
      </c>
      <c r="BE316" t="s">
        <v>2867</v>
      </c>
      <c r="BF316" t="str">
        <f>HYPERLINK("http://dx.doi.org/10.1002/adfm.202305383","http://dx.doi.org/10.1002/adfm.202305383")</f>
        <v>http://dx.doi.org/10.1002/adfm.202305383</v>
      </c>
      <c r="BG316" t="s">
        <v>74</v>
      </c>
      <c r="BH316" t="s">
        <v>2868</v>
      </c>
      <c r="BI316" t="s">
        <v>74</v>
      </c>
      <c r="BJ316" t="s">
        <v>74</v>
      </c>
      <c r="BK316" t="s">
        <v>74</v>
      </c>
      <c r="BL316" t="s">
        <v>74</v>
      </c>
      <c r="BM316" t="s">
        <v>74</v>
      </c>
      <c r="BN316" t="s">
        <v>74</v>
      </c>
      <c r="BO316" t="s">
        <v>74</v>
      </c>
      <c r="BP316" t="s">
        <v>74</v>
      </c>
      <c r="BQ316" t="s">
        <v>74</v>
      </c>
      <c r="BR316" t="s">
        <v>74</v>
      </c>
      <c r="BS316" t="s">
        <v>2869</v>
      </c>
      <c r="BT316" t="str">
        <f>HYPERLINK("https%3A%2F%2Fwww.webofscience.com%2Fwos%2Fwoscc%2Ffull-record%2FWOS:001040099800001","View Full Record in Web of Science")</f>
        <v>View Full Record in Web of Science</v>
      </c>
    </row>
    <row r="317" spans="1:72" x14ac:dyDescent="0.2">
      <c r="A317" t="s">
        <v>72</v>
      </c>
      <c r="B317" t="s">
        <v>2870</v>
      </c>
      <c r="C317" t="s">
        <v>74</v>
      </c>
      <c r="D317" t="s">
        <v>74</v>
      </c>
      <c r="E317" t="s">
        <v>74</v>
      </c>
      <c r="F317" t="s">
        <v>2871</v>
      </c>
      <c r="G317" t="s">
        <v>74</v>
      </c>
      <c r="H317" t="s">
        <v>74</v>
      </c>
      <c r="I317" t="s">
        <v>2872</v>
      </c>
      <c r="J317" t="s">
        <v>352</v>
      </c>
      <c r="K317" t="s">
        <v>74</v>
      </c>
      <c r="L317" t="s">
        <v>74</v>
      </c>
      <c r="M317" t="s">
        <v>74</v>
      </c>
      <c r="N317" t="s">
        <v>74</v>
      </c>
      <c r="O317" t="s">
        <v>74</v>
      </c>
      <c r="P317" t="s">
        <v>74</v>
      </c>
      <c r="Q317" t="s">
        <v>74</v>
      </c>
      <c r="R317" t="s">
        <v>74</v>
      </c>
      <c r="S317" t="s">
        <v>74</v>
      </c>
      <c r="T317" t="s">
        <v>74</v>
      </c>
      <c r="U317" t="s">
        <v>74</v>
      </c>
      <c r="V317" t="s">
        <v>2873</v>
      </c>
      <c r="W317" t="s">
        <v>74</v>
      </c>
      <c r="X317" t="s">
        <v>74</v>
      </c>
      <c r="Y317" t="s">
        <v>74</v>
      </c>
      <c r="Z317" t="s">
        <v>74</v>
      </c>
      <c r="AA317" t="s">
        <v>2874</v>
      </c>
      <c r="AB317" t="s">
        <v>2875</v>
      </c>
      <c r="AC317" t="s">
        <v>74</v>
      </c>
      <c r="AD317" t="s">
        <v>74</v>
      </c>
      <c r="AE317" t="s">
        <v>74</v>
      </c>
      <c r="AF317" t="s">
        <v>74</v>
      </c>
      <c r="AG317" t="s">
        <v>74</v>
      </c>
      <c r="AH317" t="s">
        <v>74</v>
      </c>
      <c r="AI317" t="s">
        <v>74</v>
      </c>
      <c r="AJ317" t="s">
        <v>74</v>
      </c>
      <c r="AK317" t="s">
        <v>74</v>
      </c>
      <c r="AL317" t="s">
        <v>74</v>
      </c>
      <c r="AM317" t="s">
        <v>74</v>
      </c>
      <c r="AN317" t="s">
        <v>74</v>
      </c>
      <c r="AO317" t="s">
        <v>354</v>
      </c>
      <c r="AP317" t="s">
        <v>355</v>
      </c>
      <c r="AQ317" t="s">
        <v>74</v>
      </c>
      <c r="AR317" t="s">
        <v>74</v>
      </c>
      <c r="AS317" t="s">
        <v>74</v>
      </c>
      <c r="AT317" t="s">
        <v>155</v>
      </c>
      <c r="AU317">
        <v>2023</v>
      </c>
      <c r="AV317">
        <v>13</v>
      </c>
      <c r="AW317">
        <v>35</v>
      </c>
      <c r="AX317" t="s">
        <v>74</v>
      </c>
      <c r="AY317" t="s">
        <v>74</v>
      </c>
      <c r="AZ317" t="s">
        <v>74</v>
      </c>
      <c r="BA317" t="s">
        <v>74</v>
      </c>
      <c r="BB317" t="s">
        <v>74</v>
      </c>
      <c r="BC317" t="s">
        <v>74</v>
      </c>
      <c r="BD317" t="s">
        <v>74</v>
      </c>
      <c r="BE317" t="s">
        <v>2876</v>
      </c>
      <c r="BF317" t="str">
        <f>HYPERLINK("http://dx.doi.org/10.1002/aenm.202301422","http://dx.doi.org/10.1002/aenm.202301422")</f>
        <v>http://dx.doi.org/10.1002/aenm.202301422</v>
      </c>
      <c r="BG317" t="s">
        <v>74</v>
      </c>
      <c r="BH317" t="s">
        <v>2868</v>
      </c>
      <c r="BI317" t="s">
        <v>74</v>
      </c>
      <c r="BJ317" t="s">
        <v>74</v>
      </c>
      <c r="BK317" t="s">
        <v>74</v>
      </c>
      <c r="BL317" t="s">
        <v>74</v>
      </c>
      <c r="BM317" t="s">
        <v>74</v>
      </c>
      <c r="BN317" t="s">
        <v>74</v>
      </c>
      <c r="BO317" t="s">
        <v>74</v>
      </c>
      <c r="BP317" t="s">
        <v>74</v>
      </c>
      <c r="BQ317" t="s">
        <v>74</v>
      </c>
      <c r="BR317" t="s">
        <v>74</v>
      </c>
      <c r="BS317" t="s">
        <v>2877</v>
      </c>
      <c r="BT317" t="str">
        <f>HYPERLINK("https%3A%2F%2Fwww.webofscience.com%2Fwos%2Fwoscc%2Ffull-record%2FWOS:001039193100001","View Full Record in Web of Science")</f>
        <v>View Full Record in Web of Science</v>
      </c>
    </row>
    <row r="318" spans="1:72" x14ac:dyDescent="0.2">
      <c r="A318" t="s">
        <v>72</v>
      </c>
      <c r="B318" t="s">
        <v>2878</v>
      </c>
      <c r="C318" t="s">
        <v>74</v>
      </c>
      <c r="D318" t="s">
        <v>74</v>
      </c>
      <c r="E318" t="s">
        <v>74</v>
      </c>
      <c r="F318" t="s">
        <v>2879</v>
      </c>
      <c r="G318" t="s">
        <v>74</v>
      </c>
      <c r="H318" t="s">
        <v>74</v>
      </c>
      <c r="I318" t="s">
        <v>2880</v>
      </c>
      <c r="J318" t="s">
        <v>2881</v>
      </c>
      <c r="K318" t="s">
        <v>74</v>
      </c>
      <c r="L318" t="s">
        <v>74</v>
      </c>
      <c r="M318" t="s">
        <v>74</v>
      </c>
      <c r="N318" t="s">
        <v>74</v>
      </c>
      <c r="O318" t="s">
        <v>74</v>
      </c>
      <c r="P318" t="s">
        <v>74</v>
      </c>
      <c r="Q318" t="s">
        <v>74</v>
      </c>
      <c r="R318" t="s">
        <v>74</v>
      </c>
      <c r="S318" t="s">
        <v>74</v>
      </c>
      <c r="T318" t="s">
        <v>74</v>
      </c>
      <c r="U318" t="s">
        <v>74</v>
      </c>
      <c r="V318" t="s">
        <v>2882</v>
      </c>
      <c r="W318" t="s">
        <v>74</v>
      </c>
      <c r="X318" t="s">
        <v>74</v>
      </c>
      <c r="Y318" t="s">
        <v>74</v>
      </c>
      <c r="Z318" t="s">
        <v>74</v>
      </c>
      <c r="AA318" t="s">
        <v>2883</v>
      </c>
      <c r="AB318" t="s">
        <v>2884</v>
      </c>
      <c r="AC318" t="s">
        <v>74</v>
      </c>
      <c r="AD318" t="s">
        <v>74</v>
      </c>
      <c r="AE318" t="s">
        <v>74</v>
      </c>
      <c r="AF318" t="s">
        <v>74</v>
      </c>
      <c r="AG318" t="s">
        <v>74</v>
      </c>
      <c r="AH318" t="s">
        <v>74</v>
      </c>
      <c r="AI318" t="s">
        <v>74</v>
      </c>
      <c r="AJ318" t="s">
        <v>74</v>
      </c>
      <c r="AK318" t="s">
        <v>74</v>
      </c>
      <c r="AL318" t="s">
        <v>74</v>
      </c>
      <c r="AM318" t="s">
        <v>74</v>
      </c>
      <c r="AN318" t="s">
        <v>74</v>
      </c>
      <c r="AO318" t="s">
        <v>2885</v>
      </c>
      <c r="AP318" t="s">
        <v>74</v>
      </c>
      <c r="AQ318" t="s">
        <v>74</v>
      </c>
      <c r="AR318" t="s">
        <v>74</v>
      </c>
      <c r="AS318" t="s">
        <v>74</v>
      </c>
      <c r="AT318" t="s">
        <v>629</v>
      </c>
      <c r="AU318">
        <v>2023</v>
      </c>
      <c r="AV318">
        <v>36</v>
      </c>
      <c r="AW318" t="s">
        <v>74</v>
      </c>
      <c r="AX318" t="s">
        <v>74</v>
      </c>
      <c r="AY318" t="s">
        <v>74</v>
      </c>
      <c r="AZ318" t="s">
        <v>74</v>
      </c>
      <c r="BA318" t="s">
        <v>74</v>
      </c>
      <c r="BB318" t="s">
        <v>74</v>
      </c>
      <c r="BC318" t="s">
        <v>74</v>
      </c>
      <c r="BD318">
        <v>101186</v>
      </c>
      <c r="BE318" t="s">
        <v>2886</v>
      </c>
      <c r="BF318" t="str">
        <f>HYPERLINK("http://dx.doi.org/10.1016/j.mtphys.2023.101186","http://dx.doi.org/10.1016/j.mtphys.2023.101186")</f>
        <v>http://dx.doi.org/10.1016/j.mtphys.2023.101186</v>
      </c>
      <c r="BG318" t="s">
        <v>74</v>
      </c>
      <c r="BH318" t="s">
        <v>2868</v>
      </c>
      <c r="BI318" t="s">
        <v>74</v>
      </c>
      <c r="BJ318" t="s">
        <v>74</v>
      </c>
      <c r="BK318" t="s">
        <v>74</v>
      </c>
      <c r="BL318" t="s">
        <v>74</v>
      </c>
      <c r="BM318" t="s">
        <v>74</v>
      </c>
      <c r="BN318" t="s">
        <v>74</v>
      </c>
      <c r="BO318" t="s">
        <v>74</v>
      </c>
      <c r="BP318" t="s">
        <v>74</v>
      </c>
      <c r="BQ318" t="s">
        <v>74</v>
      </c>
      <c r="BR318" t="s">
        <v>74</v>
      </c>
      <c r="BS318" t="s">
        <v>2887</v>
      </c>
      <c r="BT318" t="str">
        <f>HYPERLINK("https%3A%2F%2Fwww.webofscience.com%2Fwos%2Fwoscc%2Ffull-record%2FWOS:001051869100001","View Full Record in Web of Science")</f>
        <v>View Full Record in Web of Science</v>
      </c>
    </row>
    <row r="319" spans="1:72" x14ac:dyDescent="0.2">
      <c r="A319" t="s">
        <v>72</v>
      </c>
      <c r="B319" t="s">
        <v>2888</v>
      </c>
      <c r="C319" t="s">
        <v>74</v>
      </c>
      <c r="D319" t="s">
        <v>74</v>
      </c>
      <c r="E319" t="s">
        <v>74</v>
      </c>
      <c r="F319" t="s">
        <v>2889</v>
      </c>
      <c r="G319" t="s">
        <v>74</v>
      </c>
      <c r="H319" t="s">
        <v>74</v>
      </c>
      <c r="I319" t="s">
        <v>2890</v>
      </c>
      <c r="J319" t="s">
        <v>151</v>
      </c>
      <c r="K319" t="s">
        <v>74</v>
      </c>
      <c r="L319" t="s">
        <v>74</v>
      </c>
      <c r="M319" t="s">
        <v>74</v>
      </c>
      <c r="N319" t="s">
        <v>74</v>
      </c>
      <c r="O319" t="s">
        <v>74</v>
      </c>
      <c r="P319" t="s">
        <v>74</v>
      </c>
      <c r="Q319" t="s">
        <v>74</v>
      </c>
      <c r="R319" t="s">
        <v>74</v>
      </c>
      <c r="S319" t="s">
        <v>74</v>
      </c>
      <c r="T319" t="s">
        <v>74</v>
      </c>
      <c r="U319" t="s">
        <v>74</v>
      </c>
      <c r="V319" t="s">
        <v>2891</v>
      </c>
      <c r="W319" t="s">
        <v>74</v>
      </c>
      <c r="X319" t="s">
        <v>74</v>
      </c>
      <c r="Y319" t="s">
        <v>74</v>
      </c>
      <c r="Z319" t="s">
        <v>74</v>
      </c>
      <c r="AA319" t="s">
        <v>2892</v>
      </c>
      <c r="AB319" t="s">
        <v>74</v>
      </c>
      <c r="AC319" t="s">
        <v>74</v>
      </c>
      <c r="AD319" t="s">
        <v>74</v>
      </c>
      <c r="AE319" t="s">
        <v>74</v>
      </c>
      <c r="AF319" t="s">
        <v>74</v>
      </c>
      <c r="AG319" t="s">
        <v>74</v>
      </c>
      <c r="AH319" t="s">
        <v>74</v>
      </c>
      <c r="AI319" t="s">
        <v>74</v>
      </c>
      <c r="AJ319" t="s">
        <v>74</v>
      </c>
      <c r="AK319" t="s">
        <v>74</v>
      </c>
      <c r="AL319" t="s">
        <v>74</v>
      </c>
      <c r="AM319" t="s">
        <v>74</v>
      </c>
      <c r="AN319" t="s">
        <v>74</v>
      </c>
      <c r="AO319" t="s">
        <v>153</v>
      </c>
      <c r="AP319" t="s">
        <v>154</v>
      </c>
      <c r="AQ319" t="s">
        <v>74</v>
      </c>
      <c r="AR319" t="s">
        <v>74</v>
      </c>
      <c r="AS319" t="s">
        <v>74</v>
      </c>
      <c r="AT319" t="s">
        <v>629</v>
      </c>
      <c r="AU319">
        <v>2023</v>
      </c>
      <c r="AV319">
        <v>61</v>
      </c>
      <c r="AW319" t="s">
        <v>74</v>
      </c>
      <c r="AX319" t="s">
        <v>74</v>
      </c>
      <c r="AY319" t="s">
        <v>74</v>
      </c>
      <c r="AZ319" t="s">
        <v>74</v>
      </c>
      <c r="BA319" t="s">
        <v>74</v>
      </c>
      <c r="BB319" t="s">
        <v>74</v>
      </c>
      <c r="BC319" t="s">
        <v>74</v>
      </c>
      <c r="BD319">
        <v>102909</v>
      </c>
      <c r="BE319" t="s">
        <v>2893</v>
      </c>
      <c r="BF319" t="str">
        <f>HYPERLINK("http://dx.doi.org/10.1016/j.ensm.2023.102909","http://dx.doi.org/10.1016/j.ensm.2023.102909")</f>
        <v>http://dx.doi.org/10.1016/j.ensm.2023.102909</v>
      </c>
      <c r="BG319" t="s">
        <v>74</v>
      </c>
      <c r="BH319" t="s">
        <v>2868</v>
      </c>
      <c r="BI319" t="s">
        <v>74</v>
      </c>
      <c r="BJ319" t="s">
        <v>74</v>
      </c>
      <c r="BK319" t="s">
        <v>74</v>
      </c>
      <c r="BL319" t="s">
        <v>74</v>
      </c>
      <c r="BM319" t="s">
        <v>74</v>
      </c>
      <c r="BN319" t="s">
        <v>74</v>
      </c>
      <c r="BO319" t="s">
        <v>74</v>
      </c>
      <c r="BP319" t="s">
        <v>74</v>
      </c>
      <c r="BQ319" t="s">
        <v>74</v>
      </c>
      <c r="BR319" t="s">
        <v>74</v>
      </c>
      <c r="BS319" t="s">
        <v>2894</v>
      </c>
      <c r="BT319" t="str">
        <f>HYPERLINK("https%3A%2F%2Fwww.webofscience.com%2Fwos%2Fwoscc%2Ffull-record%2FWOS:001055405500001","View Full Record in Web of Science")</f>
        <v>View Full Record in Web of Science</v>
      </c>
    </row>
    <row r="320" spans="1:72" x14ac:dyDescent="0.2">
      <c r="A320" t="s">
        <v>72</v>
      </c>
      <c r="B320" t="s">
        <v>2895</v>
      </c>
      <c r="C320" t="s">
        <v>74</v>
      </c>
      <c r="D320" t="s">
        <v>74</v>
      </c>
      <c r="E320" t="s">
        <v>74</v>
      </c>
      <c r="F320" t="s">
        <v>2896</v>
      </c>
      <c r="G320" t="s">
        <v>74</v>
      </c>
      <c r="H320" t="s">
        <v>74</v>
      </c>
      <c r="I320" t="s">
        <v>2897</v>
      </c>
      <c r="J320" t="s">
        <v>654</v>
      </c>
      <c r="K320" t="s">
        <v>74</v>
      </c>
      <c r="L320" t="s">
        <v>74</v>
      </c>
      <c r="M320" t="s">
        <v>74</v>
      </c>
      <c r="N320" t="s">
        <v>74</v>
      </c>
      <c r="O320" t="s">
        <v>74</v>
      </c>
      <c r="P320" t="s">
        <v>74</v>
      </c>
      <c r="Q320" t="s">
        <v>74</v>
      </c>
      <c r="R320" t="s">
        <v>74</v>
      </c>
      <c r="S320" t="s">
        <v>74</v>
      </c>
      <c r="T320" t="s">
        <v>74</v>
      </c>
      <c r="U320" t="s">
        <v>74</v>
      </c>
      <c r="V320" t="s">
        <v>2898</v>
      </c>
      <c r="W320" t="s">
        <v>74</v>
      </c>
      <c r="X320" t="s">
        <v>74</v>
      </c>
      <c r="Y320" t="s">
        <v>74</v>
      </c>
      <c r="Z320" t="s">
        <v>74</v>
      </c>
      <c r="AA320" t="s">
        <v>2899</v>
      </c>
      <c r="AB320" t="s">
        <v>2900</v>
      </c>
      <c r="AC320" t="s">
        <v>74</v>
      </c>
      <c r="AD320" t="s">
        <v>74</v>
      </c>
      <c r="AE320" t="s">
        <v>74</v>
      </c>
      <c r="AF320" t="s">
        <v>74</v>
      </c>
      <c r="AG320" t="s">
        <v>74</v>
      </c>
      <c r="AH320" t="s">
        <v>74</v>
      </c>
      <c r="AI320" t="s">
        <v>74</v>
      </c>
      <c r="AJ320" t="s">
        <v>74</v>
      </c>
      <c r="AK320" t="s">
        <v>74</v>
      </c>
      <c r="AL320" t="s">
        <v>74</v>
      </c>
      <c r="AM320" t="s">
        <v>74</v>
      </c>
      <c r="AN320" t="s">
        <v>74</v>
      </c>
      <c r="AO320" t="s">
        <v>657</v>
      </c>
      <c r="AP320" t="s">
        <v>658</v>
      </c>
      <c r="AQ320" t="s">
        <v>74</v>
      </c>
      <c r="AR320" t="s">
        <v>74</v>
      </c>
      <c r="AS320" t="s">
        <v>74</v>
      </c>
      <c r="AT320" t="s">
        <v>261</v>
      </c>
      <c r="AU320">
        <v>2023</v>
      </c>
      <c r="AV320">
        <v>23</v>
      </c>
      <c r="AW320">
        <v>15</v>
      </c>
      <c r="AX320" t="s">
        <v>74</v>
      </c>
      <c r="AY320" t="s">
        <v>74</v>
      </c>
      <c r="AZ320" t="s">
        <v>74</v>
      </c>
      <c r="BA320" t="s">
        <v>74</v>
      </c>
      <c r="BB320">
        <v>7120</v>
      </c>
      <c r="BC320">
        <v>7128</v>
      </c>
      <c r="BD320" t="s">
        <v>74</v>
      </c>
      <c r="BE320" t="s">
        <v>2901</v>
      </c>
      <c r="BF320" t="str">
        <f>HYPERLINK("http://dx.doi.org/10.1021/acs.nanolett.3c01994","http://dx.doi.org/10.1021/acs.nanolett.3c01994")</f>
        <v>http://dx.doi.org/10.1021/acs.nanolett.3c01994</v>
      </c>
      <c r="BG320" t="s">
        <v>74</v>
      </c>
      <c r="BH320" t="s">
        <v>2868</v>
      </c>
      <c r="BI320" t="s">
        <v>74</v>
      </c>
      <c r="BJ320" t="s">
        <v>74</v>
      </c>
      <c r="BK320" t="s">
        <v>74</v>
      </c>
      <c r="BL320" t="s">
        <v>74</v>
      </c>
      <c r="BM320" t="s">
        <v>74</v>
      </c>
      <c r="BN320">
        <v>37490464</v>
      </c>
      <c r="BO320" t="s">
        <v>74</v>
      </c>
      <c r="BP320" t="s">
        <v>74</v>
      </c>
      <c r="BQ320" t="s">
        <v>74</v>
      </c>
      <c r="BR320" t="s">
        <v>74</v>
      </c>
      <c r="BS320" t="s">
        <v>2902</v>
      </c>
      <c r="BT320" t="str">
        <f>HYPERLINK("https%3A%2F%2Fwww.webofscience.com%2Fwos%2Fwoscc%2Ffull-record%2FWOS:001033258900001","View Full Record in Web of Science")</f>
        <v>View Full Record in Web of Science</v>
      </c>
    </row>
    <row r="321" spans="1:72" x14ac:dyDescent="0.2">
      <c r="A321" t="s">
        <v>72</v>
      </c>
      <c r="B321" t="s">
        <v>2903</v>
      </c>
      <c r="C321" t="s">
        <v>74</v>
      </c>
      <c r="D321" t="s">
        <v>74</v>
      </c>
      <c r="E321" t="s">
        <v>74</v>
      </c>
      <c r="F321" t="s">
        <v>2904</v>
      </c>
      <c r="G321" t="s">
        <v>74</v>
      </c>
      <c r="H321" t="s">
        <v>74</v>
      </c>
      <c r="I321" t="s">
        <v>2905</v>
      </c>
      <c r="J321" t="s">
        <v>191</v>
      </c>
      <c r="K321" t="s">
        <v>74</v>
      </c>
      <c r="L321" t="s">
        <v>74</v>
      </c>
      <c r="M321" t="s">
        <v>74</v>
      </c>
      <c r="N321" t="s">
        <v>74</v>
      </c>
      <c r="O321" t="s">
        <v>74</v>
      </c>
      <c r="P321" t="s">
        <v>74</v>
      </c>
      <c r="Q321" t="s">
        <v>74</v>
      </c>
      <c r="R321" t="s">
        <v>74</v>
      </c>
      <c r="S321" t="s">
        <v>74</v>
      </c>
      <c r="T321" t="s">
        <v>74</v>
      </c>
      <c r="U321" t="s">
        <v>74</v>
      </c>
      <c r="V321" t="s">
        <v>2906</v>
      </c>
      <c r="W321" t="s">
        <v>74</v>
      </c>
      <c r="X321" t="s">
        <v>74</v>
      </c>
      <c r="Y321" t="s">
        <v>74</v>
      </c>
      <c r="Z321" t="s">
        <v>74</v>
      </c>
      <c r="AA321" t="s">
        <v>2907</v>
      </c>
      <c r="AB321" t="s">
        <v>2908</v>
      </c>
      <c r="AC321" t="s">
        <v>74</v>
      </c>
      <c r="AD321" t="s">
        <v>74</v>
      </c>
      <c r="AE321" t="s">
        <v>74</v>
      </c>
      <c r="AF321" t="s">
        <v>74</v>
      </c>
      <c r="AG321" t="s">
        <v>74</v>
      </c>
      <c r="AH321" t="s">
        <v>74</v>
      </c>
      <c r="AI321" t="s">
        <v>74</v>
      </c>
      <c r="AJ321" t="s">
        <v>74</v>
      </c>
      <c r="AK321" t="s">
        <v>74</v>
      </c>
      <c r="AL321" t="s">
        <v>74</v>
      </c>
      <c r="AM321" t="s">
        <v>74</v>
      </c>
      <c r="AN321" t="s">
        <v>74</v>
      </c>
      <c r="AO321" t="s">
        <v>74</v>
      </c>
      <c r="AP321" t="s">
        <v>194</v>
      </c>
      <c r="AQ321" t="s">
        <v>74</v>
      </c>
      <c r="AR321" t="s">
        <v>74</v>
      </c>
      <c r="AS321" t="s">
        <v>74</v>
      </c>
      <c r="AT321" t="s">
        <v>92</v>
      </c>
      <c r="AU321">
        <v>2023</v>
      </c>
      <c r="AV321">
        <v>4</v>
      </c>
      <c r="AW321">
        <v>11</v>
      </c>
      <c r="AX321" t="s">
        <v>74</v>
      </c>
      <c r="AY321" t="s">
        <v>74</v>
      </c>
      <c r="AZ321" t="s">
        <v>74</v>
      </c>
      <c r="BA321" t="s">
        <v>74</v>
      </c>
      <c r="BB321" t="s">
        <v>74</v>
      </c>
      <c r="BC321" t="s">
        <v>74</v>
      </c>
      <c r="BD321" t="s">
        <v>74</v>
      </c>
      <c r="BE321" t="s">
        <v>2909</v>
      </c>
      <c r="BF321" t="str">
        <f>HYPERLINK("http://dx.doi.org/10.1002/sstr.202300119","http://dx.doi.org/10.1002/sstr.202300119")</f>
        <v>http://dx.doi.org/10.1002/sstr.202300119</v>
      </c>
      <c r="BG321" t="s">
        <v>74</v>
      </c>
      <c r="BH321" t="s">
        <v>2868</v>
      </c>
      <c r="BI321" t="s">
        <v>74</v>
      </c>
      <c r="BJ321" t="s">
        <v>74</v>
      </c>
      <c r="BK321" t="s">
        <v>74</v>
      </c>
      <c r="BL321" t="s">
        <v>74</v>
      </c>
      <c r="BM321" t="s">
        <v>74</v>
      </c>
      <c r="BN321" t="s">
        <v>74</v>
      </c>
      <c r="BO321" t="s">
        <v>74</v>
      </c>
      <c r="BP321" t="s">
        <v>74</v>
      </c>
      <c r="BQ321" t="s">
        <v>74</v>
      </c>
      <c r="BR321" t="s">
        <v>74</v>
      </c>
      <c r="BS321" t="s">
        <v>2910</v>
      </c>
      <c r="BT321" t="str">
        <f>HYPERLINK("https%3A%2F%2Fwww.webofscience.com%2Fwos%2Fwoscc%2Ffull-record%2FWOS:001029281100001","View Full Record in Web of Science")</f>
        <v>View Full Record in Web of Science</v>
      </c>
    </row>
    <row r="322" spans="1:72" x14ac:dyDescent="0.2">
      <c r="A322" t="s">
        <v>72</v>
      </c>
      <c r="B322" t="s">
        <v>2911</v>
      </c>
      <c r="C322" t="s">
        <v>74</v>
      </c>
      <c r="D322" t="s">
        <v>74</v>
      </c>
      <c r="E322" t="s">
        <v>74</v>
      </c>
      <c r="F322" t="s">
        <v>2912</v>
      </c>
      <c r="G322" t="s">
        <v>74</v>
      </c>
      <c r="H322" t="s">
        <v>74</v>
      </c>
      <c r="I322" t="s">
        <v>2913</v>
      </c>
      <c r="J322" t="s">
        <v>1129</v>
      </c>
      <c r="K322" t="s">
        <v>74</v>
      </c>
      <c r="L322" t="s">
        <v>74</v>
      </c>
      <c r="M322" t="s">
        <v>74</v>
      </c>
      <c r="N322" t="s">
        <v>74</v>
      </c>
      <c r="O322" t="s">
        <v>74</v>
      </c>
      <c r="P322" t="s">
        <v>74</v>
      </c>
      <c r="Q322" t="s">
        <v>74</v>
      </c>
      <c r="R322" t="s">
        <v>74</v>
      </c>
      <c r="S322" t="s">
        <v>74</v>
      </c>
      <c r="T322" t="s">
        <v>74</v>
      </c>
      <c r="U322" t="s">
        <v>74</v>
      </c>
      <c r="V322" t="s">
        <v>2914</v>
      </c>
      <c r="W322" t="s">
        <v>74</v>
      </c>
      <c r="X322" t="s">
        <v>74</v>
      </c>
      <c r="Y322" t="s">
        <v>74</v>
      </c>
      <c r="Z322" t="s">
        <v>74</v>
      </c>
      <c r="AA322" t="s">
        <v>2915</v>
      </c>
      <c r="AB322" t="s">
        <v>74</v>
      </c>
      <c r="AC322" t="s">
        <v>74</v>
      </c>
      <c r="AD322" t="s">
        <v>74</v>
      </c>
      <c r="AE322" t="s">
        <v>74</v>
      </c>
      <c r="AF322" t="s">
        <v>74</v>
      </c>
      <c r="AG322" t="s">
        <v>74</v>
      </c>
      <c r="AH322" t="s">
        <v>74</v>
      </c>
      <c r="AI322" t="s">
        <v>74</v>
      </c>
      <c r="AJ322" t="s">
        <v>74</v>
      </c>
      <c r="AK322" t="s">
        <v>74</v>
      </c>
      <c r="AL322" t="s">
        <v>74</v>
      </c>
      <c r="AM322" t="s">
        <v>74</v>
      </c>
      <c r="AN322" t="s">
        <v>74</v>
      </c>
      <c r="AO322" t="s">
        <v>74</v>
      </c>
      <c r="AP322" t="s">
        <v>1133</v>
      </c>
      <c r="AQ322" t="s">
        <v>74</v>
      </c>
      <c r="AR322" t="s">
        <v>74</v>
      </c>
      <c r="AS322" t="s">
        <v>74</v>
      </c>
      <c r="AT322" t="s">
        <v>368</v>
      </c>
      <c r="AU322">
        <v>2024</v>
      </c>
      <c r="AV322">
        <v>7</v>
      </c>
      <c r="AW322">
        <v>4</v>
      </c>
      <c r="AX322" t="s">
        <v>74</v>
      </c>
      <c r="AY322" t="s">
        <v>74</v>
      </c>
      <c r="AZ322" t="s">
        <v>74</v>
      </c>
      <c r="BA322" t="s">
        <v>74</v>
      </c>
      <c r="BB322" t="s">
        <v>74</v>
      </c>
      <c r="BC322" t="s">
        <v>74</v>
      </c>
      <c r="BD322" t="s">
        <v>2916</v>
      </c>
      <c r="BE322" t="s">
        <v>2917</v>
      </c>
      <c r="BF322" t="str">
        <f>HYPERLINK("http://dx.doi.org/10.1002/eem2.12659","http://dx.doi.org/10.1002/eem2.12659")</f>
        <v>http://dx.doi.org/10.1002/eem2.12659</v>
      </c>
      <c r="BG322" t="s">
        <v>74</v>
      </c>
      <c r="BH322" t="s">
        <v>2868</v>
      </c>
      <c r="BI322" t="s">
        <v>74</v>
      </c>
      <c r="BJ322" t="s">
        <v>74</v>
      </c>
      <c r="BK322" t="s">
        <v>74</v>
      </c>
      <c r="BL322" t="s">
        <v>74</v>
      </c>
      <c r="BM322" t="s">
        <v>74</v>
      </c>
      <c r="BN322" t="s">
        <v>74</v>
      </c>
      <c r="BO322" t="s">
        <v>74</v>
      </c>
      <c r="BP322" t="s">
        <v>74</v>
      </c>
      <c r="BQ322" t="s">
        <v>74</v>
      </c>
      <c r="BR322" t="s">
        <v>74</v>
      </c>
      <c r="BS322" t="s">
        <v>2918</v>
      </c>
      <c r="BT322" t="str">
        <f>HYPERLINK("https%3A%2F%2Fwww.webofscience.com%2Fwos%2Fwoscc%2Ffull-record%2FWOS:001024791900001","View Full Record in Web of Science")</f>
        <v>View Full Record in Web of Science</v>
      </c>
    </row>
    <row r="323" spans="1:72" x14ac:dyDescent="0.2">
      <c r="A323" t="s">
        <v>72</v>
      </c>
      <c r="B323" t="s">
        <v>2919</v>
      </c>
      <c r="C323" t="s">
        <v>74</v>
      </c>
      <c r="D323" t="s">
        <v>74</v>
      </c>
      <c r="E323" t="s">
        <v>74</v>
      </c>
      <c r="F323" t="s">
        <v>2920</v>
      </c>
      <c r="G323" t="s">
        <v>74</v>
      </c>
      <c r="H323" t="s">
        <v>74</v>
      </c>
      <c r="I323" t="s">
        <v>2921</v>
      </c>
      <c r="J323" t="s">
        <v>2444</v>
      </c>
      <c r="K323" t="s">
        <v>74</v>
      </c>
      <c r="L323" t="s">
        <v>74</v>
      </c>
      <c r="M323" t="s">
        <v>74</v>
      </c>
      <c r="N323" t="s">
        <v>74</v>
      </c>
      <c r="O323" t="s">
        <v>74</v>
      </c>
      <c r="P323" t="s">
        <v>74</v>
      </c>
      <c r="Q323" t="s">
        <v>74</v>
      </c>
      <c r="R323" t="s">
        <v>74</v>
      </c>
      <c r="S323" t="s">
        <v>74</v>
      </c>
      <c r="T323" t="s">
        <v>74</v>
      </c>
      <c r="U323" t="s">
        <v>74</v>
      </c>
      <c r="V323" t="s">
        <v>2922</v>
      </c>
      <c r="W323" t="s">
        <v>74</v>
      </c>
      <c r="X323" t="s">
        <v>74</v>
      </c>
      <c r="Y323" t="s">
        <v>74</v>
      </c>
      <c r="Z323" t="s">
        <v>74</v>
      </c>
      <c r="AA323" t="s">
        <v>2923</v>
      </c>
      <c r="AB323" t="s">
        <v>2924</v>
      </c>
      <c r="AC323" t="s">
        <v>74</v>
      </c>
      <c r="AD323" t="s">
        <v>74</v>
      </c>
      <c r="AE323" t="s">
        <v>74</v>
      </c>
      <c r="AF323" t="s">
        <v>74</v>
      </c>
      <c r="AG323" t="s">
        <v>74</v>
      </c>
      <c r="AH323" t="s">
        <v>74</v>
      </c>
      <c r="AI323" t="s">
        <v>74</v>
      </c>
      <c r="AJ323" t="s">
        <v>74</v>
      </c>
      <c r="AK323" t="s">
        <v>74</v>
      </c>
      <c r="AL323" t="s">
        <v>74</v>
      </c>
      <c r="AM323" t="s">
        <v>74</v>
      </c>
      <c r="AN323" t="s">
        <v>74</v>
      </c>
      <c r="AO323" t="s">
        <v>74</v>
      </c>
      <c r="AP323" t="s">
        <v>2447</v>
      </c>
      <c r="AQ323" t="s">
        <v>74</v>
      </c>
      <c r="AR323" t="s">
        <v>74</v>
      </c>
      <c r="AS323" t="s">
        <v>74</v>
      </c>
      <c r="AT323" t="s">
        <v>368</v>
      </c>
      <c r="AU323">
        <v>2023</v>
      </c>
      <c r="AV323">
        <v>9</v>
      </c>
      <c r="AW323">
        <v>7</v>
      </c>
      <c r="AX323" t="s">
        <v>74</v>
      </c>
      <c r="AY323" t="s">
        <v>74</v>
      </c>
      <c r="AZ323" t="s">
        <v>74</v>
      </c>
      <c r="BA323" t="s">
        <v>74</v>
      </c>
      <c r="BB323" t="s">
        <v>74</v>
      </c>
      <c r="BC323" t="s">
        <v>74</v>
      </c>
      <c r="BD323">
        <v>356</v>
      </c>
      <c r="BE323" t="s">
        <v>2925</v>
      </c>
      <c r="BF323" t="str">
        <f>HYPERLINK("http://dx.doi.org/10.3390/batteries9070356","http://dx.doi.org/10.3390/batteries9070356")</f>
        <v>http://dx.doi.org/10.3390/batteries9070356</v>
      </c>
      <c r="BG323" t="s">
        <v>74</v>
      </c>
      <c r="BH323" t="s">
        <v>74</v>
      </c>
      <c r="BI323" t="s">
        <v>74</v>
      </c>
      <c r="BJ323" t="s">
        <v>74</v>
      </c>
      <c r="BK323" t="s">
        <v>74</v>
      </c>
      <c r="BL323" t="s">
        <v>74</v>
      </c>
      <c r="BM323" t="s">
        <v>74</v>
      </c>
      <c r="BN323" t="s">
        <v>74</v>
      </c>
      <c r="BO323" t="s">
        <v>74</v>
      </c>
      <c r="BP323" t="s">
        <v>74</v>
      </c>
      <c r="BQ323" t="s">
        <v>74</v>
      </c>
      <c r="BR323" t="s">
        <v>74</v>
      </c>
      <c r="BS323" t="s">
        <v>2926</v>
      </c>
      <c r="BT323" t="str">
        <f>HYPERLINK("https%3A%2F%2Fwww.webofscience.com%2Fwos%2Fwoscc%2Ffull-record%2FWOS:001037955200001","View Full Record in Web of Science")</f>
        <v>View Full Record in Web of Science</v>
      </c>
    </row>
    <row r="324" spans="1:72" x14ac:dyDescent="0.2">
      <c r="A324" t="s">
        <v>72</v>
      </c>
      <c r="B324" t="s">
        <v>2927</v>
      </c>
      <c r="C324" t="s">
        <v>74</v>
      </c>
      <c r="D324" t="s">
        <v>74</v>
      </c>
      <c r="E324" t="s">
        <v>74</v>
      </c>
      <c r="F324" t="s">
        <v>2928</v>
      </c>
      <c r="G324" t="s">
        <v>74</v>
      </c>
      <c r="H324" t="s">
        <v>74</v>
      </c>
      <c r="I324" t="s">
        <v>2929</v>
      </c>
      <c r="J324" t="s">
        <v>2444</v>
      </c>
      <c r="K324" t="s">
        <v>74</v>
      </c>
      <c r="L324" t="s">
        <v>74</v>
      </c>
      <c r="M324" t="s">
        <v>74</v>
      </c>
      <c r="N324" t="s">
        <v>74</v>
      </c>
      <c r="O324" t="s">
        <v>74</v>
      </c>
      <c r="P324" t="s">
        <v>74</v>
      </c>
      <c r="Q324" t="s">
        <v>74</v>
      </c>
      <c r="R324" t="s">
        <v>74</v>
      </c>
      <c r="S324" t="s">
        <v>74</v>
      </c>
      <c r="T324" t="s">
        <v>74</v>
      </c>
      <c r="U324" t="s">
        <v>74</v>
      </c>
      <c r="V324" t="s">
        <v>2930</v>
      </c>
      <c r="W324" t="s">
        <v>74</v>
      </c>
      <c r="X324" t="s">
        <v>74</v>
      </c>
      <c r="Y324" t="s">
        <v>74</v>
      </c>
      <c r="Z324" t="s">
        <v>74</v>
      </c>
      <c r="AA324" t="s">
        <v>2931</v>
      </c>
      <c r="AB324" t="s">
        <v>2932</v>
      </c>
      <c r="AC324" t="s">
        <v>74</v>
      </c>
      <c r="AD324" t="s">
        <v>74</v>
      </c>
      <c r="AE324" t="s">
        <v>74</v>
      </c>
      <c r="AF324" t="s">
        <v>74</v>
      </c>
      <c r="AG324" t="s">
        <v>74</v>
      </c>
      <c r="AH324" t="s">
        <v>74</v>
      </c>
      <c r="AI324" t="s">
        <v>74</v>
      </c>
      <c r="AJ324" t="s">
        <v>74</v>
      </c>
      <c r="AK324" t="s">
        <v>74</v>
      </c>
      <c r="AL324" t="s">
        <v>74</v>
      </c>
      <c r="AM324" t="s">
        <v>74</v>
      </c>
      <c r="AN324" t="s">
        <v>74</v>
      </c>
      <c r="AO324" t="s">
        <v>74</v>
      </c>
      <c r="AP324" t="s">
        <v>2447</v>
      </c>
      <c r="AQ324" t="s">
        <v>74</v>
      </c>
      <c r="AR324" t="s">
        <v>74</v>
      </c>
      <c r="AS324" t="s">
        <v>74</v>
      </c>
      <c r="AT324" t="s">
        <v>368</v>
      </c>
      <c r="AU324">
        <v>2023</v>
      </c>
      <c r="AV324">
        <v>9</v>
      </c>
      <c r="AW324">
        <v>7</v>
      </c>
      <c r="AX324" t="s">
        <v>74</v>
      </c>
      <c r="AY324" t="s">
        <v>74</v>
      </c>
      <c r="AZ324" t="s">
        <v>74</v>
      </c>
      <c r="BA324" t="s">
        <v>74</v>
      </c>
      <c r="BB324" t="s">
        <v>74</v>
      </c>
      <c r="BC324" t="s">
        <v>74</v>
      </c>
      <c r="BD324">
        <v>344</v>
      </c>
      <c r="BE324" t="s">
        <v>2933</v>
      </c>
      <c r="BF324" t="str">
        <f>HYPERLINK("http://dx.doi.org/10.3390/batteries9070344","http://dx.doi.org/10.3390/batteries9070344")</f>
        <v>http://dx.doi.org/10.3390/batteries9070344</v>
      </c>
      <c r="BG324" t="s">
        <v>74</v>
      </c>
      <c r="BH324" t="s">
        <v>74</v>
      </c>
      <c r="BI324" t="s">
        <v>74</v>
      </c>
      <c r="BJ324" t="s">
        <v>74</v>
      </c>
      <c r="BK324" t="s">
        <v>74</v>
      </c>
      <c r="BL324" t="s">
        <v>74</v>
      </c>
      <c r="BM324" t="s">
        <v>74</v>
      </c>
      <c r="BN324" t="s">
        <v>74</v>
      </c>
      <c r="BO324" t="s">
        <v>74</v>
      </c>
      <c r="BP324" t="s">
        <v>74</v>
      </c>
      <c r="BQ324" t="s">
        <v>74</v>
      </c>
      <c r="BR324" t="s">
        <v>74</v>
      </c>
      <c r="BS324" t="s">
        <v>2934</v>
      </c>
      <c r="BT324" t="str">
        <f>HYPERLINK("https%3A%2F%2Fwww.webofscience.com%2Fwos%2Fwoscc%2Ffull-record%2FWOS:001037940800001","View Full Record in Web of Science")</f>
        <v>View Full Record in Web of Science</v>
      </c>
    </row>
    <row r="325" spans="1:72" x14ac:dyDescent="0.2">
      <c r="A325" t="s">
        <v>72</v>
      </c>
      <c r="B325" t="s">
        <v>2935</v>
      </c>
      <c r="C325" t="s">
        <v>74</v>
      </c>
      <c r="D325" t="s">
        <v>74</v>
      </c>
      <c r="E325" t="s">
        <v>74</v>
      </c>
      <c r="F325" t="s">
        <v>2936</v>
      </c>
      <c r="G325" t="s">
        <v>74</v>
      </c>
      <c r="H325" t="s">
        <v>74</v>
      </c>
      <c r="I325" t="s">
        <v>2937</v>
      </c>
      <c r="J325" t="s">
        <v>2938</v>
      </c>
      <c r="K325" t="s">
        <v>74</v>
      </c>
      <c r="L325" t="s">
        <v>74</v>
      </c>
      <c r="M325" t="s">
        <v>74</v>
      </c>
      <c r="N325" t="s">
        <v>74</v>
      </c>
      <c r="O325" t="s">
        <v>74</v>
      </c>
      <c r="P325" t="s">
        <v>74</v>
      </c>
      <c r="Q325" t="s">
        <v>74</v>
      </c>
      <c r="R325" t="s">
        <v>74</v>
      </c>
      <c r="S325" t="s">
        <v>74</v>
      </c>
      <c r="T325" t="s">
        <v>74</v>
      </c>
      <c r="U325" t="s">
        <v>74</v>
      </c>
      <c r="V325" t="s">
        <v>2939</v>
      </c>
      <c r="W325" t="s">
        <v>74</v>
      </c>
      <c r="X325" t="s">
        <v>74</v>
      </c>
      <c r="Y325" t="s">
        <v>74</v>
      </c>
      <c r="Z325" t="s">
        <v>74</v>
      </c>
      <c r="AA325" t="s">
        <v>2940</v>
      </c>
      <c r="AB325" t="s">
        <v>2941</v>
      </c>
      <c r="AC325" t="s">
        <v>74</v>
      </c>
      <c r="AD325" t="s">
        <v>74</v>
      </c>
      <c r="AE325" t="s">
        <v>74</v>
      </c>
      <c r="AF325" t="s">
        <v>74</v>
      </c>
      <c r="AG325" t="s">
        <v>74</v>
      </c>
      <c r="AH325" t="s">
        <v>74</v>
      </c>
      <c r="AI325" t="s">
        <v>74</v>
      </c>
      <c r="AJ325" t="s">
        <v>74</v>
      </c>
      <c r="AK325" t="s">
        <v>74</v>
      </c>
      <c r="AL325" t="s">
        <v>74</v>
      </c>
      <c r="AM325" t="s">
        <v>74</v>
      </c>
      <c r="AN325" t="s">
        <v>74</v>
      </c>
      <c r="AO325" t="s">
        <v>74</v>
      </c>
      <c r="AP325" t="s">
        <v>2942</v>
      </c>
      <c r="AQ325" t="s">
        <v>74</v>
      </c>
      <c r="AR325" t="s">
        <v>74</v>
      </c>
      <c r="AS325" t="s">
        <v>74</v>
      </c>
      <c r="AT325" t="s">
        <v>368</v>
      </c>
      <c r="AU325">
        <v>2023</v>
      </c>
      <c r="AV325">
        <v>11</v>
      </c>
      <c r="AW325">
        <v>7</v>
      </c>
      <c r="AX325" t="s">
        <v>74</v>
      </c>
      <c r="AY325" t="s">
        <v>74</v>
      </c>
      <c r="AZ325" t="s">
        <v>74</v>
      </c>
      <c r="BA325" t="s">
        <v>74</v>
      </c>
      <c r="BB325" t="s">
        <v>74</v>
      </c>
      <c r="BC325" t="s">
        <v>74</v>
      </c>
      <c r="BD325">
        <v>280</v>
      </c>
      <c r="BE325" t="s">
        <v>2943</v>
      </c>
      <c r="BF325" t="str">
        <f>HYPERLINK("http://dx.doi.org/10.3390/inorganics11070280","http://dx.doi.org/10.3390/inorganics11070280")</f>
        <v>http://dx.doi.org/10.3390/inorganics11070280</v>
      </c>
      <c r="BG325" t="s">
        <v>74</v>
      </c>
      <c r="BH325" t="s">
        <v>74</v>
      </c>
      <c r="BI325" t="s">
        <v>74</v>
      </c>
      <c r="BJ325" t="s">
        <v>74</v>
      </c>
      <c r="BK325" t="s">
        <v>74</v>
      </c>
      <c r="BL325" t="s">
        <v>74</v>
      </c>
      <c r="BM325" t="s">
        <v>74</v>
      </c>
      <c r="BN325" t="s">
        <v>74</v>
      </c>
      <c r="BO325" t="s">
        <v>74</v>
      </c>
      <c r="BP325" t="s">
        <v>74</v>
      </c>
      <c r="BQ325" t="s">
        <v>74</v>
      </c>
      <c r="BR325" t="s">
        <v>74</v>
      </c>
      <c r="BS325" t="s">
        <v>2944</v>
      </c>
      <c r="BT325" t="str">
        <f>HYPERLINK("https%3A%2F%2Fwww.webofscience.com%2Fwos%2Fwoscc%2Ffull-record%2FWOS:001038681200001","View Full Record in Web of Science")</f>
        <v>View Full Record in Web of Science</v>
      </c>
    </row>
    <row r="326" spans="1:72" x14ac:dyDescent="0.2">
      <c r="A326" t="s">
        <v>72</v>
      </c>
      <c r="B326" t="s">
        <v>2945</v>
      </c>
      <c r="C326" t="s">
        <v>74</v>
      </c>
      <c r="D326" t="s">
        <v>74</v>
      </c>
      <c r="E326" t="s">
        <v>74</v>
      </c>
      <c r="F326" t="s">
        <v>2946</v>
      </c>
      <c r="G326" t="s">
        <v>74</v>
      </c>
      <c r="H326" t="s">
        <v>74</v>
      </c>
      <c r="I326" t="s">
        <v>2947</v>
      </c>
      <c r="J326" t="s">
        <v>171</v>
      </c>
      <c r="K326" t="s">
        <v>74</v>
      </c>
      <c r="L326" t="s">
        <v>74</v>
      </c>
      <c r="M326" t="s">
        <v>74</v>
      </c>
      <c r="N326" t="s">
        <v>74</v>
      </c>
      <c r="O326" t="s">
        <v>74</v>
      </c>
      <c r="P326" t="s">
        <v>74</v>
      </c>
      <c r="Q326" t="s">
        <v>74</v>
      </c>
      <c r="R326" t="s">
        <v>74</v>
      </c>
      <c r="S326" t="s">
        <v>74</v>
      </c>
      <c r="T326" t="s">
        <v>74</v>
      </c>
      <c r="U326" t="s">
        <v>74</v>
      </c>
      <c r="V326" t="s">
        <v>2948</v>
      </c>
      <c r="W326" t="s">
        <v>74</v>
      </c>
      <c r="X326" t="s">
        <v>74</v>
      </c>
      <c r="Y326" t="s">
        <v>74</v>
      </c>
      <c r="Z326" t="s">
        <v>74</v>
      </c>
      <c r="AA326" t="s">
        <v>2949</v>
      </c>
      <c r="AB326" t="s">
        <v>74</v>
      </c>
      <c r="AC326" t="s">
        <v>74</v>
      </c>
      <c r="AD326" t="s">
        <v>74</v>
      </c>
      <c r="AE326" t="s">
        <v>74</v>
      </c>
      <c r="AF326" t="s">
        <v>74</v>
      </c>
      <c r="AG326" t="s">
        <v>74</v>
      </c>
      <c r="AH326" t="s">
        <v>74</v>
      </c>
      <c r="AI326" t="s">
        <v>74</v>
      </c>
      <c r="AJ326" t="s">
        <v>74</v>
      </c>
      <c r="AK326" t="s">
        <v>74</v>
      </c>
      <c r="AL326" t="s">
        <v>74</v>
      </c>
      <c r="AM326" t="s">
        <v>74</v>
      </c>
      <c r="AN326" t="s">
        <v>74</v>
      </c>
      <c r="AO326" t="s">
        <v>173</v>
      </c>
      <c r="AP326" t="s">
        <v>174</v>
      </c>
      <c r="AQ326" t="s">
        <v>74</v>
      </c>
      <c r="AR326" t="s">
        <v>74</v>
      </c>
      <c r="AS326" t="s">
        <v>74</v>
      </c>
      <c r="AT326" t="s">
        <v>92</v>
      </c>
      <c r="AU326">
        <v>2023</v>
      </c>
      <c r="AV326">
        <v>649</v>
      </c>
      <c r="AW326" t="s">
        <v>74</v>
      </c>
      <c r="AX326" t="s">
        <v>74</v>
      </c>
      <c r="AY326" t="s">
        <v>74</v>
      </c>
      <c r="AZ326" t="s">
        <v>74</v>
      </c>
      <c r="BA326" t="s">
        <v>74</v>
      </c>
      <c r="BB326">
        <v>591</v>
      </c>
      <c r="BC326">
        <v>600</v>
      </c>
      <c r="BD326" t="s">
        <v>74</v>
      </c>
      <c r="BE326" t="s">
        <v>2950</v>
      </c>
      <c r="BF326" t="str">
        <f>HYPERLINK("http://dx.doi.org/10.1016/j.jcis.2023.06.058","http://dx.doi.org/10.1016/j.jcis.2023.06.058")</f>
        <v>http://dx.doi.org/10.1016/j.jcis.2023.06.058</v>
      </c>
      <c r="BG326" t="s">
        <v>74</v>
      </c>
      <c r="BH326" t="s">
        <v>2951</v>
      </c>
      <c r="BI326" t="s">
        <v>74</v>
      </c>
      <c r="BJ326" t="s">
        <v>74</v>
      </c>
      <c r="BK326" t="s">
        <v>74</v>
      </c>
      <c r="BL326" t="s">
        <v>74</v>
      </c>
      <c r="BM326" t="s">
        <v>74</v>
      </c>
      <c r="BN326">
        <v>37364459</v>
      </c>
      <c r="BO326" t="s">
        <v>74</v>
      </c>
      <c r="BP326" t="s">
        <v>74</v>
      </c>
      <c r="BQ326" t="s">
        <v>74</v>
      </c>
      <c r="BR326" t="s">
        <v>74</v>
      </c>
      <c r="BS326" t="s">
        <v>2952</v>
      </c>
      <c r="BT326" t="str">
        <f>HYPERLINK("https%3A%2F%2Fwww.webofscience.com%2Fwos%2Fwoscc%2Ffull-record%2FWOS:001062802400001","View Full Record in Web of Science")</f>
        <v>View Full Record in Web of Science</v>
      </c>
    </row>
    <row r="327" spans="1:72" x14ac:dyDescent="0.2">
      <c r="A327" t="s">
        <v>72</v>
      </c>
      <c r="B327" t="s">
        <v>2953</v>
      </c>
      <c r="C327" t="s">
        <v>74</v>
      </c>
      <c r="D327" t="s">
        <v>74</v>
      </c>
      <c r="E327" t="s">
        <v>74</v>
      </c>
      <c r="F327" t="s">
        <v>2954</v>
      </c>
      <c r="G327" t="s">
        <v>74</v>
      </c>
      <c r="H327" t="s">
        <v>74</v>
      </c>
      <c r="I327" t="s">
        <v>2955</v>
      </c>
      <c r="J327" t="s">
        <v>384</v>
      </c>
      <c r="K327" t="s">
        <v>74</v>
      </c>
      <c r="L327" t="s">
        <v>74</v>
      </c>
      <c r="M327" t="s">
        <v>74</v>
      </c>
      <c r="N327" t="s">
        <v>74</v>
      </c>
      <c r="O327" t="s">
        <v>74</v>
      </c>
      <c r="P327" t="s">
        <v>74</v>
      </c>
      <c r="Q327" t="s">
        <v>74</v>
      </c>
      <c r="R327" t="s">
        <v>74</v>
      </c>
      <c r="S327" t="s">
        <v>74</v>
      </c>
      <c r="T327" t="s">
        <v>74</v>
      </c>
      <c r="U327" t="s">
        <v>74</v>
      </c>
      <c r="V327" t="s">
        <v>2956</v>
      </c>
      <c r="W327" t="s">
        <v>74</v>
      </c>
      <c r="X327" t="s">
        <v>74</v>
      </c>
      <c r="Y327" t="s">
        <v>74</v>
      </c>
      <c r="Z327" t="s">
        <v>74</v>
      </c>
      <c r="AA327" t="s">
        <v>2957</v>
      </c>
      <c r="AB327" t="s">
        <v>74</v>
      </c>
      <c r="AC327" t="s">
        <v>74</v>
      </c>
      <c r="AD327" t="s">
        <v>74</v>
      </c>
      <c r="AE327" t="s">
        <v>74</v>
      </c>
      <c r="AF327" t="s">
        <v>74</v>
      </c>
      <c r="AG327" t="s">
        <v>74</v>
      </c>
      <c r="AH327" t="s">
        <v>74</v>
      </c>
      <c r="AI327" t="s">
        <v>74</v>
      </c>
      <c r="AJ327" t="s">
        <v>74</v>
      </c>
      <c r="AK327" t="s">
        <v>74</v>
      </c>
      <c r="AL327" t="s">
        <v>74</v>
      </c>
      <c r="AM327" t="s">
        <v>74</v>
      </c>
      <c r="AN327" t="s">
        <v>74</v>
      </c>
      <c r="AO327" t="s">
        <v>386</v>
      </c>
      <c r="AP327" t="s">
        <v>387</v>
      </c>
      <c r="AQ327" t="s">
        <v>74</v>
      </c>
      <c r="AR327" t="s">
        <v>74</v>
      </c>
      <c r="AS327" t="s">
        <v>74</v>
      </c>
      <c r="AT327" t="s">
        <v>165</v>
      </c>
      <c r="AU327">
        <v>2023</v>
      </c>
      <c r="AV327">
        <v>49</v>
      </c>
      <c r="AW327">
        <v>16</v>
      </c>
      <c r="AX327" t="s">
        <v>74</v>
      </c>
      <c r="AY327" t="s">
        <v>74</v>
      </c>
      <c r="AZ327" t="s">
        <v>74</v>
      </c>
      <c r="BA327" t="s">
        <v>74</v>
      </c>
      <c r="BB327">
        <v>26604</v>
      </c>
      <c r="BC327">
        <v>26615</v>
      </c>
      <c r="BD327" t="s">
        <v>74</v>
      </c>
      <c r="BE327" t="s">
        <v>2958</v>
      </c>
      <c r="BF327" t="str">
        <f>HYPERLINK("http://dx.doi.org/10.1016/j.ceramint.2023.05.195","http://dx.doi.org/10.1016/j.ceramint.2023.05.195")</f>
        <v>http://dx.doi.org/10.1016/j.ceramint.2023.05.195</v>
      </c>
      <c r="BG327" t="s">
        <v>74</v>
      </c>
      <c r="BH327" t="s">
        <v>2951</v>
      </c>
      <c r="BI327" t="s">
        <v>74</v>
      </c>
      <c r="BJ327" t="s">
        <v>74</v>
      </c>
      <c r="BK327" t="s">
        <v>74</v>
      </c>
      <c r="BL327" t="s">
        <v>74</v>
      </c>
      <c r="BM327" t="s">
        <v>74</v>
      </c>
      <c r="BN327" t="s">
        <v>74</v>
      </c>
      <c r="BO327" t="s">
        <v>74</v>
      </c>
      <c r="BP327" t="s">
        <v>74</v>
      </c>
      <c r="BQ327" t="s">
        <v>74</v>
      </c>
      <c r="BR327" t="s">
        <v>74</v>
      </c>
      <c r="BS327" t="s">
        <v>2959</v>
      </c>
      <c r="BT327" t="str">
        <f>HYPERLINK("https%3A%2F%2Fwww.webofscience.com%2Fwos%2Fwoscc%2Ffull-record%2FWOS:001027761100001","View Full Record in Web of Science")</f>
        <v>View Full Record in Web of Science</v>
      </c>
    </row>
    <row r="328" spans="1:72" x14ac:dyDescent="0.2">
      <c r="A328" t="s">
        <v>72</v>
      </c>
      <c r="B328" t="s">
        <v>2960</v>
      </c>
      <c r="C328" t="s">
        <v>74</v>
      </c>
      <c r="D328" t="s">
        <v>74</v>
      </c>
      <c r="E328" t="s">
        <v>74</v>
      </c>
      <c r="F328" t="s">
        <v>2961</v>
      </c>
      <c r="G328" t="s">
        <v>74</v>
      </c>
      <c r="H328" t="s">
        <v>74</v>
      </c>
      <c r="I328" t="s">
        <v>2962</v>
      </c>
      <c r="J328" t="s">
        <v>1129</v>
      </c>
      <c r="K328" t="s">
        <v>74</v>
      </c>
      <c r="L328" t="s">
        <v>74</v>
      </c>
      <c r="M328" t="s">
        <v>74</v>
      </c>
      <c r="N328" t="s">
        <v>74</v>
      </c>
      <c r="O328" t="s">
        <v>74</v>
      </c>
      <c r="P328" t="s">
        <v>74</v>
      </c>
      <c r="Q328" t="s">
        <v>74</v>
      </c>
      <c r="R328" t="s">
        <v>74</v>
      </c>
      <c r="S328" t="s">
        <v>74</v>
      </c>
      <c r="T328" t="s">
        <v>74</v>
      </c>
      <c r="U328" t="s">
        <v>74</v>
      </c>
      <c r="V328" t="s">
        <v>2963</v>
      </c>
      <c r="W328" t="s">
        <v>74</v>
      </c>
      <c r="X328" t="s">
        <v>74</v>
      </c>
      <c r="Y328" t="s">
        <v>74</v>
      </c>
      <c r="Z328" t="s">
        <v>74</v>
      </c>
      <c r="AA328" t="s">
        <v>74</v>
      </c>
      <c r="AB328" t="s">
        <v>74</v>
      </c>
      <c r="AC328" t="s">
        <v>74</v>
      </c>
      <c r="AD328" t="s">
        <v>74</v>
      </c>
      <c r="AE328" t="s">
        <v>74</v>
      </c>
      <c r="AF328" t="s">
        <v>74</v>
      </c>
      <c r="AG328" t="s">
        <v>74</v>
      </c>
      <c r="AH328" t="s">
        <v>74</v>
      </c>
      <c r="AI328" t="s">
        <v>74</v>
      </c>
      <c r="AJ328" t="s">
        <v>74</v>
      </c>
      <c r="AK328" t="s">
        <v>74</v>
      </c>
      <c r="AL328" t="s">
        <v>74</v>
      </c>
      <c r="AM328" t="s">
        <v>74</v>
      </c>
      <c r="AN328" t="s">
        <v>74</v>
      </c>
      <c r="AO328" t="s">
        <v>74</v>
      </c>
      <c r="AP328" t="s">
        <v>1133</v>
      </c>
      <c r="AQ328" t="s">
        <v>74</v>
      </c>
      <c r="AR328" t="s">
        <v>74</v>
      </c>
      <c r="AS328" t="s">
        <v>74</v>
      </c>
      <c r="AT328" t="s">
        <v>545</v>
      </c>
      <c r="AU328">
        <v>2024</v>
      </c>
      <c r="AV328">
        <v>7</v>
      </c>
      <c r="AW328">
        <v>3</v>
      </c>
      <c r="AX328" t="s">
        <v>74</v>
      </c>
      <c r="AY328" t="s">
        <v>74</v>
      </c>
      <c r="AZ328" t="s">
        <v>74</v>
      </c>
      <c r="BA328" t="s">
        <v>74</v>
      </c>
      <c r="BB328" t="s">
        <v>74</v>
      </c>
      <c r="BC328" t="s">
        <v>74</v>
      </c>
      <c r="BD328" t="s">
        <v>74</v>
      </c>
      <c r="BE328" t="s">
        <v>2964</v>
      </c>
      <c r="BF328" t="str">
        <f>HYPERLINK("http://dx.doi.org/10.1002/eem2.12648","http://dx.doi.org/10.1002/eem2.12648")</f>
        <v>http://dx.doi.org/10.1002/eem2.12648</v>
      </c>
      <c r="BG328" t="s">
        <v>74</v>
      </c>
      <c r="BH328" t="s">
        <v>2951</v>
      </c>
      <c r="BI328" t="s">
        <v>74</v>
      </c>
      <c r="BJ328" t="s">
        <v>74</v>
      </c>
      <c r="BK328" t="s">
        <v>74</v>
      </c>
      <c r="BL328" t="s">
        <v>74</v>
      </c>
      <c r="BM328" t="s">
        <v>74</v>
      </c>
      <c r="BN328" t="s">
        <v>74</v>
      </c>
      <c r="BO328" t="s">
        <v>74</v>
      </c>
      <c r="BP328" t="s">
        <v>74</v>
      </c>
      <c r="BQ328" t="s">
        <v>74</v>
      </c>
      <c r="BR328" t="s">
        <v>74</v>
      </c>
      <c r="BS328" t="s">
        <v>2965</v>
      </c>
      <c r="BT328" t="str">
        <f>HYPERLINK("https%3A%2F%2Fwww.webofscience.com%2Fwos%2Fwoscc%2Ffull-record%2FWOS:001014986700001","View Full Record in Web of Science")</f>
        <v>View Full Record in Web of Science</v>
      </c>
    </row>
    <row r="329" spans="1:72" x14ac:dyDescent="0.2">
      <c r="A329" t="s">
        <v>72</v>
      </c>
      <c r="B329" t="s">
        <v>2966</v>
      </c>
      <c r="C329" t="s">
        <v>74</v>
      </c>
      <c r="D329" t="s">
        <v>74</v>
      </c>
      <c r="E329" t="s">
        <v>74</v>
      </c>
      <c r="F329" t="s">
        <v>2967</v>
      </c>
      <c r="G329" t="s">
        <v>74</v>
      </c>
      <c r="H329" t="s">
        <v>74</v>
      </c>
      <c r="I329" t="s">
        <v>2968</v>
      </c>
      <c r="J329" t="s">
        <v>2969</v>
      </c>
      <c r="K329" t="s">
        <v>74</v>
      </c>
      <c r="L329" t="s">
        <v>74</v>
      </c>
      <c r="M329" t="s">
        <v>74</v>
      </c>
      <c r="N329" t="s">
        <v>74</v>
      </c>
      <c r="O329" t="s">
        <v>74</v>
      </c>
      <c r="P329" t="s">
        <v>74</v>
      </c>
      <c r="Q329" t="s">
        <v>74</v>
      </c>
      <c r="R329" t="s">
        <v>74</v>
      </c>
      <c r="S329" t="s">
        <v>74</v>
      </c>
      <c r="T329" t="s">
        <v>74</v>
      </c>
      <c r="U329" t="s">
        <v>74</v>
      </c>
      <c r="V329" t="s">
        <v>2970</v>
      </c>
      <c r="W329" t="s">
        <v>74</v>
      </c>
      <c r="X329" t="s">
        <v>74</v>
      </c>
      <c r="Y329" t="s">
        <v>74</v>
      </c>
      <c r="Z329" t="s">
        <v>74</v>
      </c>
      <c r="AA329" t="s">
        <v>74</v>
      </c>
      <c r="AB329" t="s">
        <v>2971</v>
      </c>
      <c r="AC329" t="s">
        <v>74</v>
      </c>
      <c r="AD329" t="s">
        <v>74</v>
      </c>
      <c r="AE329" t="s">
        <v>74</v>
      </c>
      <c r="AF329" t="s">
        <v>74</v>
      </c>
      <c r="AG329" t="s">
        <v>74</v>
      </c>
      <c r="AH329" t="s">
        <v>74</v>
      </c>
      <c r="AI329" t="s">
        <v>74</v>
      </c>
      <c r="AJ329" t="s">
        <v>74</v>
      </c>
      <c r="AK329" t="s">
        <v>74</v>
      </c>
      <c r="AL329" t="s">
        <v>74</v>
      </c>
      <c r="AM329" t="s">
        <v>74</v>
      </c>
      <c r="AN329" t="s">
        <v>74</v>
      </c>
      <c r="AO329" t="s">
        <v>2972</v>
      </c>
      <c r="AP329" t="s">
        <v>2973</v>
      </c>
      <c r="AQ329" t="s">
        <v>74</v>
      </c>
      <c r="AR329" t="s">
        <v>74</v>
      </c>
      <c r="AS329" t="s">
        <v>74</v>
      </c>
      <c r="AT329" t="s">
        <v>92</v>
      </c>
      <c r="AU329">
        <v>2023</v>
      </c>
      <c r="AV329">
        <v>27</v>
      </c>
      <c r="AW329">
        <v>11</v>
      </c>
      <c r="AX329" t="s">
        <v>74</v>
      </c>
      <c r="AY329" t="s">
        <v>74</v>
      </c>
      <c r="AZ329" t="s">
        <v>2280</v>
      </c>
      <c r="BA329" t="s">
        <v>74</v>
      </c>
      <c r="BB329">
        <v>2905</v>
      </c>
      <c r="BC329">
        <v>2915</v>
      </c>
      <c r="BD329" t="s">
        <v>74</v>
      </c>
      <c r="BE329" t="s">
        <v>2974</v>
      </c>
      <c r="BF329" t="str">
        <f>HYPERLINK("http://dx.doi.org/10.1007/s10008-023-05563-1","http://dx.doi.org/10.1007/s10008-023-05563-1")</f>
        <v>http://dx.doi.org/10.1007/s10008-023-05563-1</v>
      </c>
      <c r="BG329" t="s">
        <v>74</v>
      </c>
      <c r="BH329" t="s">
        <v>2951</v>
      </c>
      <c r="BI329" t="s">
        <v>74</v>
      </c>
      <c r="BJ329" t="s">
        <v>74</v>
      </c>
      <c r="BK329" t="s">
        <v>74</v>
      </c>
      <c r="BL329" t="s">
        <v>74</v>
      </c>
      <c r="BM329" t="s">
        <v>74</v>
      </c>
      <c r="BN329" t="s">
        <v>74</v>
      </c>
      <c r="BO329" t="s">
        <v>74</v>
      </c>
      <c r="BP329" t="s">
        <v>74</v>
      </c>
      <c r="BQ329" t="s">
        <v>74</v>
      </c>
      <c r="BR329" t="s">
        <v>74</v>
      </c>
      <c r="BS329" t="s">
        <v>2975</v>
      </c>
      <c r="BT329" t="str">
        <f>HYPERLINK("https%3A%2F%2Fwww.webofscience.com%2Fwos%2Fwoscc%2Ffull-record%2FWOS:001009369100001","View Full Record in Web of Science")</f>
        <v>View Full Record in Web of Science</v>
      </c>
    </row>
    <row r="330" spans="1:72" x14ac:dyDescent="0.2">
      <c r="A330" t="s">
        <v>72</v>
      </c>
      <c r="B330" t="s">
        <v>2976</v>
      </c>
      <c r="C330" t="s">
        <v>74</v>
      </c>
      <c r="D330" t="s">
        <v>74</v>
      </c>
      <c r="E330" t="s">
        <v>74</v>
      </c>
      <c r="F330" t="s">
        <v>2977</v>
      </c>
      <c r="G330" t="s">
        <v>74</v>
      </c>
      <c r="H330" t="s">
        <v>74</v>
      </c>
      <c r="I330" t="s">
        <v>2978</v>
      </c>
      <c r="J330" t="s">
        <v>171</v>
      </c>
      <c r="K330" t="s">
        <v>74</v>
      </c>
      <c r="L330" t="s">
        <v>74</v>
      </c>
      <c r="M330" t="s">
        <v>74</v>
      </c>
      <c r="N330" t="s">
        <v>74</v>
      </c>
      <c r="O330" t="s">
        <v>74</v>
      </c>
      <c r="P330" t="s">
        <v>74</v>
      </c>
      <c r="Q330" t="s">
        <v>74</v>
      </c>
      <c r="R330" t="s">
        <v>74</v>
      </c>
      <c r="S330" t="s">
        <v>74</v>
      </c>
      <c r="T330" t="s">
        <v>74</v>
      </c>
      <c r="U330" t="s">
        <v>74</v>
      </c>
      <c r="V330" t="s">
        <v>2979</v>
      </c>
      <c r="W330" t="s">
        <v>74</v>
      </c>
      <c r="X330" t="s">
        <v>74</v>
      </c>
      <c r="Y330" t="s">
        <v>74</v>
      </c>
      <c r="Z330" t="s">
        <v>74</v>
      </c>
      <c r="AA330" t="s">
        <v>2980</v>
      </c>
      <c r="AB330" t="s">
        <v>2981</v>
      </c>
      <c r="AC330" t="s">
        <v>74</v>
      </c>
      <c r="AD330" t="s">
        <v>74</v>
      </c>
      <c r="AE330" t="s">
        <v>74</v>
      </c>
      <c r="AF330" t="s">
        <v>74</v>
      </c>
      <c r="AG330" t="s">
        <v>74</v>
      </c>
      <c r="AH330" t="s">
        <v>74</v>
      </c>
      <c r="AI330" t="s">
        <v>74</v>
      </c>
      <c r="AJ330" t="s">
        <v>74</v>
      </c>
      <c r="AK330" t="s">
        <v>74</v>
      </c>
      <c r="AL330" t="s">
        <v>74</v>
      </c>
      <c r="AM330" t="s">
        <v>74</v>
      </c>
      <c r="AN330" t="s">
        <v>74</v>
      </c>
      <c r="AO330" t="s">
        <v>173</v>
      </c>
      <c r="AP330" t="s">
        <v>174</v>
      </c>
      <c r="AQ330" t="s">
        <v>74</v>
      </c>
      <c r="AR330" t="s">
        <v>74</v>
      </c>
      <c r="AS330" t="s">
        <v>74</v>
      </c>
      <c r="AT330" t="s">
        <v>103</v>
      </c>
      <c r="AU330">
        <v>2023</v>
      </c>
      <c r="AV330">
        <v>648</v>
      </c>
      <c r="AW330" t="s">
        <v>74</v>
      </c>
      <c r="AX330" t="s">
        <v>74</v>
      </c>
      <c r="AY330" t="s">
        <v>74</v>
      </c>
      <c r="AZ330" t="s">
        <v>74</v>
      </c>
      <c r="BA330" t="s">
        <v>74</v>
      </c>
      <c r="BB330">
        <v>448</v>
      </c>
      <c r="BC330">
        <v>456</v>
      </c>
      <c r="BD330" t="s">
        <v>74</v>
      </c>
      <c r="BE330" t="s">
        <v>2982</v>
      </c>
      <c r="BF330" t="str">
        <f>HYPERLINK("http://dx.doi.org/10.1016/j.jcis.2023.06.021","http://dx.doi.org/10.1016/j.jcis.2023.06.021")</f>
        <v>http://dx.doi.org/10.1016/j.jcis.2023.06.021</v>
      </c>
      <c r="BG330" t="s">
        <v>74</v>
      </c>
      <c r="BH330" t="s">
        <v>2951</v>
      </c>
      <c r="BI330" t="s">
        <v>74</v>
      </c>
      <c r="BJ330" t="s">
        <v>74</v>
      </c>
      <c r="BK330" t="s">
        <v>74</v>
      </c>
      <c r="BL330" t="s">
        <v>74</v>
      </c>
      <c r="BM330" t="s">
        <v>74</v>
      </c>
      <c r="BN330">
        <v>37302228</v>
      </c>
      <c r="BO330" t="s">
        <v>74</v>
      </c>
      <c r="BP330" t="s">
        <v>74</v>
      </c>
      <c r="BQ330" t="s">
        <v>74</v>
      </c>
      <c r="BR330" t="s">
        <v>74</v>
      </c>
      <c r="BS330" t="s">
        <v>2983</v>
      </c>
      <c r="BT330" t="str">
        <f>HYPERLINK("https%3A%2F%2Fwww.webofscience.com%2Fwos%2Fwoscc%2Ffull-record%2FWOS:001036067800001","View Full Record in Web of Science")</f>
        <v>View Full Record in Web of Science</v>
      </c>
    </row>
    <row r="331" spans="1:72" x14ac:dyDescent="0.2">
      <c r="A331" t="s">
        <v>72</v>
      </c>
      <c r="B331" t="s">
        <v>2984</v>
      </c>
      <c r="C331" t="s">
        <v>74</v>
      </c>
      <c r="D331" t="s">
        <v>74</v>
      </c>
      <c r="E331" t="s">
        <v>74</v>
      </c>
      <c r="F331" t="s">
        <v>2985</v>
      </c>
      <c r="G331" t="s">
        <v>74</v>
      </c>
      <c r="H331" t="s">
        <v>74</v>
      </c>
      <c r="I331" t="s">
        <v>2986</v>
      </c>
      <c r="J331" t="s">
        <v>2987</v>
      </c>
      <c r="K331" t="s">
        <v>74</v>
      </c>
      <c r="L331" t="s">
        <v>74</v>
      </c>
      <c r="M331" t="s">
        <v>74</v>
      </c>
      <c r="N331" t="s">
        <v>74</v>
      </c>
      <c r="O331" t="s">
        <v>74</v>
      </c>
      <c r="P331" t="s">
        <v>74</v>
      </c>
      <c r="Q331" t="s">
        <v>74</v>
      </c>
      <c r="R331" t="s">
        <v>74</v>
      </c>
      <c r="S331" t="s">
        <v>74</v>
      </c>
      <c r="T331" t="s">
        <v>74</v>
      </c>
      <c r="U331" t="s">
        <v>74</v>
      </c>
      <c r="V331" t="s">
        <v>2988</v>
      </c>
      <c r="W331" t="s">
        <v>74</v>
      </c>
      <c r="X331" t="s">
        <v>74</v>
      </c>
      <c r="Y331" t="s">
        <v>74</v>
      </c>
      <c r="Z331" t="s">
        <v>74</v>
      </c>
      <c r="AA331" t="s">
        <v>2989</v>
      </c>
      <c r="AB331" t="s">
        <v>2990</v>
      </c>
      <c r="AC331" t="s">
        <v>74</v>
      </c>
      <c r="AD331" t="s">
        <v>74</v>
      </c>
      <c r="AE331" t="s">
        <v>74</v>
      </c>
      <c r="AF331" t="s">
        <v>74</v>
      </c>
      <c r="AG331" t="s">
        <v>74</v>
      </c>
      <c r="AH331" t="s">
        <v>74</v>
      </c>
      <c r="AI331" t="s">
        <v>74</v>
      </c>
      <c r="AJ331" t="s">
        <v>74</v>
      </c>
      <c r="AK331" t="s">
        <v>74</v>
      </c>
      <c r="AL331" t="s">
        <v>74</v>
      </c>
      <c r="AM331" t="s">
        <v>74</v>
      </c>
      <c r="AN331" t="s">
        <v>74</v>
      </c>
      <c r="AO331" t="s">
        <v>2991</v>
      </c>
      <c r="AP331" t="s">
        <v>2992</v>
      </c>
      <c r="AQ331" t="s">
        <v>74</v>
      </c>
      <c r="AR331" t="s">
        <v>74</v>
      </c>
      <c r="AS331" t="s">
        <v>74</v>
      </c>
      <c r="AT331" t="s">
        <v>165</v>
      </c>
      <c r="AU331">
        <v>2023</v>
      </c>
      <c r="AV331">
        <v>384</v>
      </c>
      <c r="AW331" t="s">
        <v>74</v>
      </c>
      <c r="AX331" t="s">
        <v>74</v>
      </c>
      <c r="AY331" t="s">
        <v>74</v>
      </c>
      <c r="AZ331" t="s">
        <v>74</v>
      </c>
      <c r="BA331" t="s">
        <v>74</v>
      </c>
      <c r="BB331" t="s">
        <v>74</v>
      </c>
      <c r="BC331" t="s">
        <v>74</v>
      </c>
      <c r="BD331">
        <v>122236</v>
      </c>
      <c r="BE331" t="s">
        <v>2993</v>
      </c>
      <c r="BF331" t="str">
        <f>HYPERLINK("http://dx.doi.org/10.1016/j.molliq.2023.122236","http://dx.doi.org/10.1016/j.molliq.2023.122236")</f>
        <v>http://dx.doi.org/10.1016/j.molliq.2023.122236</v>
      </c>
      <c r="BG331" t="s">
        <v>74</v>
      </c>
      <c r="BH331" t="s">
        <v>2951</v>
      </c>
      <c r="BI331" t="s">
        <v>74</v>
      </c>
      <c r="BJ331" t="s">
        <v>74</v>
      </c>
      <c r="BK331" t="s">
        <v>74</v>
      </c>
      <c r="BL331" t="s">
        <v>74</v>
      </c>
      <c r="BM331" t="s">
        <v>74</v>
      </c>
      <c r="BN331" t="s">
        <v>74</v>
      </c>
      <c r="BO331" t="s">
        <v>74</v>
      </c>
      <c r="BP331" t="s">
        <v>74</v>
      </c>
      <c r="BQ331" t="s">
        <v>74</v>
      </c>
      <c r="BR331" t="s">
        <v>74</v>
      </c>
      <c r="BS331" t="s">
        <v>2994</v>
      </c>
      <c r="BT331" t="str">
        <f>HYPERLINK("https%3A%2F%2Fwww.webofscience.com%2Fwos%2Fwoscc%2Ffull-record%2FWOS:001018913300001","View Full Record in Web of Science")</f>
        <v>View Full Record in Web of Science</v>
      </c>
    </row>
    <row r="332" spans="1:72" x14ac:dyDescent="0.2">
      <c r="A332" t="s">
        <v>72</v>
      </c>
      <c r="B332" t="s">
        <v>2995</v>
      </c>
      <c r="C332" t="s">
        <v>74</v>
      </c>
      <c r="D332" t="s">
        <v>74</v>
      </c>
      <c r="E332" t="s">
        <v>74</v>
      </c>
      <c r="F332" t="s">
        <v>2996</v>
      </c>
      <c r="G332" t="s">
        <v>74</v>
      </c>
      <c r="H332" t="s">
        <v>74</v>
      </c>
      <c r="I332" t="s">
        <v>2997</v>
      </c>
      <c r="J332" t="s">
        <v>98</v>
      </c>
      <c r="K332" t="s">
        <v>74</v>
      </c>
      <c r="L332" t="s">
        <v>74</v>
      </c>
      <c r="M332" t="s">
        <v>74</v>
      </c>
      <c r="N332" t="s">
        <v>74</v>
      </c>
      <c r="O332" t="s">
        <v>74</v>
      </c>
      <c r="P332" t="s">
        <v>74</v>
      </c>
      <c r="Q332" t="s">
        <v>74</v>
      </c>
      <c r="R332" t="s">
        <v>74</v>
      </c>
      <c r="S332" t="s">
        <v>74</v>
      </c>
      <c r="T332" t="s">
        <v>74</v>
      </c>
      <c r="U332" t="s">
        <v>74</v>
      </c>
      <c r="V332" t="s">
        <v>2998</v>
      </c>
      <c r="W332" t="s">
        <v>74</v>
      </c>
      <c r="X332" t="s">
        <v>74</v>
      </c>
      <c r="Y332" t="s">
        <v>74</v>
      </c>
      <c r="Z332" t="s">
        <v>74</v>
      </c>
      <c r="AA332" t="s">
        <v>2999</v>
      </c>
      <c r="AB332" t="s">
        <v>3000</v>
      </c>
      <c r="AC332" t="s">
        <v>74</v>
      </c>
      <c r="AD332" t="s">
        <v>74</v>
      </c>
      <c r="AE332" t="s">
        <v>74</v>
      </c>
      <c r="AF332" t="s">
        <v>74</v>
      </c>
      <c r="AG332" t="s">
        <v>74</v>
      </c>
      <c r="AH332" t="s">
        <v>74</v>
      </c>
      <c r="AI332" t="s">
        <v>74</v>
      </c>
      <c r="AJ332" t="s">
        <v>74</v>
      </c>
      <c r="AK332" t="s">
        <v>74</v>
      </c>
      <c r="AL332" t="s">
        <v>74</v>
      </c>
      <c r="AM332" t="s">
        <v>74</v>
      </c>
      <c r="AN332" t="s">
        <v>74</v>
      </c>
      <c r="AO332" t="s">
        <v>101</v>
      </c>
      <c r="AP332" t="s">
        <v>102</v>
      </c>
      <c r="AQ332" t="s">
        <v>74</v>
      </c>
      <c r="AR332" t="s">
        <v>74</v>
      </c>
      <c r="AS332" t="s">
        <v>74</v>
      </c>
      <c r="AT332" t="s">
        <v>1919</v>
      </c>
      <c r="AU332">
        <v>2023</v>
      </c>
      <c r="AV332">
        <v>577</v>
      </c>
      <c r="AW332" t="s">
        <v>74</v>
      </c>
      <c r="AX332" t="s">
        <v>74</v>
      </c>
      <c r="AY332" t="s">
        <v>74</v>
      </c>
      <c r="AZ332" t="s">
        <v>74</v>
      </c>
      <c r="BA332" t="s">
        <v>74</v>
      </c>
      <c r="BB332" t="s">
        <v>74</v>
      </c>
      <c r="BC332" t="s">
        <v>74</v>
      </c>
      <c r="BD332">
        <v>233260</v>
      </c>
      <c r="BE332" t="s">
        <v>3001</v>
      </c>
      <c r="BF332" t="str">
        <f>HYPERLINK("http://dx.doi.org/10.1016/j.jpowsour.2023.233260","http://dx.doi.org/10.1016/j.jpowsour.2023.233260")</f>
        <v>http://dx.doi.org/10.1016/j.jpowsour.2023.233260</v>
      </c>
      <c r="BG332" t="s">
        <v>74</v>
      </c>
      <c r="BH332" t="s">
        <v>3002</v>
      </c>
      <c r="BI332" t="s">
        <v>74</v>
      </c>
      <c r="BJ332" t="s">
        <v>74</v>
      </c>
      <c r="BK332" t="s">
        <v>74</v>
      </c>
      <c r="BL332" t="s">
        <v>74</v>
      </c>
      <c r="BM332" t="s">
        <v>74</v>
      </c>
      <c r="BN332" t="s">
        <v>74</v>
      </c>
      <c r="BO332" t="s">
        <v>74</v>
      </c>
      <c r="BP332" t="s">
        <v>74</v>
      </c>
      <c r="BQ332" t="s">
        <v>74</v>
      </c>
      <c r="BR332" t="s">
        <v>74</v>
      </c>
      <c r="BS332" t="s">
        <v>3003</v>
      </c>
      <c r="BT332" t="str">
        <f>HYPERLINK("https%3A%2F%2Fwww.webofscience.com%2Fwos%2Fwoscc%2Ffull-record%2FWOS:001011669200001","View Full Record in Web of Science")</f>
        <v>View Full Record in Web of Science</v>
      </c>
    </row>
    <row r="333" spans="1:72" x14ac:dyDescent="0.2">
      <c r="A333" t="s">
        <v>72</v>
      </c>
      <c r="B333" t="s">
        <v>3004</v>
      </c>
      <c r="C333" t="s">
        <v>74</v>
      </c>
      <c r="D333" t="s">
        <v>74</v>
      </c>
      <c r="E333" t="s">
        <v>74</v>
      </c>
      <c r="F333" t="s">
        <v>3005</v>
      </c>
      <c r="G333" t="s">
        <v>74</v>
      </c>
      <c r="H333" t="s">
        <v>74</v>
      </c>
      <c r="I333" t="s">
        <v>3006</v>
      </c>
      <c r="J333" t="s">
        <v>140</v>
      </c>
      <c r="K333" t="s">
        <v>74</v>
      </c>
      <c r="L333" t="s">
        <v>74</v>
      </c>
      <c r="M333" t="s">
        <v>74</v>
      </c>
      <c r="N333" t="s">
        <v>74</v>
      </c>
      <c r="O333" t="s">
        <v>74</v>
      </c>
      <c r="P333" t="s">
        <v>74</v>
      </c>
      <c r="Q333" t="s">
        <v>74</v>
      </c>
      <c r="R333" t="s">
        <v>74</v>
      </c>
      <c r="S333" t="s">
        <v>74</v>
      </c>
      <c r="T333" t="s">
        <v>74</v>
      </c>
      <c r="U333" t="s">
        <v>74</v>
      </c>
      <c r="V333" t="s">
        <v>3007</v>
      </c>
      <c r="W333" t="s">
        <v>74</v>
      </c>
      <c r="X333" t="s">
        <v>74</v>
      </c>
      <c r="Y333" t="s">
        <v>74</v>
      </c>
      <c r="Z333" t="s">
        <v>74</v>
      </c>
      <c r="AA333" t="s">
        <v>3008</v>
      </c>
      <c r="AB333" t="s">
        <v>3009</v>
      </c>
      <c r="AC333" t="s">
        <v>74</v>
      </c>
      <c r="AD333" t="s">
        <v>74</v>
      </c>
      <c r="AE333" t="s">
        <v>74</v>
      </c>
      <c r="AF333" t="s">
        <v>74</v>
      </c>
      <c r="AG333" t="s">
        <v>74</v>
      </c>
      <c r="AH333" t="s">
        <v>74</v>
      </c>
      <c r="AI333" t="s">
        <v>74</v>
      </c>
      <c r="AJ333" t="s">
        <v>74</v>
      </c>
      <c r="AK333" t="s">
        <v>74</v>
      </c>
      <c r="AL333" t="s">
        <v>74</v>
      </c>
      <c r="AM333" t="s">
        <v>74</v>
      </c>
      <c r="AN333" t="s">
        <v>74</v>
      </c>
      <c r="AO333" t="s">
        <v>142</v>
      </c>
      <c r="AP333" t="s">
        <v>143</v>
      </c>
      <c r="AQ333" t="s">
        <v>74</v>
      </c>
      <c r="AR333" t="s">
        <v>74</v>
      </c>
      <c r="AS333" t="s">
        <v>74</v>
      </c>
      <c r="AT333" t="s">
        <v>243</v>
      </c>
      <c r="AU333">
        <v>2023</v>
      </c>
      <c r="AV333">
        <v>68</v>
      </c>
      <c r="AW333" t="s">
        <v>74</v>
      </c>
      <c r="AX333" t="s">
        <v>74</v>
      </c>
      <c r="AY333" t="s">
        <v>74</v>
      </c>
      <c r="AZ333" t="s">
        <v>74</v>
      </c>
      <c r="BA333" t="s">
        <v>74</v>
      </c>
      <c r="BB333" t="s">
        <v>74</v>
      </c>
      <c r="BC333" t="s">
        <v>74</v>
      </c>
      <c r="BD333">
        <v>107547</v>
      </c>
      <c r="BE333" t="s">
        <v>3010</v>
      </c>
      <c r="BF333" t="str">
        <f>HYPERLINK("http://dx.doi.org/10.1016/j.est.2023.107547","http://dx.doi.org/10.1016/j.est.2023.107547")</f>
        <v>http://dx.doi.org/10.1016/j.est.2023.107547</v>
      </c>
      <c r="BG333" t="s">
        <v>74</v>
      </c>
      <c r="BH333" t="s">
        <v>3002</v>
      </c>
      <c r="BI333" t="s">
        <v>74</v>
      </c>
      <c r="BJ333" t="s">
        <v>74</v>
      </c>
      <c r="BK333" t="s">
        <v>74</v>
      </c>
      <c r="BL333" t="s">
        <v>74</v>
      </c>
      <c r="BM333" t="s">
        <v>74</v>
      </c>
      <c r="BN333" t="s">
        <v>74</v>
      </c>
      <c r="BO333" t="s">
        <v>74</v>
      </c>
      <c r="BP333" t="s">
        <v>74</v>
      </c>
      <c r="BQ333" t="s">
        <v>74</v>
      </c>
      <c r="BR333" t="s">
        <v>74</v>
      </c>
      <c r="BS333" t="s">
        <v>3011</v>
      </c>
      <c r="BT333" t="str">
        <f>HYPERLINK("https%3A%2F%2Fwww.webofscience.com%2Fwos%2Fwoscc%2Ffull-record%2FWOS:001010873700001","View Full Record in Web of Science")</f>
        <v>View Full Record in Web of Science</v>
      </c>
    </row>
    <row r="334" spans="1:72" x14ac:dyDescent="0.2">
      <c r="A334" t="s">
        <v>72</v>
      </c>
      <c r="B334" t="s">
        <v>3012</v>
      </c>
      <c r="C334" t="s">
        <v>74</v>
      </c>
      <c r="D334" t="s">
        <v>74</v>
      </c>
      <c r="E334" t="s">
        <v>74</v>
      </c>
      <c r="F334" t="s">
        <v>3013</v>
      </c>
      <c r="G334" t="s">
        <v>74</v>
      </c>
      <c r="H334" t="s">
        <v>74</v>
      </c>
      <c r="I334" t="s">
        <v>3014</v>
      </c>
      <c r="J334" t="s">
        <v>665</v>
      </c>
      <c r="K334" t="s">
        <v>74</v>
      </c>
      <c r="L334" t="s">
        <v>74</v>
      </c>
      <c r="M334" t="s">
        <v>74</v>
      </c>
      <c r="N334" t="s">
        <v>74</v>
      </c>
      <c r="O334" t="s">
        <v>74</v>
      </c>
      <c r="P334" t="s">
        <v>74</v>
      </c>
      <c r="Q334" t="s">
        <v>74</v>
      </c>
      <c r="R334" t="s">
        <v>74</v>
      </c>
      <c r="S334" t="s">
        <v>74</v>
      </c>
      <c r="T334" t="s">
        <v>74</v>
      </c>
      <c r="U334" t="s">
        <v>74</v>
      </c>
      <c r="V334" t="s">
        <v>3015</v>
      </c>
      <c r="W334" t="s">
        <v>74</v>
      </c>
      <c r="X334" t="s">
        <v>74</v>
      </c>
      <c r="Y334" t="s">
        <v>74</v>
      </c>
      <c r="Z334" t="s">
        <v>74</v>
      </c>
      <c r="AA334" t="s">
        <v>3016</v>
      </c>
      <c r="AB334" t="s">
        <v>74</v>
      </c>
      <c r="AC334" t="s">
        <v>74</v>
      </c>
      <c r="AD334" t="s">
        <v>74</v>
      </c>
      <c r="AE334" t="s">
        <v>74</v>
      </c>
      <c r="AF334" t="s">
        <v>74</v>
      </c>
      <c r="AG334" t="s">
        <v>74</v>
      </c>
      <c r="AH334" t="s">
        <v>74</v>
      </c>
      <c r="AI334" t="s">
        <v>74</v>
      </c>
      <c r="AJ334" t="s">
        <v>74</v>
      </c>
      <c r="AK334" t="s">
        <v>74</v>
      </c>
      <c r="AL334" t="s">
        <v>74</v>
      </c>
      <c r="AM334" t="s">
        <v>74</v>
      </c>
      <c r="AN334" t="s">
        <v>74</v>
      </c>
      <c r="AO334" t="s">
        <v>668</v>
      </c>
      <c r="AP334" t="s">
        <v>669</v>
      </c>
      <c r="AQ334" t="s">
        <v>74</v>
      </c>
      <c r="AR334" t="s">
        <v>74</v>
      </c>
      <c r="AS334" t="s">
        <v>74</v>
      </c>
      <c r="AT334" t="s">
        <v>134</v>
      </c>
      <c r="AU334">
        <v>2023</v>
      </c>
      <c r="AV334">
        <v>398</v>
      </c>
      <c r="AW334" t="s">
        <v>74</v>
      </c>
      <c r="AX334" t="s">
        <v>74</v>
      </c>
      <c r="AY334" t="s">
        <v>74</v>
      </c>
      <c r="AZ334" t="s">
        <v>74</v>
      </c>
      <c r="BA334" t="s">
        <v>74</v>
      </c>
      <c r="BB334" t="s">
        <v>74</v>
      </c>
      <c r="BC334" t="s">
        <v>74</v>
      </c>
      <c r="BD334">
        <v>116256</v>
      </c>
      <c r="BE334" t="s">
        <v>3017</v>
      </c>
      <c r="BF334" t="str">
        <f>HYPERLINK("http://dx.doi.org/10.1016/j.ssi.2023.116256","http://dx.doi.org/10.1016/j.ssi.2023.116256")</f>
        <v>http://dx.doi.org/10.1016/j.ssi.2023.116256</v>
      </c>
      <c r="BG334" t="s">
        <v>74</v>
      </c>
      <c r="BH334" t="s">
        <v>3002</v>
      </c>
      <c r="BI334" t="s">
        <v>74</v>
      </c>
      <c r="BJ334" t="s">
        <v>74</v>
      </c>
      <c r="BK334" t="s">
        <v>74</v>
      </c>
      <c r="BL334" t="s">
        <v>74</v>
      </c>
      <c r="BM334" t="s">
        <v>74</v>
      </c>
      <c r="BN334" t="s">
        <v>74</v>
      </c>
      <c r="BO334" t="s">
        <v>74</v>
      </c>
      <c r="BP334" t="s">
        <v>74</v>
      </c>
      <c r="BQ334" t="s">
        <v>74</v>
      </c>
      <c r="BR334" t="s">
        <v>74</v>
      </c>
      <c r="BS334" t="s">
        <v>3018</v>
      </c>
      <c r="BT334" t="str">
        <f>HYPERLINK("https%3A%2F%2Fwww.webofscience.com%2Fwos%2Fwoscc%2Ffull-record%2FWOS:001009403700001","View Full Record in Web of Science")</f>
        <v>View Full Record in Web of Science</v>
      </c>
    </row>
    <row r="335" spans="1:72" x14ac:dyDescent="0.2">
      <c r="A335" t="s">
        <v>72</v>
      </c>
      <c r="B335" t="s">
        <v>3019</v>
      </c>
      <c r="C335" t="s">
        <v>74</v>
      </c>
      <c r="D335" t="s">
        <v>74</v>
      </c>
      <c r="E335" t="s">
        <v>74</v>
      </c>
      <c r="F335" t="s">
        <v>3020</v>
      </c>
      <c r="G335" t="s">
        <v>74</v>
      </c>
      <c r="H335" t="s">
        <v>74</v>
      </c>
      <c r="I335" t="s">
        <v>3021</v>
      </c>
      <c r="J335" t="s">
        <v>278</v>
      </c>
      <c r="K335" t="s">
        <v>74</v>
      </c>
      <c r="L335" t="s">
        <v>74</v>
      </c>
      <c r="M335" t="s">
        <v>74</v>
      </c>
      <c r="N335" t="s">
        <v>74</v>
      </c>
      <c r="O335" t="s">
        <v>74</v>
      </c>
      <c r="P335" t="s">
        <v>74</v>
      </c>
      <c r="Q335" t="s">
        <v>74</v>
      </c>
      <c r="R335" t="s">
        <v>74</v>
      </c>
      <c r="S335" t="s">
        <v>74</v>
      </c>
      <c r="T335" t="s">
        <v>74</v>
      </c>
      <c r="U335" t="s">
        <v>74</v>
      </c>
      <c r="V335" t="s">
        <v>3022</v>
      </c>
      <c r="W335" t="s">
        <v>74</v>
      </c>
      <c r="X335" t="s">
        <v>74</v>
      </c>
      <c r="Y335" t="s">
        <v>74</v>
      </c>
      <c r="Z335" t="s">
        <v>74</v>
      </c>
      <c r="AA335" t="s">
        <v>3023</v>
      </c>
      <c r="AB335" t="s">
        <v>3024</v>
      </c>
      <c r="AC335" t="s">
        <v>74</v>
      </c>
      <c r="AD335" t="s">
        <v>74</v>
      </c>
      <c r="AE335" t="s">
        <v>74</v>
      </c>
      <c r="AF335" t="s">
        <v>74</v>
      </c>
      <c r="AG335" t="s">
        <v>74</v>
      </c>
      <c r="AH335" t="s">
        <v>74</v>
      </c>
      <c r="AI335" t="s">
        <v>74</v>
      </c>
      <c r="AJ335" t="s">
        <v>74</v>
      </c>
      <c r="AK335" t="s">
        <v>74</v>
      </c>
      <c r="AL335" t="s">
        <v>74</v>
      </c>
      <c r="AM335" t="s">
        <v>74</v>
      </c>
      <c r="AN335" t="s">
        <v>74</v>
      </c>
      <c r="AO335" t="s">
        <v>281</v>
      </c>
      <c r="AP335" t="s">
        <v>282</v>
      </c>
      <c r="AQ335" t="s">
        <v>74</v>
      </c>
      <c r="AR335" t="s">
        <v>74</v>
      </c>
      <c r="AS335" t="s">
        <v>74</v>
      </c>
      <c r="AT335" t="s">
        <v>3025</v>
      </c>
      <c r="AU335">
        <v>2023</v>
      </c>
      <c r="AV335">
        <v>11</v>
      </c>
      <c r="AW335">
        <v>27</v>
      </c>
      <c r="AX335" t="s">
        <v>74</v>
      </c>
      <c r="AY335" t="s">
        <v>74</v>
      </c>
      <c r="AZ335" t="s">
        <v>74</v>
      </c>
      <c r="BA335" t="s">
        <v>74</v>
      </c>
      <c r="BB335">
        <v>14738</v>
      </c>
      <c r="BC335">
        <v>14747</v>
      </c>
      <c r="BD335" t="s">
        <v>74</v>
      </c>
      <c r="BE335" t="s">
        <v>3026</v>
      </c>
      <c r="BF335" t="str">
        <f>HYPERLINK("http://dx.doi.org/10.1039/d3ta02084c","http://dx.doi.org/10.1039/d3ta02084c")</f>
        <v>http://dx.doi.org/10.1039/d3ta02084c</v>
      </c>
      <c r="BG335" t="s">
        <v>74</v>
      </c>
      <c r="BH335" t="s">
        <v>3002</v>
      </c>
      <c r="BI335" t="s">
        <v>74</v>
      </c>
      <c r="BJ335" t="s">
        <v>74</v>
      </c>
      <c r="BK335" t="s">
        <v>74</v>
      </c>
      <c r="BL335" t="s">
        <v>74</v>
      </c>
      <c r="BM335" t="s">
        <v>74</v>
      </c>
      <c r="BN335">
        <v>37441279</v>
      </c>
      <c r="BO335" t="s">
        <v>74</v>
      </c>
      <c r="BP335" t="s">
        <v>74</v>
      </c>
      <c r="BQ335" t="s">
        <v>74</v>
      </c>
      <c r="BR335" t="s">
        <v>74</v>
      </c>
      <c r="BS335" t="s">
        <v>3027</v>
      </c>
      <c r="BT335" t="str">
        <f>HYPERLINK("https%3A%2F%2Fwww.webofscience.com%2Fwos%2Fwoscc%2Ffull-record%2FWOS:001014464000001","View Full Record in Web of Science")</f>
        <v>View Full Record in Web of Science</v>
      </c>
    </row>
    <row r="336" spans="1:72" x14ac:dyDescent="0.2">
      <c r="A336" t="s">
        <v>72</v>
      </c>
      <c r="B336" t="s">
        <v>3028</v>
      </c>
      <c r="C336" t="s">
        <v>74</v>
      </c>
      <c r="D336" t="s">
        <v>74</v>
      </c>
      <c r="E336" t="s">
        <v>74</v>
      </c>
      <c r="F336" t="s">
        <v>3029</v>
      </c>
      <c r="G336" t="s">
        <v>74</v>
      </c>
      <c r="H336" t="s">
        <v>74</v>
      </c>
      <c r="I336" t="s">
        <v>3030</v>
      </c>
      <c r="J336" t="s">
        <v>433</v>
      </c>
      <c r="K336" t="s">
        <v>74</v>
      </c>
      <c r="L336" t="s">
        <v>74</v>
      </c>
      <c r="M336" t="s">
        <v>74</v>
      </c>
      <c r="N336" t="s">
        <v>74</v>
      </c>
      <c r="O336" t="s">
        <v>74</v>
      </c>
      <c r="P336" t="s">
        <v>74</v>
      </c>
      <c r="Q336" t="s">
        <v>74</v>
      </c>
      <c r="R336" t="s">
        <v>74</v>
      </c>
      <c r="S336" t="s">
        <v>74</v>
      </c>
      <c r="T336" t="s">
        <v>74</v>
      </c>
      <c r="U336" t="s">
        <v>74</v>
      </c>
      <c r="V336" t="s">
        <v>3031</v>
      </c>
      <c r="W336" t="s">
        <v>74</v>
      </c>
      <c r="X336" t="s">
        <v>74</v>
      </c>
      <c r="Y336" t="s">
        <v>74</v>
      </c>
      <c r="Z336" t="s">
        <v>74</v>
      </c>
      <c r="AA336" t="s">
        <v>3032</v>
      </c>
      <c r="AB336" t="s">
        <v>3033</v>
      </c>
      <c r="AC336" t="s">
        <v>74</v>
      </c>
      <c r="AD336" t="s">
        <v>74</v>
      </c>
      <c r="AE336" t="s">
        <v>74</v>
      </c>
      <c r="AF336" t="s">
        <v>74</v>
      </c>
      <c r="AG336" t="s">
        <v>74</v>
      </c>
      <c r="AH336" t="s">
        <v>74</v>
      </c>
      <c r="AI336" t="s">
        <v>74</v>
      </c>
      <c r="AJ336" t="s">
        <v>74</v>
      </c>
      <c r="AK336" t="s">
        <v>74</v>
      </c>
      <c r="AL336" t="s">
        <v>74</v>
      </c>
      <c r="AM336" t="s">
        <v>74</v>
      </c>
      <c r="AN336" t="s">
        <v>74</v>
      </c>
      <c r="AO336" t="s">
        <v>435</v>
      </c>
      <c r="AP336" t="s">
        <v>436</v>
      </c>
      <c r="AQ336" t="s">
        <v>74</v>
      </c>
      <c r="AR336" t="s">
        <v>74</v>
      </c>
      <c r="AS336" t="s">
        <v>74</v>
      </c>
      <c r="AT336" t="s">
        <v>1696</v>
      </c>
      <c r="AU336">
        <v>2023</v>
      </c>
      <c r="AV336">
        <v>959</v>
      </c>
      <c r="AW336" t="s">
        <v>74</v>
      </c>
      <c r="AX336" t="s">
        <v>74</v>
      </c>
      <c r="AY336" t="s">
        <v>74</v>
      </c>
      <c r="AZ336" t="s">
        <v>74</v>
      </c>
      <c r="BA336" t="s">
        <v>74</v>
      </c>
      <c r="BB336" t="s">
        <v>74</v>
      </c>
      <c r="BC336" t="s">
        <v>74</v>
      </c>
      <c r="BD336">
        <v>170522</v>
      </c>
      <c r="BE336" t="s">
        <v>3034</v>
      </c>
      <c r="BF336" t="str">
        <f>HYPERLINK("http://dx.doi.org/10.1016/j.jallcom.2023.170522","http://dx.doi.org/10.1016/j.jallcom.2023.170522")</f>
        <v>http://dx.doi.org/10.1016/j.jallcom.2023.170522</v>
      </c>
      <c r="BG336" t="s">
        <v>74</v>
      </c>
      <c r="BH336" t="s">
        <v>3002</v>
      </c>
      <c r="BI336" t="s">
        <v>74</v>
      </c>
      <c r="BJ336" t="s">
        <v>74</v>
      </c>
      <c r="BK336" t="s">
        <v>74</v>
      </c>
      <c r="BL336" t="s">
        <v>74</v>
      </c>
      <c r="BM336" t="s">
        <v>74</v>
      </c>
      <c r="BN336" t="s">
        <v>74</v>
      </c>
      <c r="BO336" t="s">
        <v>74</v>
      </c>
      <c r="BP336" t="s">
        <v>74</v>
      </c>
      <c r="BQ336" t="s">
        <v>74</v>
      </c>
      <c r="BR336" t="s">
        <v>74</v>
      </c>
      <c r="BS336" t="s">
        <v>3035</v>
      </c>
      <c r="BT336" t="str">
        <f>HYPERLINK("https%3A%2F%2Fwww.webofscience.com%2Fwos%2Fwoscc%2Ffull-record%2FWOS:000998322100001","View Full Record in Web of Science")</f>
        <v>View Full Record in Web of Science</v>
      </c>
    </row>
    <row r="337" spans="1:72" x14ac:dyDescent="0.2">
      <c r="A337" t="s">
        <v>72</v>
      </c>
      <c r="B337" t="s">
        <v>3036</v>
      </c>
      <c r="C337" t="s">
        <v>74</v>
      </c>
      <c r="D337" t="s">
        <v>74</v>
      </c>
      <c r="E337" t="s">
        <v>74</v>
      </c>
      <c r="F337" t="s">
        <v>3037</v>
      </c>
      <c r="G337" t="s">
        <v>74</v>
      </c>
      <c r="H337" t="s">
        <v>74</v>
      </c>
      <c r="I337" t="s">
        <v>3038</v>
      </c>
      <c r="J337" t="s">
        <v>151</v>
      </c>
      <c r="K337" t="s">
        <v>74</v>
      </c>
      <c r="L337" t="s">
        <v>74</v>
      </c>
      <c r="M337" t="s">
        <v>74</v>
      </c>
      <c r="N337" t="s">
        <v>74</v>
      </c>
      <c r="O337" t="s">
        <v>74</v>
      </c>
      <c r="P337" t="s">
        <v>74</v>
      </c>
      <c r="Q337" t="s">
        <v>74</v>
      </c>
      <c r="R337" t="s">
        <v>74</v>
      </c>
      <c r="S337" t="s">
        <v>74</v>
      </c>
      <c r="T337" t="s">
        <v>74</v>
      </c>
      <c r="U337" t="s">
        <v>74</v>
      </c>
      <c r="V337" t="s">
        <v>3039</v>
      </c>
      <c r="W337" t="s">
        <v>74</v>
      </c>
      <c r="X337" t="s">
        <v>74</v>
      </c>
      <c r="Y337" t="s">
        <v>74</v>
      </c>
      <c r="Z337" t="s">
        <v>74</v>
      </c>
      <c r="AA337" t="s">
        <v>3040</v>
      </c>
      <c r="AB337" t="s">
        <v>3041</v>
      </c>
      <c r="AC337" t="s">
        <v>74</v>
      </c>
      <c r="AD337" t="s">
        <v>74</v>
      </c>
      <c r="AE337" t="s">
        <v>74</v>
      </c>
      <c r="AF337" t="s">
        <v>74</v>
      </c>
      <c r="AG337" t="s">
        <v>74</v>
      </c>
      <c r="AH337" t="s">
        <v>74</v>
      </c>
      <c r="AI337" t="s">
        <v>74</v>
      </c>
      <c r="AJ337" t="s">
        <v>74</v>
      </c>
      <c r="AK337" t="s">
        <v>74</v>
      </c>
      <c r="AL337" t="s">
        <v>74</v>
      </c>
      <c r="AM337" t="s">
        <v>74</v>
      </c>
      <c r="AN337" t="s">
        <v>74</v>
      </c>
      <c r="AO337" t="s">
        <v>153</v>
      </c>
      <c r="AP337" t="s">
        <v>154</v>
      </c>
      <c r="AQ337" t="s">
        <v>74</v>
      </c>
      <c r="AR337" t="s">
        <v>74</v>
      </c>
      <c r="AS337" t="s">
        <v>74</v>
      </c>
      <c r="AT337" t="s">
        <v>1972</v>
      </c>
      <c r="AU337">
        <v>2023</v>
      </c>
      <c r="AV337">
        <v>60</v>
      </c>
      <c r="AW337" t="s">
        <v>74</v>
      </c>
      <c r="AX337" t="s">
        <v>74</v>
      </c>
      <c r="AY337" t="s">
        <v>74</v>
      </c>
      <c r="AZ337" t="s">
        <v>74</v>
      </c>
      <c r="BA337" t="s">
        <v>74</v>
      </c>
      <c r="BB337" t="s">
        <v>74</v>
      </c>
      <c r="BC337" t="s">
        <v>74</v>
      </c>
      <c r="BD337">
        <v>102814</v>
      </c>
      <c r="BE337" t="s">
        <v>3042</v>
      </c>
      <c r="BF337" t="str">
        <f>HYPERLINK("http://dx.doi.org/10.1016/j.ensm.2023.102814","http://dx.doi.org/10.1016/j.ensm.2023.102814")</f>
        <v>http://dx.doi.org/10.1016/j.ensm.2023.102814</v>
      </c>
      <c r="BG337" t="s">
        <v>74</v>
      </c>
      <c r="BH337" t="s">
        <v>3002</v>
      </c>
      <c r="BI337" t="s">
        <v>74</v>
      </c>
      <c r="BJ337" t="s">
        <v>74</v>
      </c>
      <c r="BK337" t="s">
        <v>74</v>
      </c>
      <c r="BL337" t="s">
        <v>74</v>
      </c>
      <c r="BM337" t="s">
        <v>74</v>
      </c>
      <c r="BN337" t="s">
        <v>74</v>
      </c>
      <c r="BO337" t="s">
        <v>74</v>
      </c>
      <c r="BP337" t="s">
        <v>74</v>
      </c>
      <c r="BQ337" t="s">
        <v>74</v>
      </c>
      <c r="BR337" t="s">
        <v>74</v>
      </c>
      <c r="BS337" t="s">
        <v>3043</v>
      </c>
      <c r="BT337" t="str">
        <f>HYPERLINK("https%3A%2F%2Fwww.webofscience.com%2Fwos%2Fwoscc%2Ffull-record%2FWOS:000999182100001","View Full Record in Web of Science")</f>
        <v>View Full Record in Web of Science</v>
      </c>
    </row>
    <row r="338" spans="1:72" x14ac:dyDescent="0.2">
      <c r="A338" t="s">
        <v>72</v>
      </c>
      <c r="B338" t="s">
        <v>3044</v>
      </c>
      <c r="C338" t="s">
        <v>74</v>
      </c>
      <c r="D338" t="s">
        <v>74</v>
      </c>
      <c r="E338" t="s">
        <v>74</v>
      </c>
      <c r="F338" t="s">
        <v>3045</v>
      </c>
      <c r="G338" t="s">
        <v>74</v>
      </c>
      <c r="H338" t="s">
        <v>74</v>
      </c>
      <c r="I338" t="s">
        <v>3046</v>
      </c>
      <c r="J338" t="s">
        <v>267</v>
      </c>
      <c r="K338" t="s">
        <v>74</v>
      </c>
      <c r="L338" t="s">
        <v>74</v>
      </c>
      <c r="M338" t="s">
        <v>74</v>
      </c>
      <c r="N338" t="s">
        <v>74</v>
      </c>
      <c r="O338" t="s">
        <v>74</v>
      </c>
      <c r="P338" t="s">
        <v>74</v>
      </c>
      <c r="Q338" t="s">
        <v>74</v>
      </c>
      <c r="R338" t="s">
        <v>74</v>
      </c>
      <c r="S338" t="s">
        <v>74</v>
      </c>
      <c r="T338" t="s">
        <v>74</v>
      </c>
      <c r="U338" t="s">
        <v>74</v>
      </c>
      <c r="V338" t="s">
        <v>3047</v>
      </c>
      <c r="W338" t="s">
        <v>74</v>
      </c>
      <c r="X338" t="s">
        <v>74</v>
      </c>
      <c r="Y338" t="s">
        <v>74</v>
      </c>
      <c r="Z338" t="s">
        <v>74</v>
      </c>
      <c r="AA338" t="s">
        <v>3048</v>
      </c>
      <c r="AB338" t="s">
        <v>3049</v>
      </c>
      <c r="AC338" t="s">
        <v>74</v>
      </c>
      <c r="AD338" t="s">
        <v>74</v>
      </c>
      <c r="AE338" t="s">
        <v>74</v>
      </c>
      <c r="AF338" t="s">
        <v>74</v>
      </c>
      <c r="AG338" t="s">
        <v>74</v>
      </c>
      <c r="AH338" t="s">
        <v>74</v>
      </c>
      <c r="AI338" t="s">
        <v>74</v>
      </c>
      <c r="AJ338" t="s">
        <v>74</v>
      </c>
      <c r="AK338" t="s">
        <v>74</v>
      </c>
      <c r="AL338" t="s">
        <v>74</v>
      </c>
      <c r="AM338" t="s">
        <v>74</v>
      </c>
      <c r="AN338" t="s">
        <v>74</v>
      </c>
      <c r="AO338" t="s">
        <v>270</v>
      </c>
      <c r="AP338" t="s">
        <v>271</v>
      </c>
      <c r="AQ338" t="s">
        <v>74</v>
      </c>
      <c r="AR338" t="s">
        <v>74</v>
      </c>
      <c r="AS338" t="s">
        <v>74</v>
      </c>
      <c r="AT338" t="s">
        <v>1194</v>
      </c>
      <c r="AU338">
        <v>2024</v>
      </c>
      <c r="AV338">
        <v>34</v>
      </c>
      <c r="AW338">
        <v>5</v>
      </c>
      <c r="AX338" t="s">
        <v>74</v>
      </c>
      <c r="AY338" t="s">
        <v>74</v>
      </c>
      <c r="AZ338" t="s">
        <v>2280</v>
      </c>
      <c r="BA338" t="s">
        <v>74</v>
      </c>
      <c r="BB338" t="s">
        <v>74</v>
      </c>
      <c r="BC338" t="s">
        <v>74</v>
      </c>
      <c r="BD338" t="s">
        <v>74</v>
      </c>
      <c r="BE338" t="s">
        <v>3050</v>
      </c>
      <c r="BF338" t="str">
        <f>HYPERLINK("http://dx.doi.org/10.1002/adfm.202302281","http://dx.doi.org/10.1002/adfm.202302281")</f>
        <v>http://dx.doi.org/10.1002/adfm.202302281</v>
      </c>
      <c r="BG338" t="s">
        <v>74</v>
      </c>
      <c r="BH338" t="s">
        <v>3002</v>
      </c>
      <c r="BI338" t="s">
        <v>74</v>
      </c>
      <c r="BJ338" t="s">
        <v>74</v>
      </c>
      <c r="BK338" t="s">
        <v>74</v>
      </c>
      <c r="BL338" t="s">
        <v>74</v>
      </c>
      <c r="BM338" t="s">
        <v>74</v>
      </c>
      <c r="BN338" t="s">
        <v>74</v>
      </c>
      <c r="BO338" t="s">
        <v>74</v>
      </c>
      <c r="BP338" t="s">
        <v>74</v>
      </c>
      <c r="BQ338" t="s">
        <v>74</v>
      </c>
      <c r="BR338" t="s">
        <v>74</v>
      </c>
      <c r="BS338" t="s">
        <v>3051</v>
      </c>
      <c r="BT338" t="str">
        <f>HYPERLINK("https%3A%2F%2Fwww.webofscience.com%2Fwos%2Fwoscc%2Ffull-record%2FWOS:000989586200001","View Full Record in Web of Science")</f>
        <v>View Full Record in Web of Science</v>
      </c>
    </row>
    <row r="339" spans="1:72" x14ac:dyDescent="0.2">
      <c r="A339" t="s">
        <v>72</v>
      </c>
      <c r="B339" t="s">
        <v>3052</v>
      </c>
      <c r="C339" t="s">
        <v>74</v>
      </c>
      <c r="D339" t="s">
        <v>74</v>
      </c>
      <c r="E339" t="s">
        <v>74</v>
      </c>
      <c r="F339" t="s">
        <v>3053</v>
      </c>
      <c r="G339" t="s">
        <v>74</v>
      </c>
      <c r="H339" t="s">
        <v>74</v>
      </c>
      <c r="I339" t="s">
        <v>3054</v>
      </c>
      <c r="J339" t="s">
        <v>278</v>
      </c>
      <c r="K339" t="s">
        <v>74</v>
      </c>
      <c r="L339" t="s">
        <v>74</v>
      </c>
      <c r="M339" t="s">
        <v>74</v>
      </c>
      <c r="N339" t="s">
        <v>74</v>
      </c>
      <c r="O339" t="s">
        <v>74</v>
      </c>
      <c r="P339" t="s">
        <v>74</v>
      </c>
      <c r="Q339" t="s">
        <v>74</v>
      </c>
      <c r="R339" t="s">
        <v>74</v>
      </c>
      <c r="S339" t="s">
        <v>74</v>
      </c>
      <c r="T339" t="s">
        <v>74</v>
      </c>
      <c r="U339" t="s">
        <v>74</v>
      </c>
      <c r="V339" t="s">
        <v>3055</v>
      </c>
      <c r="W339" t="s">
        <v>74</v>
      </c>
      <c r="X339" t="s">
        <v>74</v>
      </c>
      <c r="Y339" t="s">
        <v>74</v>
      </c>
      <c r="Z339" t="s">
        <v>74</v>
      </c>
      <c r="AA339" t="s">
        <v>3056</v>
      </c>
      <c r="AB339" t="s">
        <v>3057</v>
      </c>
      <c r="AC339" t="s">
        <v>74</v>
      </c>
      <c r="AD339" t="s">
        <v>74</v>
      </c>
      <c r="AE339" t="s">
        <v>74</v>
      </c>
      <c r="AF339" t="s">
        <v>74</v>
      </c>
      <c r="AG339" t="s">
        <v>74</v>
      </c>
      <c r="AH339" t="s">
        <v>74</v>
      </c>
      <c r="AI339" t="s">
        <v>74</v>
      </c>
      <c r="AJ339" t="s">
        <v>74</v>
      </c>
      <c r="AK339" t="s">
        <v>74</v>
      </c>
      <c r="AL339" t="s">
        <v>74</v>
      </c>
      <c r="AM339" t="s">
        <v>74</v>
      </c>
      <c r="AN339" t="s">
        <v>74</v>
      </c>
      <c r="AO339" t="s">
        <v>281</v>
      </c>
      <c r="AP339" t="s">
        <v>282</v>
      </c>
      <c r="AQ339" t="s">
        <v>74</v>
      </c>
      <c r="AR339" t="s">
        <v>74</v>
      </c>
      <c r="AS339" t="s">
        <v>74</v>
      </c>
      <c r="AT339" t="s">
        <v>3058</v>
      </c>
      <c r="AU339">
        <v>2023</v>
      </c>
      <c r="AV339">
        <v>11</v>
      </c>
      <c r="AW339">
        <v>25</v>
      </c>
      <c r="AX339" t="s">
        <v>74</v>
      </c>
      <c r="AY339" t="s">
        <v>74</v>
      </c>
      <c r="AZ339" t="s">
        <v>74</v>
      </c>
      <c r="BA339" t="s">
        <v>74</v>
      </c>
      <c r="BB339">
        <v>13309</v>
      </c>
      <c r="BC339">
        <v>13319</v>
      </c>
      <c r="BD339" t="s">
        <v>74</v>
      </c>
      <c r="BE339" t="s">
        <v>3059</v>
      </c>
      <c r="BF339" t="str">
        <f>HYPERLINK("http://dx.doi.org/10.1039/d3ta01500a","http://dx.doi.org/10.1039/d3ta01500a")</f>
        <v>http://dx.doi.org/10.1039/d3ta01500a</v>
      </c>
      <c r="BG339" t="s">
        <v>74</v>
      </c>
      <c r="BH339" t="s">
        <v>3002</v>
      </c>
      <c r="BI339" t="s">
        <v>74</v>
      </c>
      <c r="BJ339" t="s">
        <v>74</v>
      </c>
      <c r="BK339" t="s">
        <v>74</v>
      </c>
      <c r="BL339" t="s">
        <v>74</v>
      </c>
      <c r="BM339" t="s">
        <v>74</v>
      </c>
      <c r="BN339" t="s">
        <v>74</v>
      </c>
      <c r="BO339" t="s">
        <v>74</v>
      </c>
      <c r="BP339" t="s">
        <v>74</v>
      </c>
      <c r="BQ339" t="s">
        <v>74</v>
      </c>
      <c r="BR339" t="s">
        <v>74</v>
      </c>
      <c r="BS339" t="s">
        <v>3060</v>
      </c>
      <c r="BT339" t="str">
        <f>HYPERLINK("https%3A%2F%2Fwww.webofscience.com%2Fwos%2Fwoscc%2Ffull-record%2FWOS:000999647800001","View Full Record in Web of Science")</f>
        <v>View Full Record in Web of Science</v>
      </c>
    </row>
    <row r="340" spans="1:72" x14ac:dyDescent="0.2">
      <c r="A340" t="s">
        <v>72</v>
      </c>
      <c r="B340" t="s">
        <v>3061</v>
      </c>
      <c r="C340" t="s">
        <v>74</v>
      </c>
      <c r="D340" t="s">
        <v>74</v>
      </c>
      <c r="E340" t="s">
        <v>74</v>
      </c>
      <c r="F340" t="s">
        <v>3062</v>
      </c>
      <c r="G340" t="s">
        <v>74</v>
      </c>
      <c r="H340" t="s">
        <v>74</v>
      </c>
      <c r="I340" t="s">
        <v>3063</v>
      </c>
      <c r="J340" t="s">
        <v>352</v>
      </c>
      <c r="K340" t="s">
        <v>74</v>
      </c>
      <c r="L340" t="s">
        <v>74</v>
      </c>
      <c r="M340" t="s">
        <v>74</v>
      </c>
      <c r="N340" t="s">
        <v>74</v>
      </c>
      <c r="O340" t="s">
        <v>74</v>
      </c>
      <c r="P340" t="s">
        <v>74</v>
      </c>
      <c r="Q340" t="s">
        <v>74</v>
      </c>
      <c r="R340" t="s">
        <v>74</v>
      </c>
      <c r="S340" t="s">
        <v>74</v>
      </c>
      <c r="T340" t="s">
        <v>74</v>
      </c>
      <c r="U340" t="s">
        <v>74</v>
      </c>
      <c r="V340" t="s">
        <v>3064</v>
      </c>
      <c r="W340" t="s">
        <v>74</v>
      </c>
      <c r="X340" t="s">
        <v>74</v>
      </c>
      <c r="Y340" t="s">
        <v>74</v>
      </c>
      <c r="Z340" t="s">
        <v>74</v>
      </c>
      <c r="AA340" t="s">
        <v>3065</v>
      </c>
      <c r="AB340" t="s">
        <v>74</v>
      </c>
      <c r="AC340" t="s">
        <v>74</v>
      </c>
      <c r="AD340" t="s">
        <v>74</v>
      </c>
      <c r="AE340" t="s">
        <v>74</v>
      </c>
      <c r="AF340" t="s">
        <v>74</v>
      </c>
      <c r="AG340" t="s">
        <v>74</v>
      </c>
      <c r="AH340" t="s">
        <v>74</v>
      </c>
      <c r="AI340" t="s">
        <v>74</v>
      </c>
      <c r="AJ340" t="s">
        <v>74</v>
      </c>
      <c r="AK340" t="s">
        <v>74</v>
      </c>
      <c r="AL340" t="s">
        <v>74</v>
      </c>
      <c r="AM340" t="s">
        <v>74</v>
      </c>
      <c r="AN340" t="s">
        <v>74</v>
      </c>
      <c r="AO340" t="s">
        <v>354</v>
      </c>
      <c r="AP340" t="s">
        <v>355</v>
      </c>
      <c r="AQ340" t="s">
        <v>74</v>
      </c>
      <c r="AR340" t="s">
        <v>74</v>
      </c>
      <c r="AS340" t="s">
        <v>74</v>
      </c>
      <c r="AT340" t="s">
        <v>368</v>
      </c>
      <c r="AU340">
        <v>2023</v>
      </c>
      <c r="AV340">
        <v>13</v>
      </c>
      <c r="AW340">
        <v>25</v>
      </c>
      <c r="AX340" t="s">
        <v>74</v>
      </c>
      <c r="AY340" t="s">
        <v>74</v>
      </c>
      <c r="AZ340" t="s">
        <v>74</v>
      </c>
      <c r="BA340" t="s">
        <v>74</v>
      </c>
      <c r="BB340" t="s">
        <v>74</v>
      </c>
      <c r="BC340" t="s">
        <v>74</v>
      </c>
      <c r="BD340" t="s">
        <v>74</v>
      </c>
      <c r="BE340" t="s">
        <v>3066</v>
      </c>
      <c r="BF340" t="str">
        <f>HYPERLINK("http://dx.doi.org/10.1002/aenm.202300042","http://dx.doi.org/10.1002/aenm.202300042")</f>
        <v>http://dx.doi.org/10.1002/aenm.202300042</v>
      </c>
      <c r="BG340" t="s">
        <v>74</v>
      </c>
      <c r="BH340" t="s">
        <v>3002</v>
      </c>
      <c r="BI340" t="s">
        <v>74</v>
      </c>
      <c r="BJ340" t="s">
        <v>74</v>
      </c>
      <c r="BK340" t="s">
        <v>74</v>
      </c>
      <c r="BL340" t="s">
        <v>74</v>
      </c>
      <c r="BM340" t="s">
        <v>74</v>
      </c>
      <c r="BN340" t="s">
        <v>74</v>
      </c>
      <c r="BO340" t="s">
        <v>74</v>
      </c>
      <c r="BP340" t="s">
        <v>74</v>
      </c>
      <c r="BQ340" t="s">
        <v>74</v>
      </c>
      <c r="BR340" t="s">
        <v>74</v>
      </c>
      <c r="BS340" t="s">
        <v>3067</v>
      </c>
      <c r="BT340" t="str">
        <f>HYPERLINK("https%3A%2F%2Fwww.webofscience.com%2Fwos%2Fwoscc%2Ffull-record%2FWOS:000985774500001","View Full Record in Web of Science")</f>
        <v>View Full Record in Web of Science</v>
      </c>
    </row>
    <row r="341" spans="1:72" x14ac:dyDescent="0.2">
      <c r="A341" t="s">
        <v>72</v>
      </c>
      <c r="B341" t="s">
        <v>3068</v>
      </c>
      <c r="C341" t="s">
        <v>74</v>
      </c>
      <c r="D341" t="s">
        <v>74</v>
      </c>
      <c r="E341" t="s">
        <v>74</v>
      </c>
      <c r="F341" t="s">
        <v>3069</v>
      </c>
      <c r="G341" t="s">
        <v>74</v>
      </c>
      <c r="H341" t="s">
        <v>74</v>
      </c>
      <c r="I341" t="s">
        <v>3070</v>
      </c>
      <c r="J341" t="s">
        <v>161</v>
      </c>
      <c r="K341" t="s">
        <v>74</v>
      </c>
      <c r="L341" t="s">
        <v>74</v>
      </c>
      <c r="M341" t="s">
        <v>74</v>
      </c>
      <c r="N341" t="s">
        <v>74</v>
      </c>
      <c r="O341" t="s">
        <v>74</v>
      </c>
      <c r="P341" t="s">
        <v>74</v>
      </c>
      <c r="Q341" t="s">
        <v>74</v>
      </c>
      <c r="R341" t="s">
        <v>74</v>
      </c>
      <c r="S341" t="s">
        <v>74</v>
      </c>
      <c r="T341" t="s">
        <v>74</v>
      </c>
      <c r="U341" t="s">
        <v>74</v>
      </c>
      <c r="V341" t="s">
        <v>3071</v>
      </c>
      <c r="W341" t="s">
        <v>74</v>
      </c>
      <c r="X341" t="s">
        <v>74</v>
      </c>
      <c r="Y341" t="s">
        <v>74</v>
      </c>
      <c r="Z341" t="s">
        <v>74</v>
      </c>
      <c r="AA341" t="s">
        <v>3072</v>
      </c>
      <c r="AB341" t="s">
        <v>3073</v>
      </c>
      <c r="AC341" t="s">
        <v>74</v>
      </c>
      <c r="AD341" t="s">
        <v>74</v>
      </c>
      <c r="AE341" t="s">
        <v>74</v>
      </c>
      <c r="AF341" t="s">
        <v>74</v>
      </c>
      <c r="AG341" t="s">
        <v>74</v>
      </c>
      <c r="AH341" t="s">
        <v>74</v>
      </c>
      <c r="AI341" t="s">
        <v>74</v>
      </c>
      <c r="AJ341" t="s">
        <v>74</v>
      </c>
      <c r="AK341" t="s">
        <v>74</v>
      </c>
      <c r="AL341" t="s">
        <v>74</v>
      </c>
      <c r="AM341" t="s">
        <v>74</v>
      </c>
      <c r="AN341" t="s">
        <v>74</v>
      </c>
      <c r="AO341" t="s">
        <v>163</v>
      </c>
      <c r="AP341" t="s">
        <v>164</v>
      </c>
      <c r="AQ341" t="s">
        <v>74</v>
      </c>
      <c r="AR341" t="s">
        <v>74</v>
      </c>
      <c r="AS341" t="s">
        <v>74</v>
      </c>
      <c r="AT341" t="s">
        <v>378</v>
      </c>
      <c r="AU341">
        <v>2023</v>
      </c>
      <c r="AV341">
        <v>467</v>
      </c>
      <c r="AW341" t="s">
        <v>74</v>
      </c>
      <c r="AX341" t="s">
        <v>74</v>
      </c>
      <c r="AY341" t="s">
        <v>74</v>
      </c>
      <c r="AZ341" t="s">
        <v>74</v>
      </c>
      <c r="BA341" t="s">
        <v>74</v>
      </c>
      <c r="BB341" t="s">
        <v>74</v>
      </c>
      <c r="BC341" t="s">
        <v>74</v>
      </c>
      <c r="BD341">
        <v>143377</v>
      </c>
      <c r="BE341" t="s">
        <v>3074</v>
      </c>
      <c r="BF341" t="str">
        <f>HYPERLINK("http://dx.doi.org/10.1016/j.cej.2023.143377","http://dx.doi.org/10.1016/j.cej.2023.143377")</f>
        <v>http://dx.doi.org/10.1016/j.cej.2023.143377</v>
      </c>
      <c r="BG341" t="s">
        <v>74</v>
      </c>
      <c r="BH341" t="s">
        <v>3002</v>
      </c>
      <c r="BI341" t="s">
        <v>74</v>
      </c>
      <c r="BJ341" t="s">
        <v>74</v>
      </c>
      <c r="BK341" t="s">
        <v>74</v>
      </c>
      <c r="BL341" t="s">
        <v>74</v>
      </c>
      <c r="BM341" t="s">
        <v>74</v>
      </c>
      <c r="BN341" t="s">
        <v>74</v>
      </c>
      <c r="BO341" t="s">
        <v>74</v>
      </c>
      <c r="BP341" t="s">
        <v>74</v>
      </c>
      <c r="BQ341" t="s">
        <v>74</v>
      </c>
      <c r="BR341" t="s">
        <v>74</v>
      </c>
      <c r="BS341" t="s">
        <v>3075</v>
      </c>
      <c r="BT341" t="str">
        <f>HYPERLINK("https%3A%2F%2Fwww.webofscience.com%2Fwos%2Fwoscc%2Ffull-record%2FWOS:001006441400001","View Full Record in Web of Science")</f>
        <v>View Full Record in Web of Science</v>
      </c>
    </row>
    <row r="342" spans="1:72" x14ac:dyDescent="0.2">
      <c r="A342" t="s">
        <v>72</v>
      </c>
      <c r="B342" t="s">
        <v>3076</v>
      </c>
      <c r="C342" t="s">
        <v>74</v>
      </c>
      <c r="D342" t="s">
        <v>74</v>
      </c>
      <c r="E342" t="s">
        <v>74</v>
      </c>
      <c r="F342" t="s">
        <v>3077</v>
      </c>
      <c r="G342" t="s">
        <v>74</v>
      </c>
      <c r="H342" t="s">
        <v>74</v>
      </c>
      <c r="I342" t="s">
        <v>3078</v>
      </c>
      <c r="J342" t="s">
        <v>2444</v>
      </c>
      <c r="K342" t="s">
        <v>74</v>
      </c>
      <c r="L342" t="s">
        <v>74</v>
      </c>
      <c r="M342" t="s">
        <v>74</v>
      </c>
      <c r="N342" t="s">
        <v>74</v>
      </c>
      <c r="O342" t="s">
        <v>74</v>
      </c>
      <c r="P342" t="s">
        <v>74</v>
      </c>
      <c r="Q342" t="s">
        <v>74</v>
      </c>
      <c r="R342" t="s">
        <v>74</v>
      </c>
      <c r="S342" t="s">
        <v>74</v>
      </c>
      <c r="T342" t="s">
        <v>74</v>
      </c>
      <c r="U342" t="s">
        <v>74</v>
      </c>
      <c r="V342" t="s">
        <v>3079</v>
      </c>
      <c r="W342" t="s">
        <v>74</v>
      </c>
      <c r="X342" t="s">
        <v>74</v>
      </c>
      <c r="Y342" t="s">
        <v>74</v>
      </c>
      <c r="Z342" t="s">
        <v>74</v>
      </c>
      <c r="AA342" t="s">
        <v>3080</v>
      </c>
      <c r="AB342" t="s">
        <v>3081</v>
      </c>
      <c r="AC342" t="s">
        <v>74</v>
      </c>
      <c r="AD342" t="s">
        <v>74</v>
      </c>
      <c r="AE342" t="s">
        <v>74</v>
      </c>
      <c r="AF342" t="s">
        <v>74</v>
      </c>
      <c r="AG342" t="s">
        <v>74</v>
      </c>
      <c r="AH342" t="s">
        <v>74</v>
      </c>
      <c r="AI342" t="s">
        <v>74</v>
      </c>
      <c r="AJ342" t="s">
        <v>74</v>
      </c>
      <c r="AK342" t="s">
        <v>74</v>
      </c>
      <c r="AL342" t="s">
        <v>74</v>
      </c>
      <c r="AM342" t="s">
        <v>74</v>
      </c>
      <c r="AN342" t="s">
        <v>74</v>
      </c>
      <c r="AO342" t="s">
        <v>74</v>
      </c>
      <c r="AP342" t="s">
        <v>2447</v>
      </c>
      <c r="AQ342" t="s">
        <v>74</v>
      </c>
      <c r="AR342" t="s">
        <v>74</v>
      </c>
      <c r="AS342" t="s">
        <v>74</v>
      </c>
      <c r="AT342" t="s">
        <v>3082</v>
      </c>
      <c r="AU342">
        <v>2023</v>
      </c>
      <c r="AV342">
        <v>9</v>
      </c>
      <c r="AW342">
        <v>5</v>
      </c>
      <c r="AX342" t="s">
        <v>74</v>
      </c>
      <c r="AY342" t="s">
        <v>74</v>
      </c>
      <c r="AZ342" t="s">
        <v>74</v>
      </c>
      <c r="BA342" t="s">
        <v>74</v>
      </c>
      <c r="BB342" t="s">
        <v>74</v>
      </c>
      <c r="BC342" t="s">
        <v>74</v>
      </c>
      <c r="BD342">
        <v>268</v>
      </c>
      <c r="BE342" t="s">
        <v>3083</v>
      </c>
      <c r="BF342" t="str">
        <f>HYPERLINK("http://dx.doi.org/10.3390/batteries9050268","http://dx.doi.org/10.3390/batteries9050268")</f>
        <v>http://dx.doi.org/10.3390/batteries9050268</v>
      </c>
      <c r="BG342" t="s">
        <v>74</v>
      </c>
      <c r="BH342" t="s">
        <v>74</v>
      </c>
      <c r="BI342" t="s">
        <v>74</v>
      </c>
      <c r="BJ342" t="s">
        <v>74</v>
      </c>
      <c r="BK342" t="s">
        <v>74</v>
      </c>
      <c r="BL342" t="s">
        <v>74</v>
      </c>
      <c r="BM342" t="s">
        <v>74</v>
      </c>
      <c r="BN342" t="s">
        <v>74</v>
      </c>
      <c r="BO342" t="s">
        <v>74</v>
      </c>
      <c r="BP342" t="s">
        <v>74</v>
      </c>
      <c r="BQ342" t="s">
        <v>74</v>
      </c>
      <c r="BR342" t="s">
        <v>74</v>
      </c>
      <c r="BS342" t="s">
        <v>3084</v>
      </c>
      <c r="BT342" t="str">
        <f>HYPERLINK("https%3A%2F%2Fwww.webofscience.com%2Fwos%2Fwoscc%2Ffull-record%2FWOS:000995607000001","View Full Record in Web of Science")</f>
        <v>View Full Record in Web of Science</v>
      </c>
    </row>
    <row r="343" spans="1:72" x14ac:dyDescent="0.2">
      <c r="A343" t="s">
        <v>72</v>
      </c>
      <c r="B343" t="s">
        <v>3085</v>
      </c>
      <c r="C343" t="s">
        <v>74</v>
      </c>
      <c r="D343" t="s">
        <v>74</v>
      </c>
      <c r="E343" t="s">
        <v>74</v>
      </c>
      <c r="F343" t="s">
        <v>3086</v>
      </c>
      <c r="G343" t="s">
        <v>74</v>
      </c>
      <c r="H343" t="s">
        <v>74</v>
      </c>
      <c r="I343" t="s">
        <v>3087</v>
      </c>
      <c r="J343" t="s">
        <v>3088</v>
      </c>
      <c r="K343" t="s">
        <v>74</v>
      </c>
      <c r="L343" t="s">
        <v>74</v>
      </c>
      <c r="M343" t="s">
        <v>74</v>
      </c>
      <c r="N343" t="s">
        <v>74</v>
      </c>
      <c r="O343" t="s">
        <v>74</v>
      </c>
      <c r="P343" t="s">
        <v>74</v>
      </c>
      <c r="Q343" t="s">
        <v>74</v>
      </c>
      <c r="R343" t="s">
        <v>74</v>
      </c>
      <c r="S343" t="s">
        <v>74</v>
      </c>
      <c r="T343" t="s">
        <v>74</v>
      </c>
      <c r="U343" t="s">
        <v>74</v>
      </c>
      <c r="V343" t="s">
        <v>3089</v>
      </c>
      <c r="W343" t="s">
        <v>74</v>
      </c>
      <c r="X343" t="s">
        <v>74</v>
      </c>
      <c r="Y343" t="s">
        <v>74</v>
      </c>
      <c r="Z343" t="s">
        <v>74</v>
      </c>
      <c r="AA343" t="s">
        <v>3090</v>
      </c>
      <c r="AB343" t="s">
        <v>3091</v>
      </c>
      <c r="AC343" t="s">
        <v>74</v>
      </c>
      <c r="AD343" t="s">
        <v>74</v>
      </c>
      <c r="AE343" t="s">
        <v>74</v>
      </c>
      <c r="AF343" t="s">
        <v>74</v>
      </c>
      <c r="AG343" t="s">
        <v>74</v>
      </c>
      <c r="AH343" t="s">
        <v>74</v>
      </c>
      <c r="AI343" t="s">
        <v>74</v>
      </c>
      <c r="AJ343" t="s">
        <v>74</v>
      </c>
      <c r="AK343" t="s">
        <v>74</v>
      </c>
      <c r="AL343" t="s">
        <v>74</v>
      </c>
      <c r="AM343" t="s">
        <v>74</v>
      </c>
      <c r="AN343" t="s">
        <v>74</v>
      </c>
      <c r="AO343" t="s">
        <v>3092</v>
      </c>
      <c r="AP343" t="s">
        <v>3093</v>
      </c>
      <c r="AQ343" t="s">
        <v>74</v>
      </c>
      <c r="AR343" t="s">
        <v>74</v>
      </c>
      <c r="AS343" t="s">
        <v>74</v>
      </c>
      <c r="AT343" t="s">
        <v>3094</v>
      </c>
      <c r="AU343">
        <v>2023</v>
      </c>
      <c r="AV343">
        <v>48</v>
      </c>
      <c r="AW343">
        <v>46</v>
      </c>
      <c r="AX343" t="s">
        <v>74</v>
      </c>
      <c r="AY343" t="s">
        <v>74</v>
      </c>
      <c r="AZ343" t="s">
        <v>74</v>
      </c>
      <c r="BA343" t="s">
        <v>74</v>
      </c>
      <c r="BB343">
        <v>17512</v>
      </c>
      <c r="BC343">
        <v>17525</v>
      </c>
      <c r="BD343" t="s">
        <v>74</v>
      </c>
      <c r="BE343" t="s">
        <v>3095</v>
      </c>
      <c r="BF343" t="str">
        <f>HYPERLINK("http://dx.doi.org/10.1016/j.ijhydene.2023.01.264","http://dx.doi.org/10.1016/j.ijhydene.2023.01.264")</f>
        <v>http://dx.doi.org/10.1016/j.ijhydene.2023.01.264</v>
      </c>
      <c r="BG343" t="s">
        <v>74</v>
      </c>
      <c r="BH343" t="s">
        <v>3002</v>
      </c>
      <c r="BI343" t="s">
        <v>74</v>
      </c>
      <c r="BJ343" t="s">
        <v>74</v>
      </c>
      <c r="BK343" t="s">
        <v>74</v>
      </c>
      <c r="BL343" t="s">
        <v>74</v>
      </c>
      <c r="BM343" t="s">
        <v>74</v>
      </c>
      <c r="BN343" t="s">
        <v>74</v>
      </c>
      <c r="BO343" t="s">
        <v>74</v>
      </c>
      <c r="BP343" t="s">
        <v>74</v>
      </c>
      <c r="BQ343" t="s">
        <v>74</v>
      </c>
      <c r="BR343" t="s">
        <v>74</v>
      </c>
      <c r="BS343" t="s">
        <v>3096</v>
      </c>
      <c r="BT343" t="str">
        <f>HYPERLINK("https%3A%2F%2Fwww.webofscience.com%2Fwos%2Fwoscc%2Ffull-record%2FWOS:001004564100001","View Full Record in Web of Science")</f>
        <v>View Full Record in Web of Science</v>
      </c>
    </row>
    <row r="344" spans="1:72" x14ac:dyDescent="0.2">
      <c r="A344" t="s">
        <v>72</v>
      </c>
      <c r="B344" t="s">
        <v>3097</v>
      </c>
      <c r="C344" t="s">
        <v>74</v>
      </c>
      <c r="D344" t="s">
        <v>74</v>
      </c>
      <c r="E344" t="s">
        <v>74</v>
      </c>
      <c r="F344" t="s">
        <v>3098</v>
      </c>
      <c r="G344" t="s">
        <v>74</v>
      </c>
      <c r="H344" t="s">
        <v>74</v>
      </c>
      <c r="I344" t="s">
        <v>3099</v>
      </c>
      <c r="J344" t="s">
        <v>374</v>
      </c>
      <c r="K344" t="s">
        <v>74</v>
      </c>
      <c r="L344" t="s">
        <v>74</v>
      </c>
      <c r="M344" t="s">
        <v>74</v>
      </c>
      <c r="N344" t="s">
        <v>74</v>
      </c>
      <c r="O344" t="s">
        <v>74</v>
      </c>
      <c r="P344" t="s">
        <v>74</v>
      </c>
      <c r="Q344" t="s">
        <v>74</v>
      </c>
      <c r="R344" t="s">
        <v>74</v>
      </c>
      <c r="S344" t="s">
        <v>74</v>
      </c>
      <c r="T344" t="s">
        <v>74</v>
      </c>
      <c r="U344" t="s">
        <v>74</v>
      </c>
      <c r="V344" t="s">
        <v>3100</v>
      </c>
      <c r="W344" t="s">
        <v>74</v>
      </c>
      <c r="X344" t="s">
        <v>74</v>
      </c>
      <c r="Y344" t="s">
        <v>74</v>
      </c>
      <c r="Z344" t="s">
        <v>74</v>
      </c>
      <c r="AA344" t="s">
        <v>3101</v>
      </c>
      <c r="AB344" t="s">
        <v>3102</v>
      </c>
      <c r="AC344" t="s">
        <v>74</v>
      </c>
      <c r="AD344" t="s">
        <v>74</v>
      </c>
      <c r="AE344" t="s">
        <v>74</v>
      </c>
      <c r="AF344" t="s">
        <v>74</v>
      </c>
      <c r="AG344" t="s">
        <v>74</v>
      </c>
      <c r="AH344" t="s">
        <v>74</v>
      </c>
      <c r="AI344" t="s">
        <v>74</v>
      </c>
      <c r="AJ344" t="s">
        <v>74</v>
      </c>
      <c r="AK344" t="s">
        <v>74</v>
      </c>
      <c r="AL344" t="s">
        <v>74</v>
      </c>
      <c r="AM344" t="s">
        <v>74</v>
      </c>
      <c r="AN344" t="s">
        <v>74</v>
      </c>
      <c r="AO344" t="s">
        <v>377</v>
      </c>
      <c r="AP344" t="s">
        <v>74</v>
      </c>
      <c r="AQ344" t="s">
        <v>74</v>
      </c>
      <c r="AR344" t="s">
        <v>74</v>
      </c>
      <c r="AS344" t="s">
        <v>74</v>
      </c>
      <c r="AT344" t="s">
        <v>3103</v>
      </c>
      <c r="AU344">
        <v>2023</v>
      </c>
      <c r="AV344">
        <v>8</v>
      </c>
      <c r="AW344">
        <v>6</v>
      </c>
      <c r="AX344" t="s">
        <v>74</v>
      </c>
      <c r="AY344" t="s">
        <v>74</v>
      </c>
      <c r="AZ344" t="s">
        <v>74</v>
      </c>
      <c r="BA344" t="s">
        <v>74</v>
      </c>
      <c r="BB344">
        <v>2478</v>
      </c>
      <c r="BC344">
        <v>2487</v>
      </c>
      <c r="BD344" t="s">
        <v>74</v>
      </c>
      <c r="BE344" t="s">
        <v>3104</v>
      </c>
      <c r="BF344" t="str">
        <f>HYPERLINK("http://dx.doi.org/10.1021/acsenergylett.3c00324","http://dx.doi.org/10.1021/acsenergylett.3c00324")</f>
        <v>http://dx.doi.org/10.1021/acsenergylett.3c00324</v>
      </c>
      <c r="BG344" t="s">
        <v>74</v>
      </c>
      <c r="BH344" t="s">
        <v>3002</v>
      </c>
      <c r="BI344" t="s">
        <v>74</v>
      </c>
      <c r="BJ344" t="s">
        <v>74</v>
      </c>
      <c r="BK344" t="s">
        <v>74</v>
      </c>
      <c r="BL344" t="s">
        <v>74</v>
      </c>
      <c r="BM344" t="s">
        <v>74</v>
      </c>
      <c r="BN344" t="s">
        <v>74</v>
      </c>
      <c r="BO344" t="s">
        <v>74</v>
      </c>
      <c r="BP344" t="s">
        <v>74</v>
      </c>
      <c r="BQ344" t="s">
        <v>74</v>
      </c>
      <c r="BR344" t="s">
        <v>74</v>
      </c>
      <c r="BS344" t="s">
        <v>3105</v>
      </c>
      <c r="BT344" t="str">
        <f>HYPERLINK("https%3A%2F%2Fwww.webofscience.com%2Fwos%2Fwoscc%2Ffull-record%2FWOS:000984402200001","View Full Record in Web of Science")</f>
        <v>View Full Record in Web of Science</v>
      </c>
    </row>
    <row r="345" spans="1:72" x14ac:dyDescent="0.2">
      <c r="A345" t="s">
        <v>72</v>
      </c>
      <c r="B345" t="s">
        <v>3106</v>
      </c>
      <c r="C345" t="s">
        <v>74</v>
      </c>
      <c r="D345" t="s">
        <v>74</v>
      </c>
      <c r="E345" t="s">
        <v>74</v>
      </c>
      <c r="F345" t="s">
        <v>3107</v>
      </c>
      <c r="G345" t="s">
        <v>74</v>
      </c>
      <c r="H345" t="s">
        <v>74</v>
      </c>
      <c r="I345" t="s">
        <v>3108</v>
      </c>
      <c r="J345" t="s">
        <v>3109</v>
      </c>
      <c r="K345" t="s">
        <v>74</v>
      </c>
      <c r="L345" t="s">
        <v>74</v>
      </c>
      <c r="M345" t="s">
        <v>74</v>
      </c>
      <c r="N345" t="s">
        <v>74</v>
      </c>
      <c r="O345" t="s">
        <v>74</v>
      </c>
      <c r="P345" t="s">
        <v>74</v>
      </c>
      <c r="Q345" t="s">
        <v>74</v>
      </c>
      <c r="R345" t="s">
        <v>74</v>
      </c>
      <c r="S345" t="s">
        <v>74</v>
      </c>
      <c r="T345" t="s">
        <v>74</v>
      </c>
      <c r="U345" t="s">
        <v>74</v>
      </c>
      <c r="V345" t="s">
        <v>3110</v>
      </c>
      <c r="W345" t="s">
        <v>74</v>
      </c>
      <c r="X345" t="s">
        <v>74</v>
      </c>
      <c r="Y345" t="s">
        <v>74</v>
      </c>
      <c r="Z345" t="s">
        <v>74</v>
      </c>
      <c r="AA345" t="s">
        <v>3111</v>
      </c>
      <c r="AB345" t="s">
        <v>3112</v>
      </c>
      <c r="AC345" t="s">
        <v>74</v>
      </c>
      <c r="AD345" t="s">
        <v>74</v>
      </c>
      <c r="AE345" t="s">
        <v>74</v>
      </c>
      <c r="AF345" t="s">
        <v>74</v>
      </c>
      <c r="AG345" t="s">
        <v>74</v>
      </c>
      <c r="AH345" t="s">
        <v>74</v>
      </c>
      <c r="AI345" t="s">
        <v>74</v>
      </c>
      <c r="AJ345" t="s">
        <v>74</v>
      </c>
      <c r="AK345" t="s">
        <v>74</v>
      </c>
      <c r="AL345" t="s">
        <v>74</v>
      </c>
      <c r="AM345" t="s">
        <v>74</v>
      </c>
      <c r="AN345" t="s">
        <v>74</v>
      </c>
      <c r="AO345" t="s">
        <v>3113</v>
      </c>
      <c r="AP345" t="s">
        <v>74</v>
      </c>
      <c r="AQ345" t="s">
        <v>74</v>
      </c>
      <c r="AR345" t="s">
        <v>74</v>
      </c>
      <c r="AS345" t="s">
        <v>74</v>
      </c>
      <c r="AT345" t="s">
        <v>368</v>
      </c>
      <c r="AU345">
        <v>2023</v>
      </c>
      <c r="AV345">
        <v>7</v>
      </c>
      <c r="AW345">
        <v>7</v>
      </c>
      <c r="AX345" t="s">
        <v>74</v>
      </c>
      <c r="AY345" t="s">
        <v>74</v>
      </c>
      <c r="AZ345" t="s">
        <v>74</v>
      </c>
      <c r="BA345" t="s">
        <v>74</v>
      </c>
      <c r="BB345" t="s">
        <v>74</v>
      </c>
      <c r="BC345" t="s">
        <v>74</v>
      </c>
      <c r="BD345" t="s">
        <v>74</v>
      </c>
      <c r="BE345" t="s">
        <v>3114</v>
      </c>
      <c r="BF345" t="str">
        <f>HYPERLINK("http://dx.doi.org/10.1002/adsu.202300061","http://dx.doi.org/10.1002/adsu.202300061")</f>
        <v>http://dx.doi.org/10.1002/adsu.202300061</v>
      </c>
      <c r="BG345" t="s">
        <v>74</v>
      </c>
      <c r="BH345" t="s">
        <v>3115</v>
      </c>
      <c r="BI345" t="s">
        <v>74</v>
      </c>
      <c r="BJ345" t="s">
        <v>74</v>
      </c>
      <c r="BK345" t="s">
        <v>74</v>
      </c>
      <c r="BL345" t="s">
        <v>74</v>
      </c>
      <c r="BM345" t="s">
        <v>74</v>
      </c>
      <c r="BN345" t="s">
        <v>74</v>
      </c>
      <c r="BO345" t="s">
        <v>74</v>
      </c>
      <c r="BP345" t="s">
        <v>74</v>
      </c>
      <c r="BQ345" t="s">
        <v>74</v>
      </c>
      <c r="BR345" t="s">
        <v>74</v>
      </c>
      <c r="BS345" t="s">
        <v>3116</v>
      </c>
      <c r="BT345" t="str">
        <f>HYPERLINK("https%3A%2F%2Fwww.webofscience.com%2Fwos%2Fwoscc%2Ffull-record%2FWOS:000976998500001","View Full Record in Web of Science")</f>
        <v>View Full Record in Web of Science</v>
      </c>
    </row>
    <row r="346" spans="1:72" x14ac:dyDescent="0.2">
      <c r="A346" t="s">
        <v>72</v>
      </c>
      <c r="B346" t="s">
        <v>3117</v>
      </c>
      <c r="C346" t="s">
        <v>74</v>
      </c>
      <c r="D346" t="s">
        <v>74</v>
      </c>
      <c r="E346" t="s">
        <v>74</v>
      </c>
      <c r="F346" t="s">
        <v>3118</v>
      </c>
      <c r="G346" t="s">
        <v>74</v>
      </c>
      <c r="H346" t="s">
        <v>74</v>
      </c>
      <c r="I346" t="s">
        <v>3119</v>
      </c>
      <c r="J346" t="s">
        <v>278</v>
      </c>
      <c r="K346" t="s">
        <v>74</v>
      </c>
      <c r="L346" t="s">
        <v>74</v>
      </c>
      <c r="M346" t="s">
        <v>74</v>
      </c>
      <c r="N346" t="s">
        <v>74</v>
      </c>
      <c r="O346" t="s">
        <v>74</v>
      </c>
      <c r="P346" t="s">
        <v>74</v>
      </c>
      <c r="Q346" t="s">
        <v>74</v>
      </c>
      <c r="R346" t="s">
        <v>74</v>
      </c>
      <c r="S346" t="s">
        <v>74</v>
      </c>
      <c r="T346" t="s">
        <v>74</v>
      </c>
      <c r="U346" t="s">
        <v>74</v>
      </c>
      <c r="V346" t="s">
        <v>3120</v>
      </c>
      <c r="W346" t="s">
        <v>74</v>
      </c>
      <c r="X346" t="s">
        <v>74</v>
      </c>
      <c r="Y346" t="s">
        <v>74</v>
      </c>
      <c r="Z346" t="s">
        <v>74</v>
      </c>
      <c r="AA346" t="s">
        <v>74</v>
      </c>
      <c r="AB346" t="s">
        <v>74</v>
      </c>
      <c r="AC346" t="s">
        <v>74</v>
      </c>
      <c r="AD346" t="s">
        <v>74</v>
      </c>
      <c r="AE346" t="s">
        <v>74</v>
      </c>
      <c r="AF346" t="s">
        <v>74</v>
      </c>
      <c r="AG346" t="s">
        <v>74</v>
      </c>
      <c r="AH346" t="s">
        <v>74</v>
      </c>
      <c r="AI346" t="s">
        <v>74</v>
      </c>
      <c r="AJ346" t="s">
        <v>74</v>
      </c>
      <c r="AK346" t="s">
        <v>74</v>
      </c>
      <c r="AL346" t="s">
        <v>74</v>
      </c>
      <c r="AM346" t="s">
        <v>74</v>
      </c>
      <c r="AN346" t="s">
        <v>74</v>
      </c>
      <c r="AO346" t="s">
        <v>281</v>
      </c>
      <c r="AP346" t="s">
        <v>282</v>
      </c>
      <c r="AQ346" t="s">
        <v>74</v>
      </c>
      <c r="AR346" t="s">
        <v>74</v>
      </c>
      <c r="AS346" t="s">
        <v>74</v>
      </c>
      <c r="AT346" t="s">
        <v>592</v>
      </c>
      <c r="AU346">
        <v>2023</v>
      </c>
      <c r="AV346">
        <v>11</v>
      </c>
      <c r="AW346">
        <v>21</v>
      </c>
      <c r="AX346" t="s">
        <v>74</v>
      </c>
      <c r="AY346" t="s">
        <v>74</v>
      </c>
      <c r="AZ346" t="s">
        <v>74</v>
      </c>
      <c r="BA346" t="s">
        <v>74</v>
      </c>
      <c r="BB346">
        <v>11298</v>
      </c>
      <c r="BC346">
        <v>11309</v>
      </c>
      <c r="BD346" t="s">
        <v>74</v>
      </c>
      <c r="BE346" t="s">
        <v>3121</v>
      </c>
      <c r="BF346" t="str">
        <f>HYPERLINK("http://dx.doi.org/10.1039/d3ta01252b","http://dx.doi.org/10.1039/d3ta01252b")</f>
        <v>http://dx.doi.org/10.1039/d3ta01252b</v>
      </c>
      <c r="BG346" t="s">
        <v>74</v>
      </c>
      <c r="BH346" t="s">
        <v>3115</v>
      </c>
      <c r="BI346" t="s">
        <v>74</v>
      </c>
      <c r="BJ346" t="s">
        <v>74</v>
      </c>
      <c r="BK346" t="s">
        <v>74</v>
      </c>
      <c r="BL346" t="s">
        <v>74</v>
      </c>
      <c r="BM346" t="s">
        <v>74</v>
      </c>
      <c r="BN346" t="s">
        <v>74</v>
      </c>
      <c r="BO346" t="s">
        <v>74</v>
      </c>
      <c r="BP346" t="s">
        <v>74</v>
      </c>
      <c r="BQ346" t="s">
        <v>74</v>
      </c>
      <c r="BR346" t="s">
        <v>74</v>
      </c>
      <c r="BS346" t="s">
        <v>3122</v>
      </c>
      <c r="BT346" t="str">
        <f>HYPERLINK("https%3A%2F%2Fwww.webofscience.com%2Fwos%2Fwoscc%2Ffull-record%2FWOS:000984893600001","View Full Record in Web of Science")</f>
        <v>View Full Record in Web of Science</v>
      </c>
    </row>
    <row r="347" spans="1:72" x14ac:dyDescent="0.2">
      <c r="A347" t="s">
        <v>72</v>
      </c>
      <c r="B347" t="s">
        <v>3123</v>
      </c>
      <c r="C347" t="s">
        <v>74</v>
      </c>
      <c r="D347" t="s">
        <v>74</v>
      </c>
      <c r="E347" t="s">
        <v>74</v>
      </c>
      <c r="F347" t="s">
        <v>3124</v>
      </c>
      <c r="G347" t="s">
        <v>74</v>
      </c>
      <c r="H347" t="s">
        <v>74</v>
      </c>
      <c r="I347" t="s">
        <v>3125</v>
      </c>
      <c r="J347" t="s">
        <v>1005</v>
      </c>
      <c r="K347" t="s">
        <v>74</v>
      </c>
      <c r="L347" t="s">
        <v>74</v>
      </c>
      <c r="M347" t="s">
        <v>74</v>
      </c>
      <c r="N347" t="s">
        <v>74</v>
      </c>
      <c r="O347" t="s">
        <v>74</v>
      </c>
      <c r="P347" t="s">
        <v>74</v>
      </c>
      <c r="Q347" t="s">
        <v>74</v>
      </c>
      <c r="R347" t="s">
        <v>74</v>
      </c>
      <c r="S347" t="s">
        <v>74</v>
      </c>
      <c r="T347" t="s">
        <v>74</v>
      </c>
      <c r="U347" t="s">
        <v>74</v>
      </c>
      <c r="V347" t="s">
        <v>3126</v>
      </c>
      <c r="W347" t="s">
        <v>74</v>
      </c>
      <c r="X347" t="s">
        <v>74</v>
      </c>
      <c r="Y347" t="s">
        <v>74</v>
      </c>
      <c r="Z347" t="s">
        <v>74</v>
      </c>
      <c r="AA347" t="s">
        <v>74</v>
      </c>
      <c r="AB347" t="s">
        <v>74</v>
      </c>
      <c r="AC347" t="s">
        <v>74</v>
      </c>
      <c r="AD347" t="s">
        <v>74</v>
      </c>
      <c r="AE347" t="s">
        <v>74</v>
      </c>
      <c r="AF347" t="s">
        <v>74</v>
      </c>
      <c r="AG347" t="s">
        <v>74</v>
      </c>
      <c r="AH347" t="s">
        <v>74</v>
      </c>
      <c r="AI347" t="s">
        <v>74</v>
      </c>
      <c r="AJ347" t="s">
        <v>74</v>
      </c>
      <c r="AK347" t="s">
        <v>74</v>
      </c>
      <c r="AL347" t="s">
        <v>74</v>
      </c>
      <c r="AM347" t="s">
        <v>74</v>
      </c>
      <c r="AN347" t="s">
        <v>74</v>
      </c>
      <c r="AO347" t="s">
        <v>1008</v>
      </c>
      <c r="AP347" t="s">
        <v>1009</v>
      </c>
      <c r="AQ347" t="s">
        <v>74</v>
      </c>
      <c r="AR347" t="s">
        <v>74</v>
      </c>
      <c r="AS347" t="s">
        <v>74</v>
      </c>
      <c r="AT347" t="s">
        <v>1972</v>
      </c>
      <c r="AU347">
        <v>2023</v>
      </c>
      <c r="AV347">
        <v>136</v>
      </c>
      <c r="AW347" t="s">
        <v>74</v>
      </c>
      <c r="AX347" t="s">
        <v>74</v>
      </c>
      <c r="AY347" t="s">
        <v>74</v>
      </c>
      <c r="AZ347" t="s">
        <v>74</v>
      </c>
      <c r="BA347" t="s">
        <v>74</v>
      </c>
      <c r="BB347" t="s">
        <v>74</v>
      </c>
      <c r="BC347" t="s">
        <v>74</v>
      </c>
      <c r="BD347">
        <v>109969</v>
      </c>
      <c r="BE347" t="s">
        <v>3127</v>
      </c>
      <c r="BF347" t="str">
        <f>HYPERLINK("http://dx.doi.org/10.1016/j.diamond.2023.109969","http://dx.doi.org/10.1016/j.diamond.2023.109969")</f>
        <v>http://dx.doi.org/10.1016/j.diamond.2023.109969</v>
      </c>
      <c r="BG347" t="s">
        <v>74</v>
      </c>
      <c r="BH347" t="s">
        <v>3115</v>
      </c>
      <c r="BI347" t="s">
        <v>74</v>
      </c>
      <c r="BJ347" t="s">
        <v>74</v>
      </c>
      <c r="BK347" t="s">
        <v>74</v>
      </c>
      <c r="BL347" t="s">
        <v>74</v>
      </c>
      <c r="BM347" t="s">
        <v>74</v>
      </c>
      <c r="BN347" t="s">
        <v>74</v>
      </c>
      <c r="BO347" t="s">
        <v>74</v>
      </c>
      <c r="BP347" t="s">
        <v>74</v>
      </c>
      <c r="BQ347" t="s">
        <v>74</v>
      </c>
      <c r="BR347" t="s">
        <v>74</v>
      </c>
      <c r="BS347" t="s">
        <v>3128</v>
      </c>
      <c r="BT347" t="str">
        <f>HYPERLINK("https%3A%2F%2Fwww.webofscience.com%2Fwos%2Fwoscc%2Ffull-record%2FWOS:000989441500001","View Full Record in Web of Science")</f>
        <v>View Full Record in Web of Science</v>
      </c>
    </row>
    <row r="348" spans="1:72" x14ac:dyDescent="0.2">
      <c r="A348" t="s">
        <v>72</v>
      </c>
      <c r="B348" t="s">
        <v>3129</v>
      </c>
      <c r="C348" t="s">
        <v>74</v>
      </c>
      <c r="D348" t="s">
        <v>74</v>
      </c>
      <c r="E348" t="s">
        <v>74</v>
      </c>
      <c r="F348" t="s">
        <v>3130</v>
      </c>
      <c r="G348" t="s">
        <v>74</v>
      </c>
      <c r="H348" t="s">
        <v>74</v>
      </c>
      <c r="I348" t="s">
        <v>3131</v>
      </c>
      <c r="J348" t="s">
        <v>352</v>
      </c>
      <c r="K348" t="s">
        <v>74</v>
      </c>
      <c r="L348" t="s">
        <v>74</v>
      </c>
      <c r="M348" t="s">
        <v>74</v>
      </c>
      <c r="N348" t="s">
        <v>74</v>
      </c>
      <c r="O348" t="s">
        <v>74</v>
      </c>
      <c r="P348" t="s">
        <v>74</v>
      </c>
      <c r="Q348" t="s">
        <v>74</v>
      </c>
      <c r="R348" t="s">
        <v>74</v>
      </c>
      <c r="S348" t="s">
        <v>74</v>
      </c>
      <c r="T348" t="s">
        <v>74</v>
      </c>
      <c r="U348" t="s">
        <v>74</v>
      </c>
      <c r="V348" t="s">
        <v>3132</v>
      </c>
      <c r="W348" t="s">
        <v>74</v>
      </c>
      <c r="X348" t="s">
        <v>74</v>
      </c>
      <c r="Y348" t="s">
        <v>74</v>
      </c>
      <c r="Z348" t="s">
        <v>74</v>
      </c>
      <c r="AA348" t="s">
        <v>3133</v>
      </c>
      <c r="AB348" t="s">
        <v>3134</v>
      </c>
      <c r="AC348" t="s">
        <v>74</v>
      </c>
      <c r="AD348" t="s">
        <v>74</v>
      </c>
      <c r="AE348" t="s">
        <v>74</v>
      </c>
      <c r="AF348" t="s">
        <v>74</v>
      </c>
      <c r="AG348" t="s">
        <v>74</v>
      </c>
      <c r="AH348" t="s">
        <v>74</v>
      </c>
      <c r="AI348" t="s">
        <v>74</v>
      </c>
      <c r="AJ348" t="s">
        <v>74</v>
      </c>
      <c r="AK348" t="s">
        <v>74</v>
      </c>
      <c r="AL348" t="s">
        <v>74</v>
      </c>
      <c r="AM348" t="s">
        <v>74</v>
      </c>
      <c r="AN348" t="s">
        <v>74</v>
      </c>
      <c r="AO348" t="s">
        <v>354</v>
      </c>
      <c r="AP348" t="s">
        <v>355</v>
      </c>
      <c r="AQ348" t="s">
        <v>74</v>
      </c>
      <c r="AR348" t="s">
        <v>74</v>
      </c>
      <c r="AS348" t="s">
        <v>74</v>
      </c>
      <c r="AT348" t="s">
        <v>1972</v>
      </c>
      <c r="AU348">
        <v>2023</v>
      </c>
      <c r="AV348">
        <v>13</v>
      </c>
      <c r="AW348">
        <v>21</v>
      </c>
      <c r="AX348" t="s">
        <v>74</v>
      </c>
      <c r="AY348" t="s">
        <v>74</v>
      </c>
      <c r="AZ348" t="s">
        <v>74</v>
      </c>
      <c r="BA348" t="s">
        <v>74</v>
      </c>
      <c r="BB348" t="s">
        <v>74</v>
      </c>
      <c r="BC348" t="s">
        <v>74</v>
      </c>
      <c r="BD348" t="s">
        <v>74</v>
      </c>
      <c r="BE348" t="s">
        <v>3135</v>
      </c>
      <c r="BF348" t="str">
        <f>HYPERLINK("http://dx.doi.org/10.1002/aenm.202204054","http://dx.doi.org/10.1002/aenm.202204054")</f>
        <v>http://dx.doi.org/10.1002/aenm.202204054</v>
      </c>
      <c r="BG348" t="s">
        <v>74</v>
      </c>
      <c r="BH348" t="s">
        <v>3115</v>
      </c>
      <c r="BI348" t="s">
        <v>74</v>
      </c>
      <c r="BJ348" t="s">
        <v>74</v>
      </c>
      <c r="BK348" t="s">
        <v>74</v>
      </c>
      <c r="BL348" t="s">
        <v>74</v>
      </c>
      <c r="BM348" t="s">
        <v>74</v>
      </c>
      <c r="BN348" t="s">
        <v>74</v>
      </c>
      <c r="BO348" t="s">
        <v>74</v>
      </c>
      <c r="BP348" t="s">
        <v>74</v>
      </c>
      <c r="BQ348" t="s">
        <v>74</v>
      </c>
      <c r="BR348" t="s">
        <v>74</v>
      </c>
      <c r="BS348" t="s">
        <v>3136</v>
      </c>
      <c r="BT348" t="str">
        <f>HYPERLINK("https%3A%2F%2Fwww.webofscience.com%2Fwos%2Fwoscc%2Ffull-record%2FWOS:000974673200001","View Full Record in Web of Science")</f>
        <v>View Full Record in Web of Science</v>
      </c>
    </row>
    <row r="349" spans="1:72" x14ac:dyDescent="0.2">
      <c r="A349" t="s">
        <v>72</v>
      </c>
      <c r="B349" t="s">
        <v>3137</v>
      </c>
      <c r="C349" t="s">
        <v>74</v>
      </c>
      <c r="D349" t="s">
        <v>74</v>
      </c>
      <c r="E349" t="s">
        <v>74</v>
      </c>
      <c r="F349" t="s">
        <v>3138</v>
      </c>
      <c r="G349" t="s">
        <v>74</v>
      </c>
      <c r="H349" t="s">
        <v>74</v>
      </c>
      <c r="I349" t="s">
        <v>3139</v>
      </c>
      <c r="J349" t="s">
        <v>140</v>
      </c>
      <c r="K349" t="s">
        <v>74</v>
      </c>
      <c r="L349" t="s">
        <v>74</v>
      </c>
      <c r="M349" t="s">
        <v>74</v>
      </c>
      <c r="N349" t="s">
        <v>74</v>
      </c>
      <c r="O349" t="s">
        <v>74</v>
      </c>
      <c r="P349" t="s">
        <v>74</v>
      </c>
      <c r="Q349" t="s">
        <v>74</v>
      </c>
      <c r="R349" t="s">
        <v>74</v>
      </c>
      <c r="S349" t="s">
        <v>74</v>
      </c>
      <c r="T349" t="s">
        <v>74</v>
      </c>
      <c r="U349" t="s">
        <v>74</v>
      </c>
      <c r="V349" t="s">
        <v>3140</v>
      </c>
      <c r="W349" t="s">
        <v>74</v>
      </c>
      <c r="X349" t="s">
        <v>74</v>
      </c>
      <c r="Y349" t="s">
        <v>74</v>
      </c>
      <c r="Z349" t="s">
        <v>74</v>
      </c>
      <c r="AA349" t="s">
        <v>3141</v>
      </c>
      <c r="AB349" t="s">
        <v>3142</v>
      </c>
      <c r="AC349" t="s">
        <v>74</v>
      </c>
      <c r="AD349" t="s">
        <v>74</v>
      </c>
      <c r="AE349" t="s">
        <v>74</v>
      </c>
      <c r="AF349" t="s">
        <v>74</v>
      </c>
      <c r="AG349" t="s">
        <v>74</v>
      </c>
      <c r="AH349" t="s">
        <v>74</v>
      </c>
      <c r="AI349" t="s">
        <v>74</v>
      </c>
      <c r="AJ349" t="s">
        <v>74</v>
      </c>
      <c r="AK349" t="s">
        <v>74</v>
      </c>
      <c r="AL349" t="s">
        <v>74</v>
      </c>
      <c r="AM349" t="s">
        <v>74</v>
      </c>
      <c r="AN349" t="s">
        <v>74</v>
      </c>
      <c r="AO349" t="s">
        <v>142</v>
      </c>
      <c r="AP349" t="s">
        <v>143</v>
      </c>
      <c r="AQ349" t="s">
        <v>74</v>
      </c>
      <c r="AR349" t="s">
        <v>74</v>
      </c>
      <c r="AS349" t="s">
        <v>74</v>
      </c>
      <c r="AT349" t="s">
        <v>865</v>
      </c>
      <c r="AU349">
        <v>2023</v>
      </c>
      <c r="AV349">
        <v>66</v>
      </c>
      <c r="AW349" t="s">
        <v>74</v>
      </c>
      <c r="AX349" t="s">
        <v>74</v>
      </c>
      <c r="AY349" t="s">
        <v>74</v>
      </c>
      <c r="AZ349" t="s">
        <v>74</v>
      </c>
      <c r="BA349" t="s">
        <v>74</v>
      </c>
      <c r="BB349" t="s">
        <v>74</v>
      </c>
      <c r="BC349" t="s">
        <v>74</v>
      </c>
      <c r="BD349">
        <v>107400</v>
      </c>
      <c r="BE349" t="s">
        <v>3143</v>
      </c>
      <c r="BF349" t="str">
        <f>HYPERLINK("http://dx.doi.org/10.1016/j.est.2023.107400","http://dx.doi.org/10.1016/j.est.2023.107400")</f>
        <v>http://dx.doi.org/10.1016/j.est.2023.107400</v>
      </c>
      <c r="BG349" t="s">
        <v>74</v>
      </c>
      <c r="BH349" t="s">
        <v>3115</v>
      </c>
      <c r="BI349" t="s">
        <v>74</v>
      </c>
      <c r="BJ349" t="s">
        <v>74</v>
      </c>
      <c r="BK349" t="s">
        <v>74</v>
      </c>
      <c r="BL349" t="s">
        <v>74</v>
      </c>
      <c r="BM349" t="s">
        <v>74</v>
      </c>
      <c r="BN349" t="s">
        <v>74</v>
      </c>
      <c r="BO349" t="s">
        <v>74</v>
      </c>
      <c r="BP349" t="s">
        <v>74</v>
      </c>
      <c r="BQ349" t="s">
        <v>74</v>
      </c>
      <c r="BR349" t="s">
        <v>74</v>
      </c>
      <c r="BS349" t="s">
        <v>3144</v>
      </c>
      <c r="BT349" t="str">
        <f>HYPERLINK("https%3A%2F%2Fwww.webofscience.com%2Fwos%2Fwoscc%2Ffull-record%2FWOS:000985242800001","View Full Record in Web of Science")</f>
        <v>View Full Record in Web of Science</v>
      </c>
    </row>
    <row r="350" spans="1:72" x14ac:dyDescent="0.2">
      <c r="A350" t="s">
        <v>72</v>
      </c>
      <c r="B350" t="s">
        <v>3145</v>
      </c>
      <c r="C350" t="s">
        <v>74</v>
      </c>
      <c r="D350" t="s">
        <v>74</v>
      </c>
      <c r="E350" t="s">
        <v>74</v>
      </c>
      <c r="F350" t="s">
        <v>3146</v>
      </c>
      <c r="G350" t="s">
        <v>74</v>
      </c>
      <c r="H350" t="s">
        <v>74</v>
      </c>
      <c r="I350" t="s">
        <v>3147</v>
      </c>
      <c r="J350" t="s">
        <v>267</v>
      </c>
      <c r="K350" t="s">
        <v>74</v>
      </c>
      <c r="L350" t="s">
        <v>74</v>
      </c>
      <c r="M350" t="s">
        <v>74</v>
      </c>
      <c r="N350" t="s">
        <v>74</v>
      </c>
      <c r="O350" t="s">
        <v>74</v>
      </c>
      <c r="P350" t="s">
        <v>74</v>
      </c>
      <c r="Q350" t="s">
        <v>74</v>
      </c>
      <c r="R350" t="s">
        <v>74</v>
      </c>
      <c r="S350" t="s">
        <v>74</v>
      </c>
      <c r="T350" t="s">
        <v>74</v>
      </c>
      <c r="U350" t="s">
        <v>74</v>
      </c>
      <c r="V350" t="s">
        <v>3148</v>
      </c>
      <c r="W350" t="s">
        <v>74</v>
      </c>
      <c r="X350" t="s">
        <v>74</v>
      </c>
      <c r="Y350" t="s">
        <v>74</v>
      </c>
      <c r="Z350" t="s">
        <v>74</v>
      </c>
      <c r="AA350" t="s">
        <v>3149</v>
      </c>
      <c r="AB350" t="s">
        <v>3150</v>
      </c>
      <c r="AC350" t="s">
        <v>74</v>
      </c>
      <c r="AD350" t="s">
        <v>74</v>
      </c>
      <c r="AE350" t="s">
        <v>74</v>
      </c>
      <c r="AF350" t="s">
        <v>74</v>
      </c>
      <c r="AG350" t="s">
        <v>74</v>
      </c>
      <c r="AH350" t="s">
        <v>74</v>
      </c>
      <c r="AI350" t="s">
        <v>74</v>
      </c>
      <c r="AJ350" t="s">
        <v>74</v>
      </c>
      <c r="AK350" t="s">
        <v>74</v>
      </c>
      <c r="AL350" t="s">
        <v>74</v>
      </c>
      <c r="AM350" t="s">
        <v>74</v>
      </c>
      <c r="AN350" t="s">
        <v>74</v>
      </c>
      <c r="AO350" t="s">
        <v>270</v>
      </c>
      <c r="AP350" t="s">
        <v>271</v>
      </c>
      <c r="AQ350" t="s">
        <v>74</v>
      </c>
      <c r="AR350" t="s">
        <v>74</v>
      </c>
      <c r="AS350" t="s">
        <v>74</v>
      </c>
      <c r="AT350" t="s">
        <v>1972</v>
      </c>
      <c r="AU350">
        <v>2023</v>
      </c>
      <c r="AV350">
        <v>33</v>
      </c>
      <c r="AW350">
        <v>23</v>
      </c>
      <c r="AX350" t="s">
        <v>74</v>
      </c>
      <c r="AY350" t="s">
        <v>74</v>
      </c>
      <c r="AZ350" t="s">
        <v>74</v>
      </c>
      <c r="BA350" t="s">
        <v>74</v>
      </c>
      <c r="BB350" t="s">
        <v>74</v>
      </c>
      <c r="BC350" t="s">
        <v>74</v>
      </c>
      <c r="BD350">
        <v>2213822</v>
      </c>
      <c r="BE350" t="s">
        <v>3151</v>
      </c>
      <c r="BF350" t="str">
        <f>HYPERLINK("http://dx.doi.org/10.1002/adfm.202213822","http://dx.doi.org/10.1002/adfm.202213822")</f>
        <v>http://dx.doi.org/10.1002/adfm.202213822</v>
      </c>
      <c r="BG350" t="s">
        <v>74</v>
      </c>
      <c r="BH350" t="s">
        <v>3115</v>
      </c>
      <c r="BI350" t="s">
        <v>74</v>
      </c>
      <c r="BJ350" t="s">
        <v>74</v>
      </c>
      <c r="BK350" t="s">
        <v>74</v>
      </c>
      <c r="BL350" t="s">
        <v>74</v>
      </c>
      <c r="BM350" t="s">
        <v>74</v>
      </c>
      <c r="BN350" t="s">
        <v>74</v>
      </c>
      <c r="BO350" t="s">
        <v>74</v>
      </c>
      <c r="BP350" t="s">
        <v>74</v>
      </c>
      <c r="BQ350" t="s">
        <v>74</v>
      </c>
      <c r="BR350" t="s">
        <v>74</v>
      </c>
      <c r="BS350" t="s">
        <v>3152</v>
      </c>
      <c r="BT350" t="str">
        <f>HYPERLINK("https%3A%2F%2Fwww.webofscience.com%2Fwos%2Fwoscc%2Ffull-record%2FWOS:000971815300001","View Full Record in Web of Science")</f>
        <v>View Full Record in Web of Science</v>
      </c>
    </row>
    <row r="351" spans="1:72" x14ac:dyDescent="0.2">
      <c r="A351" t="s">
        <v>72</v>
      </c>
      <c r="B351" t="s">
        <v>3153</v>
      </c>
      <c r="C351" t="s">
        <v>74</v>
      </c>
      <c r="D351" t="s">
        <v>74</v>
      </c>
      <c r="E351" t="s">
        <v>74</v>
      </c>
      <c r="F351" t="s">
        <v>3154</v>
      </c>
      <c r="G351" t="s">
        <v>74</v>
      </c>
      <c r="H351" t="s">
        <v>74</v>
      </c>
      <c r="I351" t="s">
        <v>3155</v>
      </c>
      <c r="J351" t="s">
        <v>754</v>
      </c>
      <c r="K351" t="s">
        <v>74</v>
      </c>
      <c r="L351" t="s">
        <v>74</v>
      </c>
      <c r="M351" t="s">
        <v>74</v>
      </c>
      <c r="N351" t="s">
        <v>74</v>
      </c>
      <c r="O351" t="s">
        <v>74</v>
      </c>
      <c r="P351" t="s">
        <v>74</v>
      </c>
      <c r="Q351" t="s">
        <v>74</v>
      </c>
      <c r="R351" t="s">
        <v>74</v>
      </c>
      <c r="S351" t="s">
        <v>74</v>
      </c>
      <c r="T351" t="s">
        <v>74</v>
      </c>
      <c r="U351" t="s">
        <v>74</v>
      </c>
      <c r="V351" t="s">
        <v>3156</v>
      </c>
      <c r="W351" t="s">
        <v>74</v>
      </c>
      <c r="X351" t="s">
        <v>74</v>
      </c>
      <c r="Y351" t="s">
        <v>74</v>
      </c>
      <c r="Z351" t="s">
        <v>74</v>
      </c>
      <c r="AA351" t="s">
        <v>3157</v>
      </c>
      <c r="AB351" t="s">
        <v>3158</v>
      </c>
      <c r="AC351" t="s">
        <v>74</v>
      </c>
      <c r="AD351" t="s">
        <v>74</v>
      </c>
      <c r="AE351" t="s">
        <v>74</v>
      </c>
      <c r="AF351" t="s">
        <v>74</v>
      </c>
      <c r="AG351" t="s">
        <v>74</v>
      </c>
      <c r="AH351" t="s">
        <v>74</v>
      </c>
      <c r="AI351" t="s">
        <v>74</v>
      </c>
      <c r="AJ351" t="s">
        <v>74</v>
      </c>
      <c r="AK351" t="s">
        <v>74</v>
      </c>
      <c r="AL351" t="s">
        <v>74</v>
      </c>
      <c r="AM351" t="s">
        <v>74</v>
      </c>
      <c r="AN351" t="s">
        <v>74</v>
      </c>
      <c r="AO351" t="s">
        <v>757</v>
      </c>
      <c r="AP351" t="s">
        <v>758</v>
      </c>
      <c r="AQ351" t="s">
        <v>74</v>
      </c>
      <c r="AR351" t="s">
        <v>74</v>
      </c>
      <c r="AS351" t="s">
        <v>74</v>
      </c>
      <c r="AT351" t="s">
        <v>2174</v>
      </c>
      <c r="AU351">
        <v>2023</v>
      </c>
      <c r="AV351">
        <v>938</v>
      </c>
      <c r="AW351" t="s">
        <v>74</v>
      </c>
      <c r="AX351" t="s">
        <v>74</v>
      </c>
      <c r="AY351" t="s">
        <v>74</v>
      </c>
      <c r="AZ351" t="s">
        <v>74</v>
      </c>
      <c r="BA351" t="s">
        <v>74</v>
      </c>
      <c r="BB351" t="s">
        <v>74</v>
      </c>
      <c r="BC351" t="s">
        <v>74</v>
      </c>
      <c r="BD351">
        <v>117456</v>
      </c>
      <c r="BE351" t="s">
        <v>3159</v>
      </c>
      <c r="BF351" t="str">
        <f>HYPERLINK("http://dx.doi.org/10.1016/j.jelechem.2023.117456","http://dx.doi.org/10.1016/j.jelechem.2023.117456")</f>
        <v>http://dx.doi.org/10.1016/j.jelechem.2023.117456</v>
      </c>
      <c r="BG351" t="s">
        <v>74</v>
      </c>
      <c r="BH351" t="s">
        <v>3115</v>
      </c>
      <c r="BI351" t="s">
        <v>74</v>
      </c>
      <c r="BJ351" t="s">
        <v>74</v>
      </c>
      <c r="BK351" t="s">
        <v>74</v>
      </c>
      <c r="BL351" t="s">
        <v>74</v>
      </c>
      <c r="BM351" t="s">
        <v>74</v>
      </c>
      <c r="BN351" t="s">
        <v>74</v>
      </c>
      <c r="BO351" t="s">
        <v>74</v>
      </c>
      <c r="BP351" t="s">
        <v>74</v>
      </c>
      <c r="BQ351" t="s">
        <v>74</v>
      </c>
      <c r="BR351" t="s">
        <v>74</v>
      </c>
      <c r="BS351" t="s">
        <v>3160</v>
      </c>
      <c r="BT351" t="str">
        <f>HYPERLINK("https%3A%2F%2Fwww.webofscience.com%2Fwos%2Fwoscc%2Ffull-record%2FWOS:000983584600001","View Full Record in Web of Science")</f>
        <v>View Full Record in Web of Science</v>
      </c>
    </row>
    <row r="352" spans="1:72" x14ac:dyDescent="0.2">
      <c r="A352" t="s">
        <v>72</v>
      </c>
      <c r="B352" t="s">
        <v>3161</v>
      </c>
      <c r="C352" t="s">
        <v>74</v>
      </c>
      <c r="D352" t="s">
        <v>74</v>
      </c>
      <c r="E352" t="s">
        <v>74</v>
      </c>
      <c r="F352" t="s">
        <v>3162</v>
      </c>
      <c r="G352" t="s">
        <v>74</v>
      </c>
      <c r="H352" t="s">
        <v>74</v>
      </c>
      <c r="I352" t="s">
        <v>3163</v>
      </c>
      <c r="J352" t="s">
        <v>140</v>
      </c>
      <c r="K352" t="s">
        <v>74</v>
      </c>
      <c r="L352" t="s">
        <v>74</v>
      </c>
      <c r="M352" t="s">
        <v>74</v>
      </c>
      <c r="N352" t="s">
        <v>74</v>
      </c>
      <c r="O352" t="s">
        <v>74</v>
      </c>
      <c r="P352" t="s">
        <v>74</v>
      </c>
      <c r="Q352" t="s">
        <v>74</v>
      </c>
      <c r="R352" t="s">
        <v>74</v>
      </c>
      <c r="S352" t="s">
        <v>74</v>
      </c>
      <c r="T352" t="s">
        <v>74</v>
      </c>
      <c r="U352" t="s">
        <v>74</v>
      </c>
      <c r="V352" t="s">
        <v>3164</v>
      </c>
      <c r="W352" t="s">
        <v>74</v>
      </c>
      <c r="X352" t="s">
        <v>74</v>
      </c>
      <c r="Y352" t="s">
        <v>74</v>
      </c>
      <c r="Z352" t="s">
        <v>74</v>
      </c>
      <c r="AA352" t="s">
        <v>3165</v>
      </c>
      <c r="AB352" t="s">
        <v>3166</v>
      </c>
      <c r="AC352" t="s">
        <v>74</v>
      </c>
      <c r="AD352" t="s">
        <v>74</v>
      </c>
      <c r="AE352" t="s">
        <v>74</v>
      </c>
      <c r="AF352" t="s">
        <v>74</v>
      </c>
      <c r="AG352" t="s">
        <v>74</v>
      </c>
      <c r="AH352" t="s">
        <v>74</v>
      </c>
      <c r="AI352" t="s">
        <v>74</v>
      </c>
      <c r="AJ352" t="s">
        <v>74</v>
      </c>
      <c r="AK352" t="s">
        <v>74</v>
      </c>
      <c r="AL352" t="s">
        <v>74</v>
      </c>
      <c r="AM352" t="s">
        <v>74</v>
      </c>
      <c r="AN352" t="s">
        <v>74</v>
      </c>
      <c r="AO352" t="s">
        <v>142</v>
      </c>
      <c r="AP352" t="s">
        <v>143</v>
      </c>
      <c r="AQ352" t="s">
        <v>74</v>
      </c>
      <c r="AR352" t="s">
        <v>74</v>
      </c>
      <c r="AS352" t="s">
        <v>74</v>
      </c>
      <c r="AT352" t="s">
        <v>165</v>
      </c>
      <c r="AU352">
        <v>2023</v>
      </c>
      <c r="AV352">
        <v>65</v>
      </c>
      <c r="AW352" t="s">
        <v>74</v>
      </c>
      <c r="AX352" t="s">
        <v>74</v>
      </c>
      <c r="AY352" t="s">
        <v>74</v>
      </c>
      <c r="AZ352" t="s">
        <v>74</v>
      </c>
      <c r="BA352" t="s">
        <v>74</v>
      </c>
      <c r="BB352" t="s">
        <v>74</v>
      </c>
      <c r="BC352" t="s">
        <v>74</v>
      </c>
      <c r="BD352">
        <v>107387</v>
      </c>
      <c r="BE352" t="s">
        <v>3167</v>
      </c>
      <c r="BF352" t="str">
        <f>HYPERLINK("http://dx.doi.org/10.1016/j.est.2023.107387","http://dx.doi.org/10.1016/j.est.2023.107387")</f>
        <v>http://dx.doi.org/10.1016/j.est.2023.107387</v>
      </c>
      <c r="BG352" t="s">
        <v>74</v>
      </c>
      <c r="BH352" t="s">
        <v>3115</v>
      </c>
      <c r="BI352" t="s">
        <v>74</v>
      </c>
      <c r="BJ352" t="s">
        <v>74</v>
      </c>
      <c r="BK352" t="s">
        <v>74</v>
      </c>
      <c r="BL352" t="s">
        <v>74</v>
      </c>
      <c r="BM352" t="s">
        <v>74</v>
      </c>
      <c r="BN352" t="s">
        <v>74</v>
      </c>
      <c r="BO352" t="s">
        <v>74</v>
      </c>
      <c r="BP352" t="s">
        <v>74</v>
      </c>
      <c r="BQ352" t="s">
        <v>74</v>
      </c>
      <c r="BR352" t="s">
        <v>74</v>
      </c>
      <c r="BS352" t="s">
        <v>3168</v>
      </c>
      <c r="BT352" t="str">
        <f>HYPERLINK("https%3A%2F%2Fwww.webofscience.com%2Fwos%2Fwoscc%2Ffull-record%2FWOS:000984083300001","View Full Record in Web of Science")</f>
        <v>View Full Record in Web of Science</v>
      </c>
    </row>
    <row r="353" spans="1:72" x14ac:dyDescent="0.2">
      <c r="A353" t="s">
        <v>72</v>
      </c>
      <c r="B353" t="s">
        <v>3169</v>
      </c>
      <c r="C353" t="s">
        <v>74</v>
      </c>
      <c r="D353" t="s">
        <v>74</v>
      </c>
      <c r="E353" t="s">
        <v>74</v>
      </c>
      <c r="F353" t="s">
        <v>3170</v>
      </c>
      <c r="G353" t="s">
        <v>74</v>
      </c>
      <c r="H353" t="s">
        <v>74</v>
      </c>
      <c r="I353" t="s">
        <v>3171</v>
      </c>
      <c r="J353" t="s">
        <v>3172</v>
      </c>
      <c r="K353" t="s">
        <v>74</v>
      </c>
      <c r="L353" t="s">
        <v>74</v>
      </c>
      <c r="M353" t="s">
        <v>74</v>
      </c>
      <c r="N353" t="s">
        <v>74</v>
      </c>
      <c r="O353" t="s">
        <v>74</v>
      </c>
      <c r="P353" t="s">
        <v>74</v>
      </c>
      <c r="Q353" t="s">
        <v>74</v>
      </c>
      <c r="R353" t="s">
        <v>74</v>
      </c>
      <c r="S353" t="s">
        <v>74</v>
      </c>
      <c r="T353" t="s">
        <v>74</v>
      </c>
      <c r="U353" t="s">
        <v>74</v>
      </c>
      <c r="V353" t="s">
        <v>3173</v>
      </c>
      <c r="W353" t="s">
        <v>74</v>
      </c>
      <c r="X353" t="s">
        <v>74</v>
      </c>
      <c r="Y353" t="s">
        <v>74</v>
      </c>
      <c r="Z353" t="s">
        <v>74</v>
      </c>
      <c r="AA353" t="s">
        <v>3174</v>
      </c>
      <c r="AB353" t="s">
        <v>3175</v>
      </c>
      <c r="AC353" t="s">
        <v>74</v>
      </c>
      <c r="AD353" t="s">
        <v>74</v>
      </c>
      <c r="AE353" t="s">
        <v>74</v>
      </c>
      <c r="AF353" t="s">
        <v>74</v>
      </c>
      <c r="AG353" t="s">
        <v>74</v>
      </c>
      <c r="AH353" t="s">
        <v>74</v>
      </c>
      <c r="AI353" t="s">
        <v>74</v>
      </c>
      <c r="AJ353" t="s">
        <v>74</v>
      </c>
      <c r="AK353" t="s">
        <v>74</v>
      </c>
      <c r="AL353" t="s">
        <v>74</v>
      </c>
      <c r="AM353" t="s">
        <v>74</v>
      </c>
      <c r="AN353" t="s">
        <v>74</v>
      </c>
      <c r="AO353" t="s">
        <v>3176</v>
      </c>
      <c r="AP353" t="s">
        <v>3177</v>
      </c>
      <c r="AQ353" t="s">
        <v>74</v>
      </c>
      <c r="AR353" t="s">
        <v>74</v>
      </c>
      <c r="AS353" t="s">
        <v>74</v>
      </c>
      <c r="AT353" t="s">
        <v>3178</v>
      </c>
      <c r="AU353">
        <v>2024</v>
      </c>
      <c r="AV353">
        <v>49</v>
      </c>
      <c r="AW353">
        <v>3</v>
      </c>
      <c r="AX353" t="s">
        <v>74</v>
      </c>
      <c r="AY353" t="s">
        <v>74</v>
      </c>
      <c r="AZ353" t="s">
        <v>74</v>
      </c>
      <c r="BA353" t="s">
        <v>74</v>
      </c>
      <c r="BB353">
        <v>335</v>
      </c>
      <c r="BC353">
        <v>370</v>
      </c>
      <c r="BD353" t="s">
        <v>74</v>
      </c>
      <c r="BE353" t="s">
        <v>3179</v>
      </c>
      <c r="BF353" t="str">
        <f>HYPERLINK("http://dx.doi.org/10.1080/10408436.2023.2202225","http://dx.doi.org/10.1080/10408436.2023.2202225")</f>
        <v>http://dx.doi.org/10.1080/10408436.2023.2202225</v>
      </c>
      <c r="BG353" t="s">
        <v>74</v>
      </c>
      <c r="BH353" t="s">
        <v>3115</v>
      </c>
      <c r="BI353" t="s">
        <v>74</v>
      </c>
      <c r="BJ353" t="s">
        <v>74</v>
      </c>
      <c r="BK353" t="s">
        <v>74</v>
      </c>
      <c r="BL353" t="s">
        <v>74</v>
      </c>
      <c r="BM353" t="s">
        <v>74</v>
      </c>
      <c r="BN353" t="s">
        <v>74</v>
      </c>
      <c r="BO353" t="s">
        <v>74</v>
      </c>
      <c r="BP353" t="s">
        <v>74</v>
      </c>
      <c r="BQ353" t="s">
        <v>74</v>
      </c>
      <c r="BR353" t="s">
        <v>74</v>
      </c>
      <c r="BS353" t="s">
        <v>3180</v>
      </c>
      <c r="BT353" t="str">
        <f>HYPERLINK("https%3A%2F%2Fwww.webofscience.com%2Fwos%2Fwoscc%2Ffull-record%2FWOS:000974702400001","View Full Record in Web of Science")</f>
        <v>View Full Record in Web of Science</v>
      </c>
    </row>
    <row r="354" spans="1:72" x14ac:dyDescent="0.2">
      <c r="A354" t="s">
        <v>72</v>
      </c>
      <c r="B354" t="s">
        <v>3181</v>
      </c>
      <c r="C354" t="s">
        <v>74</v>
      </c>
      <c r="D354" t="s">
        <v>74</v>
      </c>
      <c r="E354" t="s">
        <v>74</v>
      </c>
      <c r="F354" t="s">
        <v>3182</v>
      </c>
      <c r="G354" t="s">
        <v>74</v>
      </c>
      <c r="H354" t="s">
        <v>74</v>
      </c>
      <c r="I354" t="s">
        <v>3183</v>
      </c>
      <c r="J354" t="s">
        <v>422</v>
      </c>
      <c r="K354" t="s">
        <v>74</v>
      </c>
      <c r="L354" t="s">
        <v>74</v>
      </c>
      <c r="M354" t="s">
        <v>74</v>
      </c>
      <c r="N354" t="s">
        <v>74</v>
      </c>
      <c r="O354" t="s">
        <v>74</v>
      </c>
      <c r="P354" t="s">
        <v>74</v>
      </c>
      <c r="Q354" t="s">
        <v>74</v>
      </c>
      <c r="R354" t="s">
        <v>74</v>
      </c>
      <c r="S354" t="s">
        <v>74</v>
      </c>
      <c r="T354" t="s">
        <v>74</v>
      </c>
      <c r="U354" t="s">
        <v>74</v>
      </c>
      <c r="V354" t="s">
        <v>3184</v>
      </c>
      <c r="W354" t="s">
        <v>74</v>
      </c>
      <c r="X354" t="s">
        <v>74</v>
      </c>
      <c r="Y354" t="s">
        <v>74</v>
      </c>
      <c r="Z354" t="s">
        <v>74</v>
      </c>
      <c r="AA354" t="s">
        <v>3185</v>
      </c>
      <c r="AB354" t="s">
        <v>3186</v>
      </c>
      <c r="AC354" t="s">
        <v>74</v>
      </c>
      <c r="AD354" t="s">
        <v>74</v>
      </c>
      <c r="AE354" t="s">
        <v>74</v>
      </c>
      <c r="AF354" t="s">
        <v>74</v>
      </c>
      <c r="AG354" t="s">
        <v>74</v>
      </c>
      <c r="AH354" t="s">
        <v>74</v>
      </c>
      <c r="AI354" t="s">
        <v>74</v>
      </c>
      <c r="AJ354" t="s">
        <v>74</v>
      </c>
      <c r="AK354" t="s">
        <v>74</v>
      </c>
      <c r="AL354" t="s">
        <v>74</v>
      </c>
      <c r="AM354" t="s">
        <v>74</v>
      </c>
      <c r="AN354" t="s">
        <v>74</v>
      </c>
      <c r="AO354" t="s">
        <v>426</v>
      </c>
      <c r="AP354" t="s">
        <v>74</v>
      </c>
      <c r="AQ354" t="s">
        <v>74</v>
      </c>
      <c r="AR354" t="s">
        <v>74</v>
      </c>
      <c r="AS354" t="s">
        <v>74</v>
      </c>
      <c r="AT354" t="s">
        <v>815</v>
      </c>
      <c r="AU354">
        <v>2023</v>
      </c>
      <c r="AV354">
        <v>6</v>
      </c>
      <c r="AW354">
        <v>7</v>
      </c>
      <c r="AX354" t="s">
        <v>74</v>
      </c>
      <c r="AY354" t="s">
        <v>74</v>
      </c>
      <c r="AZ354" t="s">
        <v>74</v>
      </c>
      <c r="BA354" t="s">
        <v>74</v>
      </c>
      <c r="BB354">
        <v>4053</v>
      </c>
      <c r="BC354">
        <v>4064</v>
      </c>
      <c r="BD354" t="s">
        <v>74</v>
      </c>
      <c r="BE354" t="s">
        <v>3187</v>
      </c>
      <c r="BF354" t="str">
        <f>HYPERLINK("http://dx.doi.org/10.1021/acsaem.3c00310","http://dx.doi.org/10.1021/acsaem.3c00310")</f>
        <v>http://dx.doi.org/10.1021/acsaem.3c00310</v>
      </c>
      <c r="BG354" t="s">
        <v>74</v>
      </c>
      <c r="BH354" t="s">
        <v>74</v>
      </c>
      <c r="BI354" t="s">
        <v>74</v>
      </c>
      <c r="BJ354" t="s">
        <v>74</v>
      </c>
      <c r="BK354" t="s">
        <v>74</v>
      </c>
      <c r="BL354" t="s">
        <v>74</v>
      </c>
      <c r="BM354" t="s">
        <v>74</v>
      </c>
      <c r="BN354">
        <v>37064412</v>
      </c>
      <c r="BO354" t="s">
        <v>74</v>
      </c>
      <c r="BP354" t="s">
        <v>74</v>
      </c>
      <c r="BQ354" t="s">
        <v>74</v>
      </c>
      <c r="BR354" t="s">
        <v>74</v>
      </c>
      <c r="BS354" t="s">
        <v>3188</v>
      </c>
      <c r="BT354" t="str">
        <f>HYPERLINK("https%3A%2F%2Fwww.webofscience.com%2Fwos%2Fwoscc%2Ffull-record%2FWOS:000969613100001","View Full Record in Web of Science")</f>
        <v>View Full Record in Web of Science</v>
      </c>
    </row>
    <row r="355" spans="1:72" x14ac:dyDescent="0.2">
      <c r="A355" t="s">
        <v>72</v>
      </c>
      <c r="B355" t="s">
        <v>3189</v>
      </c>
      <c r="C355" t="s">
        <v>74</v>
      </c>
      <c r="D355" t="s">
        <v>74</v>
      </c>
      <c r="E355" t="s">
        <v>74</v>
      </c>
      <c r="F355" t="s">
        <v>3190</v>
      </c>
      <c r="G355" t="s">
        <v>74</v>
      </c>
      <c r="H355" t="s">
        <v>74</v>
      </c>
      <c r="I355" t="s">
        <v>3191</v>
      </c>
      <c r="J355" t="s">
        <v>151</v>
      </c>
      <c r="K355" t="s">
        <v>74</v>
      </c>
      <c r="L355" t="s">
        <v>74</v>
      </c>
      <c r="M355" t="s">
        <v>74</v>
      </c>
      <c r="N355" t="s">
        <v>74</v>
      </c>
      <c r="O355" t="s">
        <v>74</v>
      </c>
      <c r="P355" t="s">
        <v>74</v>
      </c>
      <c r="Q355" t="s">
        <v>74</v>
      </c>
      <c r="R355" t="s">
        <v>74</v>
      </c>
      <c r="S355" t="s">
        <v>74</v>
      </c>
      <c r="T355" t="s">
        <v>74</v>
      </c>
      <c r="U355" t="s">
        <v>74</v>
      </c>
      <c r="V355" t="s">
        <v>3192</v>
      </c>
      <c r="W355" t="s">
        <v>74</v>
      </c>
      <c r="X355" t="s">
        <v>74</v>
      </c>
      <c r="Y355" t="s">
        <v>74</v>
      </c>
      <c r="Z355" t="s">
        <v>74</v>
      </c>
      <c r="AA355" t="s">
        <v>3193</v>
      </c>
      <c r="AB355" t="s">
        <v>3194</v>
      </c>
      <c r="AC355" t="s">
        <v>74</v>
      </c>
      <c r="AD355" t="s">
        <v>74</v>
      </c>
      <c r="AE355" t="s">
        <v>74</v>
      </c>
      <c r="AF355" t="s">
        <v>74</v>
      </c>
      <c r="AG355" t="s">
        <v>74</v>
      </c>
      <c r="AH355" t="s">
        <v>74</v>
      </c>
      <c r="AI355" t="s">
        <v>74</v>
      </c>
      <c r="AJ355" t="s">
        <v>74</v>
      </c>
      <c r="AK355" t="s">
        <v>74</v>
      </c>
      <c r="AL355" t="s">
        <v>74</v>
      </c>
      <c r="AM355" t="s">
        <v>74</v>
      </c>
      <c r="AN355" t="s">
        <v>74</v>
      </c>
      <c r="AO355" t="s">
        <v>153</v>
      </c>
      <c r="AP355" t="s">
        <v>154</v>
      </c>
      <c r="AQ355" t="s">
        <v>74</v>
      </c>
      <c r="AR355" t="s">
        <v>74</v>
      </c>
      <c r="AS355" t="s">
        <v>74</v>
      </c>
      <c r="AT355" t="s">
        <v>545</v>
      </c>
      <c r="AU355">
        <v>2023</v>
      </c>
      <c r="AV355">
        <v>59</v>
      </c>
      <c r="AW355" t="s">
        <v>74</v>
      </c>
      <c r="AX355" t="s">
        <v>74</v>
      </c>
      <c r="AY355" t="s">
        <v>74</v>
      </c>
      <c r="AZ355" t="s">
        <v>74</v>
      </c>
      <c r="BA355" t="s">
        <v>74</v>
      </c>
      <c r="BB355" t="s">
        <v>74</v>
      </c>
      <c r="BC355" t="s">
        <v>74</v>
      </c>
      <c r="BD355">
        <v>102753</v>
      </c>
      <c r="BE355" t="s">
        <v>3195</v>
      </c>
      <c r="BF355" t="str">
        <f>HYPERLINK("http://dx.doi.org/10.1016/j.ensm.2023.03.031","http://dx.doi.org/10.1016/j.ensm.2023.03.031")</f>
        <v>http://dx.doi.org/10.1016/j.ensm.2023.03.031</v>
      </c>
      <c r="BG355" t="s">
        <v>74</v>
      </c>
      <c r="BH355" t="s">
        <v>3115</v>
      </c>
      <c r="BI355" t="s">
        <v>74</v>
      </c>
      <c r="BJ355" t="s">
        <v>74</v>
      </c>
      <c r="BK355" t="s">
        <v>74</v>
      </c>
      <c r="BL355" t="s">
        <v>74</v>
      </c>
      <c r="BM355" t="s">
        <v>74</v>
      </c>
      <c r="BN355" t="s">
        <v>74</v>
      </c>
      <c r="BO355" t="s">
        <v>74</v>
      </c>
      <c r="BP355" t="s">
        <v>74</v>
      </c>
      <c r="BQ355" t="s">
        <v>74</v>
      </c>
      <c r="BR355" t="s">
        <v>74</v>
      </c>
      <c r="BS355" t="s">
        <v>3196</v>
      </c>
      <c r="BT355" t="str">
        <f>HYPERLINK("https%3A%2F%2Fwww.webofscience.com%2Fwos%2Fwoscc%2Ffull-record%2FWOS:000979798700001","View Full Record in Web of Science")</f>
        <v>View Full Record in Web of Science</v>
      </c>
    </row>
    <row r="356" spans="1:72" x14ac:dyDescent="0.2">
      <c r="A356" t="s">
        <v>72</v>
      </c>
      <c r="B356" t="s">
        <v>3197</v>
      </c>
      <c r="C356" t="s">
        <v>74</v>
      </c>
      <c r="D356" t="s">
        <v>74</v>
      </c>
      <c r="E356" t="s">
        <v>74</v>
      </c>
      <c r="F356" t="s">
        <v>3198</v>
      </c>
      <c r="G356" t="s">
        <v>74</v>
      </c>
      <c r="H356" t="s">
        <v>74</v>
      </c>
      <c r="I356" t="s">
        <v>3199</v>
      </c>
      <c r="J356" t="s">
        <v>422</v>
      </c>
      <c r="K356" t="s">
        <v>74</v>
      </c>
      <c r="L356" t="s">
        <v>74</v>
      </c>
      <c r="M356" t="s">
        <v>74</v>
      </c>
      <c r="N356" t="s">
        <v>74</v>
      </c>
      <c r="O356" t="s">
        <v>74</v>
      </c>
      <c r="P356" t="s">
        <v>74</v>
      </c>
      <c r="Q356" t="s">
        <v>74</v>
      </c>
      <c r="R356" t="s">
        <v>74</v>
      </c>
      <c r="S356" t="s">
        <v>74</v>
      </c>
      <c r="T356" t="s">
        <v>74</v>
      </c>
      <c r="U356" t="s">
        <v>74</v>
      </c>
      <c r="V356" t="s">
        <v>3200</v>
      </c>
      <c r="W356" t="s">
        <v>74</v>
      </c>
      <c r="X356" t="s">
        <v>74</v>
      </c>
      <c r="Y356" t="s">
        <v>74</v>
      </c>
      <c r="Z356" t="s">
        <v>74</v>
      </c>
      <c r="AA356" t="s">
        <v>3201</v>
      </c>
      <c r="AB356" t="s">
        <v>3202</v>
      </c>
      <c r="AC356" t="s">
        <v>74</v>
      </c>
      <c r="AD356" t="s">
        <v>74</v>
      </c>
      <c r="AE356" t="s">
        <v>74</v>
      </c>
      <c r="AF356" t="s">
        <v>74</v>
      </c>
      <c r="AG356" t="s">
        <v>74</v>
      </c>
      <c r="AH356" t="s">
        <v>74</v>
      </c>
      <c r="AI356" t="s">
        <v>74</v>
      </c>
      <c r="AJ356" t="s">
        <v>74</v>
      </c>
      <c r="AK356" t="s">
        <v>74</v>
      </c>
      <c r="AL356" t="s">
        <v>74</v>
      </c>
      <c r="AM356" t="s">
        <v>74</v>
      </c>
      <c r="AN356" t="s">
        <v>74</v>
      </c>
      <c r="AO356" t="s">
        <v>426</v>
      </c>
      <c r="AP356" t="s">
        <v>74</v>
      </c>
      <c r="AQ356" t="s">
        <v>74</v>
      </c>
      <c r="AR356" t="s">
        <v>74</v>
      </c>
      <c r="AS356" t="s">
        <v>74</v>
      </c>
      <c r="AT356" t="s">
        <v>3203</v>
      </c>
      <c r="AU356">
        <v>2023</v>
      </c>
      <c r="AV356">
        <v>6</v>
      </c>
      <c r="AW356">
        <v>8</v>
      </c>
      <c r="AX356" t="s">
        <v>74</v>
      </c>
      <c r="AY356" t="s">
        <v>74</v>
      </c>
      <c r="AZ356" t="s">
        <v>74</v>
      </c>
      <c r="BA356" t="s">
        <v>74</v>
      </c>
      <c r="BB356">
        <v>4271</v>
      </c>
      <c r="BC356">
        <v>4282</v>
      </c>
      <c r="BD356" t="s">
        <v>74</v>
      </c>
      <c r="BE356" t="s">
        <v>3204</v>
      </c>
      <c r="BF356" t="str">
        <f>HYPERLINK("http://dx.doi.org/10.1021/acsaem.3c00196","http://dx.doi.org/10.1021/acsaem.3c00196")</f>
        <v>http://dx.doi.org/10.1021/acsaem.3c00196</v>
      </c>
      <c r="BG356" t="s">
        <v>74</v>
      </c>
      <c r="BH356" t="s">
        <v>3115</v>
      </c>
      <c r="BI356" t="s">
        <v>74</v>
      </c>
      <c r="BJ356" t="s">
        <v>74</v>
      </c>
      <c r="BK356" t="s">
        <v>74</v>
      </c>
      <c r="BL356" t="s">
        <v>74</v>
      </c>
      <c r="BM356" t="s">
        <v>74</v>
      </c>
      <c r="BN356" t="s">
        <v>74</v>
      </c>
      <c r="BO356" t="s">
        <v>74</v>
      </c>
      <c r="BP356" t="s">
        <v>74</v>
      </c>
      <c r="BQ356" t="s">
        <v>74</v>
      </c>
      <c r="BR356" t="s">
        <v>74</v>
      </c>
      <c r="BS356" t="s">
        <v>3205</v>
      </c>
      <c r="BT356" t="str">
        <f>HYPERLINK("https%3A%2F%2Fwww.webofscience.com%2Fwos%2Fwoscc%2Ffull-record%2FWOS:000969182200001","View Full Record in Web of Science")</f>
        <v>View Full Record in Web of Science</v>
      </c>
    </row>
    <row r="357" spans="1:72" x14ac:dyDescent="0.2">
      <c r="A357" t="s">
        <v>72</v>
      </c>
      <c r="B357" t="s">
        <v>3206</v>
      </c>
      <c r="C357" t="s">
        <v>74</v>
      </c>
      <c r="D357" t="s">
        <v>74</v>
      </c>
      <c r="E357" t="s">
        <v>74</v>
      </c>
      <c r="F357" t="s">
        <v>3207</v>
      </c>
      <c r="G357" t="s">
        <v>74</v>
      </c>
      <c r="H357" t="s">
        <v>74</v>
      </c>
      <c r="I357" t="s">
        <v>3208</v>
      </c>
      <c r="J357" t="s">
        <v>2168</v>
      </c>
      <c r="K357" t="s">
        <v>74</v>
      </c>
      <c r="L357" t="s">
        <v>74</v>
      </c>
      <c r="M357" t="s">
        <v>74</v>
      </c>
      <c r="N357" t="s">
        <v>74</v>
      </c>
      <c r="O357" t="s">
        <v>74</v>
      </c>
      <c r="P357" t="s">
        <v>74</v>
      </c>
      <c r="Q357" t="s">
        <v>74</v>
      </c>
      <c r="R357" t="s">
        <v>74</v>
      </c>
      <c r="S357" t="s">
        <v>74</v>
      </c>
      <c r="T357" t="s">
        <v>74</v>
      </c>
      <c r="U357" t="s">
        <v>74</v>
      </c>
      <c r="V357" t="s">
        <v>3209</v>
      </c>
      <c r="W357" t="s">
        <v>74</v>
      </c>
      <c r="X357" t="s">
        <v>74</v>
      </c>
      <c r="Y357" t="s">
        <v>74</v>
      </c>
      <c r="Z357" t="s">
        <v>74</v>
      </c>
      <c r="AA357" t="s">
        <v>3210</v>
      </c>
      <c r="AB357" t="s">
        <v>3211</v>
      </c>
      <c r="AC357" t="s">
        <v>74</v>
      </c>
      <c r="AD357" t="s">
        <v>74</v>
      </c>
      <c r="AE357" t="s">
        <v>74</v>
      </c>
      <c r="AF357" t="s">
        <v>74</v>
      </c>
      <c r="AG357" t="s">
        <v>74</v>
      </c>
      <c r="AH357" t="s">
        <v>74</v>
      </c>
      <c r="AI357" t="s">
        <v>74</v>
      </c>
      <c r="AJ357" t="s">
        <v>74</v>
      </c>
      <c r="AK357" t="s">
        <v>74</v>
      </c>
      <c r="AL357" t="s">
        <v>74</v>
      </c>
      <c r="AM357" t="s">
        <v>74</v>
      </c>
      <c r="AN357" t="s">
        <v>74</v>
      </c>
      <c r="AO357" t="s">
        <v>2172</v>
      </c>
      <c r="AP357" t="s">
        <v>2173</v>
      </c>
      <c r="AQ357" t="s">
        <v>74</v>
      </c>
      <c r="AR357" t="s">
        <v>74</v>
      </c>
      <c r="AS357" t="s">
        <v>74</v>
      </c>
      <c r="AT357" t="s">
        <v>378</v>
      </c>
      <c r="AU357">
        <v>2023</v>
      </c>
      <c r="AV357">
        <v>571</v>
      </c>
      <c r="AW357" t="s">
        <v>74</v>
      </c>
      <c r="AX357" t="s">
        <v>74</v>
      </c>
      <c r="AY357" t="s">
        <v>74</v>
      </c>
      <c r="AZ357" t="s">
        <v>74</v>
      </c>
      <c r="BA357" t="s">
        <v>74</v>
      </c>
      <c r="BB357" t="s">
        <v>74</v>
      </c>
      <c r="BC357" t="s">
        <v>74</v>
      </c>
      <c r="BD357">
        <v>111911</v>
      </c>
      <c r="BE357" t="s">
        <v>3212</v>
      </c>
      <c r="BF357" t="str">
        <f>HYPERLINK("http://dx.doi.org/10.1016/j.chemphys.2023.111911","http://dx.doi.org/10.1016/j.chemphys.2023.111911")</f>
        <v>http://dx.doi.org/10.1016/j.chemphys.2023.111911</v>
      </c>
      <c r="BG357" t="s">
        <v>74</v>
      </c>
      <c r="BH357" t="s">
        <v>3115</v>
      </c>
      <c r="BI357" t="s">
        <v>74</v>
      </c>
      <c r="BJ357" t="s">
        <v>74</v>
      </c>
      <c r="BK357" t="s">
        <v>74</v>
      </c>
      <c r="BL357" t="s">
        <v>74</v>
      </c>
      <c r="BM357" t="s">
        <v>74</v>
      </c>
      <c r="BN357" t="s">
        <v>74</v>
      </c>
      <c r="BO357" t="s">
        <v>74</v>
      </c>
      <c r="BP357" t="s">
        <v>74</v>
      </c>
      <c r="BQ357" t="s">
        <v>74</v>
      </c>
      <c r="BR357" t="s">
        <v>74</v>
      </c>
      <c r="BS357" t="s">
        <v>3213</v>
      </c>
      <c r="BT357" t="str">
        <f>HYPERLINK("https%3A%2F%2Fwww.webofscience.com%2Fwos%2Fwoscc%2Ffull-record%2FWOS:001008969000001","View Full Record in Web of Science")</f>
        <v>View Full Record in Web of Science</v>
      </c>
    </row>
    <row r="358" spans="1:72" x14ac:dyDescent="0.2">
      <c r="A358" t="s">
        <v>72</v>
      </c>
      <c r="B358" t="s">
        <v>3214</v>
      </c>
      <c r="C358" t="s">
        <v>74</v>
      </c>
      <c r="D358" t="s">
        <v>74</v>
      </c>
      <c r="E358" t="s">
        <v>74</v>
      </c>
      <c r="F358" t="s">
        <v>3215</v>
      </c>
      <c r="G358" t="s">
        <v>74</v>
      </c>
      <c r="H358" t="s">
        <v>74</v>
      </c>
      <c r="I358" t="s">
        <v>3216</v>
      </c>
      <c r="J358" t="s">
        <v>3217</v>
      </c>
      <c r="K358" t="s">
        <v>74</v>
      </c>
      <c r="L358" t="s">
        <v>74</v>
      </c>
      <c r="M358" t="s">
        <v>74</v>
      </c>
      <c r="N358" t="s">
        <v>74</v>
      </c>
      <c r="O358" t="s">
        <v>74</v>
      </c>
      <c r="P358" t="s">
        <v>74</v>
      </c>
      <c r="Q358" t="s">
        <v>74</v>
      </c>
      <c r="R358" t="s">
        <v>74</v>
      </c>
      <c r="S358" t="s">
        <v>74</v>
      </c>
      <c r="T358" t="s">
        <v>74</v>
      </c>
      <c r="U358" t="s">
        <v>74</v>
      </c>
      <c r="V358" t="s">
        <v>3218</v>
      </c>
      <c r="W358" t="s">
        <v>74</v>
      </c>
      <c r="X358" t="s">
        <v>74</v>
      </c>
      <c r="Y358" t="s">
        <v>74</v>
      </c>
      <c r="Z358" t="s">
        <v>74</v>
      </c>
      <c r="AA358" t="s">
        <v>3219</v>
      </c>
      <c r="AB358" t="s">
        <v>3220</v>
      </c>
      <c r="AC358" t="s">
        <v>74</v>
      </c>
      <c r="AD358" t="s">
        <v>74</v>
      </c>
      <c r="AE358" t="s">
        <v>74</v>
      </c>
      <c r="AF358" t="s">
        <v>74</v>
      </c>
      <c r="AG358" t="s">
        <v>74</v>
      </c>
      <c r="AH358" t="s">
        <v>74</v>
      </c>
      <c r="AI358" t="s">
        <v>74</v>
      </c>
      <c r="AJ358" t="s">
        <v>74</v>
      </c>
      <c r="AK358" t="s">
        <v>74</v>
      </c>
      <c r="AL358" t="s">
        <v>74</v>
      </c>
      <c r="AM358" t="s">
        <v>74</v>
      </c>
      <c r="AN358" t="s">
        <v>74</v>
      </c>
      <c r="AO358" t="s">
        <v>74</v>
      </c>
      <c r="AP358" t="s">
        <v>3221</v>
      </c>
      <c r="AQ358" t="s">
        <v>74</v>
      </c>
      <c r="AR358" t="s">
        <v>74</v>
      </c>
      <c r="AS358" t="s">
        <v>74</v>
      </c>
      <c r="AT358" t="s">
        <v>670</v>
      </c>
      <c r="AU358">
        <v>2023</v>
      </c>
      <c r="AV358">
        <v>3</v>
      </c>
      <c r="AW358">
        <v>2</v>
      </c>
      <c r="AX358" t="s">
        <v>74</v>
      </c>
      <c r="AY358" t="s">
        <v>74</v>
      </c>
      <c r="AZ358" t="s">
        <v>74</v>
      </c>
      <c r="BA358" t="s">
        <v>74</v>
      </c>
      <c r="BB358" t="s">
        <v>74</v>
      </c>
      <c r="BC358" t="s">
        <v>74</v>
      </c>
      <c r="BD358">
        <v>100096</v>
      </c>
      <c r="BE358" t="s">
        <v>3222</v>
      </c>
      <c r="BF358" t="str">
        <f>HYPERLINK("http://dx.doi.org/10.1016/j.esci.2023.100096","http://dx.doi.org/10.1016/j.esci.2023.100096")</f>
        <v>http://dx.doi.org/10.1016/j.esci.2023.100096</v>
      </c>
      <c r="BG358" t="s">
        <v>74</v>
      </c>
      <c r="BH358" t="s">
        <v>74</v>
      </c>
      <c r="BI358" t="s">
        <v>74</v>
      </c>
      <c r="BJ358" t="s">
        <v>74</v>
      </c>
      <c r="BK358" t="s">
        <v>74</v>
      </c>
      <c r="BL358" t="s">
        <v>74</v>
      </c>
      <c r="BM358" t="s">
        <v>74</v>
      </c>
      <c r="BN358" t="s">
        <v>74</v>
      </c>
      <c r="BO358" t="s">
        <v>74</v>
      </c>
      <c r="BP358" t="s">
        <v>74</v>
      </c>
      <c r="BQ358" t="s">
        <v>74</v>
      </c>
      <c r="BR358" t="s">
        <v>74</v>
      </c>
      <c r="BS358" t="s">
        <v>3223</v>
      </c>
      <c r="BT358" t="str">
        <f>HYPERLINK("https%3A%2F%2Fwww.webofscience.com%2Fwos%2Fwoscc%2Ffull-record%2FWOS:001083401000001","View Full Record in Web of Science")</f>
        <v>View Full Record in Web of Science</v>
      </c>
    </row>
    <row r="359" spans="1:72" x14ac:dyDescent="0.2">
      <c r="A359" t="s">
        <v>72</v>
      </c>
      <c r="B359" t="s">
        <v>3224</v>
      </c>
      <c r="C359" t="s">
        <v>74</v>
      </c>
      <c r="D359" t="s">
        <v>74</v>
      </c>
      <c r="E359" t="s">
        <v>74</v>
      </c>
      <c r="F359" t="s">
        <v>3225</v>
      </c>
      <c r="G359" t="s">
        <v>74</v>
      </c>
      <c r="H359" t="s">
        <v>74</v>
      </c>
      <c r="I359" t="s">
        <v>3226</v>
      </c>
      <c r="J359" t="s">
        <v>2200</v>
      </c>
      <c r="K359" t="s">
        <v>74</v>
      </c>
      <c r="L359" t="s">
        <v>74</v>
      </c>
      <c r="M359" t="s">
        <v>74</v>
      </c>
      <c r="N359" t="s">
        <v>74</v>
      </c>
      <c r="O359" t="s">
        <v>74</v>
      </c>
      <c r="P359" t="s">
        <v>74</v>
      </c>
      <c r="Q359" t="s">
        <v>74</v>
      </c>
      <c r="R359" t="s">
        <v>74</v>
      </c>
      <c r="S359" t="s">
        <v>74</v>
      </c>
      <c r="T359" t="s">
        <v>74</v>
      </c>
      <c r="U359" t="s">
        <v>74</v>
      </c>
      <c r="V359" t="s">
        <v>3227</v>
      </c>
      <c r="W359" t="s">
        <v>74</v>
      </c>
      <c r="X359" t="s">
        <v>74</v>
      </c>
      <c r="Y359" t="s">
        <v>74</v>
      </c>
      <c r="Z359" t="s">
        <v>74</v>
      </c>
      <c r="AA359" t="s">
        <v>3228</v>
      </c>
      <c r="AB359" t="s">
        <v>3229</v>
      </c>
      <c r="AC359" t="s">
        <v>74</v>
      </c>
      <c r="AD359" t="s">
        <v>74</v>
      </c>
      <c r="AE359" t="s">
        <v>74</v>
      </c>
      <c r="AF359" t="s">
        <v>74</v>
      </c>
      <c r="AG359" t="s">
        <v>74</v>
      </c>
      <c r="AH359" t="s">
        <v>74</v>
      </c>
      <c r="AI359" t="s">
        <v>74</v>
      </c>
      <c r="AJ359" t="s">
        <v>74</v>
      </c>
      <c r="AK359" t="s">
        <v>74</v>
      </c>
      <c r="AL359" t="s">
        <v>74</v>
      </c>
      <c r="AM359" t="s">
        <v>74</v>
      </c>
      <c r="AN359" t="s">
        <v>74</v>
      </c>
      <c r="AO359" t="s">
        <v>74</v>
      </c>
      <c r="AP359" t="s">
        <v>2204</v>
      </c>
      <c r="AQ359" t="s">
        <v>74</v>
      </c>
      <c r="AR359" t="s">
        <v>74</v>
      </c>
      <c r="AS359" t="s">
        <v>74</v>
      </c>
      <c r="AT359" t="s">
        <v>92</v>
      </c>
      <c r="AU359">
        <v>2023</v>
      </c>
      <c r="AV359">
        <v>5</v>
      </c>
      <c r="AW359">
        <v>11</v>
      </c>
      <c r="AX359" t="s">
        <v>74</v>
      </c>
      <c r="AY359" t="s">
        <v>74</v>
      </c>
      <c r="AZ359" t="s">
        <v>74</v>
      </c>
      <c r="BA359" t="s">
        <v>74</v>
      </c>
      <c r="BB359" t="s">
        <v>74</v>
      </c>
      <c r="BC359" t="s">
        <v>74</v>
      </c>
      <c r="BD359" t="s">
        <v>74</v>
      </c>
      <c r="BE359" t="s">
        <v>3230</v>
      </c>
      <c r="BF359" t="str">
        <f>HYPERLINK("http://dx.doi.org/10.1002/cey2.352","http://dx.doi.org/10.1002/cey2.352")</f>
        <v>http://dx.doi.org/10.1002/cey2.352</v>
      </c>
      <c r="BG359" t="s">
        <v>74</v>
      </c>
      <c r="BH359" t="s">
        <v>3231</v>
      </c>
      <c r="BI359" t="s">
        <v>74</v>
      </c>
      <c r="BJ359" t="s">
        <v>74</v>
      </c>
      <c r="BK359" t="s">
        <v>74</v>
      </c>
      <c r="BL359" t="s">
        <v>74</v>
      </c>
      <c r="BM359" t="s">
        <v>74</v>
      </c>
      <c r="BN359" t="s">
        <v>74</v>
      </c>
      <c r="BO359" t="s">
        <v>74</v>
      </c>
      <c r="BP359" t="s">
        <v>74</v>
      </c>
      <c r="BQ359" t="s">
        <v>74</v>
      </c>
      <c r="BR359" t="s">
        <v>74</v>
      </c>
      <c r="BS359" t="s">
        <v>3232</v>
      </c>
      <c r="BT359" t="str">
        <f>HYPERLINK("https%3A%2F%2Fwww.webofscience.com%2Fwos%2Fwoscc%2Ffull-record%2FWOS:000952536900001","View Full Record in Web of Science")</f>
        <v>View Full Record in Web of Science</v>
      </c>
    </row>
    <row r="360" spans="1:72" x14ac:dyDescent="0.2">
      <c r="A360" t="s">
        <v>72</v>
      </c>
      <c r="B360" t="s">
        <v>3233</v>
      </c>
      <c r="C360" t="s">
        <v>74</v>
      </c>
      <c r="D360" t="s">
        <v>74</v>
      </c>
      <c r="E360" t="s">
        <v>74</v>
      </c>
      <c r="F360" t="s">
        <v>3234</v>
      </c>
      <c r="G360" t="s">
        <v>74</v>
      </c>
      <c r="H360" t="s">
        <v>74</v>
      </c>
      <c r="I360" t="s">
        <v>3235</v>
      </c>
      <c r="J360" t="s">
        <v>352</v>
      </c>
      <c r="K360" t="s">
        <v>74</v>
      </c>
      <c r="L360" t="s">
        <v>74</v>
      </c>
      <c r="M360" t="s">
        <v>74</v>
      </c>
      <c r="N360" t="s">
        <v>74</v>
      </c>
      <c r="O360" t="s">
        <v>74</v>
      </c>
      <c r="P360" t="s">
        <v>74</v>
      </c>
      <c r="Q360" t="s">
        <v>74</v>
      </c>
      <c r="R360" t="s">
        <v>74</v>
      </c>
      <c r="S360" t="s">
        <v>74</v>
      </c>
      <c r="T360" t="s">
        <v>74</v>
      </c>
      <c r="U360" t="s">
        <v>74</v>
      </c>
      <c r="V360" t="s">
        <v>3236</v>
      </c>
      <c r="W360" t="s">
        <v>74</v>
      </c>
      <c r="X360" t="s">
        <v>74</v>
      </c>
      <c r="Y360" t="s">
        <v>74</v>
      </c>
      <c r="Z360" t="s">
        <v>74</v>
      </c>
      <c r="AA360" t="s">
        <v>3237</v>
      </c>
      <c r="AB360" t="s">
        <v>3238</v>
      </c>
      <c r="AC360" t="s">
        <v>74</v>
      </c>
      <c r="AD360" t="s">
        <v>74</v>
      </c>
      <c r="AE360" t="s">
        <v>74</v>
      </c>
      <c r="AF360" t="s">
        <v>74</v>
      </c>
      <c r="AG360" t="s">
        <v>74</v>
      </c>
      <c r="AH360" t="s">
        <v>74</v>
      </c>
      <c r="AI360" t="s">
        <v>74</v>
      </c>
      <c r="AJ360" t="s">
        <v>74</v>
      </c>
      <c r="AK360" t="s">
        <v>74</v>
      </c>
      <c r="AL360" t="s">
        <v>74</v>
      </c>
      <c r="AM360" t="s">
        <v>74</v>
      </c>
      <c r="AN360" t="s">
        <v>74</v>
      </c>
      <c r="AO360" t="s">
        <v>354</v>
      </c>
      <c r="AP360" t="s">
        <v>355</v>
      </c>
      <c r="AQ360" t="s">
        <v>74</v>
      </c>
      <c r="AR360" t="s">
        <v>74</v>
      </c>
      <c r="AS360" t="s">
        <v>74</v>
      </c>
      <c r="AT360" t="s">
        <v>670</v>
      </c>
      <c r="AU360">
        <v>2023</v>
      </c>
      <c r="AV360">
        <v>13</v>
      </c>
      <c r="AW360">
        <v>15</v>
      </c>
      <c r="AX360" t="s">
        <v>74</v>
      </c>
      <c r="AY360" t="s">
        <v>74</v>
      </c>
      <c r="AZ360" t="s">
        <v>74</v>
      </c>
      <c r="BA360" t="s">
        <v>74</v>
      </c>
      <c r="BB360" t="s">
        <v>74</v>
      </c>
      <c r="BC360" t="s">
        <v>74</v>
      </c>
      <c r="BD360" t="s">
        <v>74</v>
      </c>
      <c r="BE360" t="s">
        <v>3239</v>
      </c>
      <c r="BF360" t="str">
        <f>HYPERLINK("http://dx.doi.org/10.1002/aenm.202203326","http://dx.doi.org/10.1002/aenm.202203326")</f>
        <v>http://dx.doi.org/10.1002/aenm.202203326</v>
      </c>
      <c r="BG360" t="s">
        <v>74</v>
      </c>
      <c r="BH360" t="s">
        <v>3231</v>
      </c>
      <c r="BI360" t="s">
        <v>74</v>
      </c>
      <c r="BJ360" t="s">
        <v>74</v>
      </c>
      <c r="BK360" t="s">
        <v>74</v>
      </c>
      <c r="BL360" t="s">
        <v>74</v>
      </c>
      <c r="BM360" t="s">
        <v>74</v>
      </c>
      <c r="BN360" t="s">
        <v>74</v>
      </c>
      <c r="BO360" t="s">
        <v>74</v>
      </c>
      <c r="BP360" t="s">
        <v>74</v>
      </c>
      <c r="BQ360" t="s">
        <v>74</v>
      </c>
      <c r="BR360" t="s">
        <v>74</v>
      </c>
      <c r="BS360" t="s">
        <v>3240</v>
      </c>
      <c r="BT360" t="str">
        <f>HYPERLINK("https%3A%2F%2Fwww.webofscience.com%2Fwos%2Fwoscc%2Ffull-record%2FWOS:000947031300001","View Full Record in Web of Science")</f>
        <v>View Full Record in Web of Science</v>
      </c>
    </row>
    <row r="361" spans="1:72" x14ac:dyDescent="0.2">
      <c r="A361" t="s">
        <v>72</v>
      </c>
      <c r="B361" t="s">
        <v>3241</v>
      </c>
      <c r="C361" t="s">
        <v>74</v>
      </c>
      <c r="D361" t="s">
        <v>74</v>
      </c>
      <c r="E361" t="s">
        <v>74</v>
      </c>
      <c r="F361" t="s">
        <v>3242</v>
      </c>
      <c r="G361" t="s">
        <v>74</v>
      </c>
      <c r="H361" t="s">
        <v>74</v>
      </c>
      <c r="I361" t="s">
        <v>3243</v>
      </c>
      <c r="J361" t="s">
        <v>231</v>
      </c>
      <c r="K361" t="s">
        <v>74</v>
      </c>
      <c r="L361" t="s">
        <v>74</v>
      </c>
      <c r="M361" t="s">
        <v>74</v>
      </c>
      <c r="N361" t="s">
        <v>74</v>
      </c>
      <c r="O361" t="s">
        <v>74</v>
      </c>
      <c r="P361" t="s">
        <v>74</v>
      </c>
      <c r="Q361" t="s">
        <v>74</v>
      </c>
      <c r="R361" t="s">
        <v>74</v>
      </c>
      <c r="S361" t="s">
        <v>74</v>
      </c>
      <c r="T361" t="s">
        <v>74</v>
      </c>
      <c r="U361" t="s">
        <v>74</v>
      </c>
      <c r="V361" t="s">
        <v>3244</v>
      </c>
      <c r="W361" t="s">
        <v>74</v>
      </c>
      <c r="X361" t="s">
        <v>74</v>
      </c>
      <c r="Y361" t="s">
        <v>74</v>
      </c>
      <c r="Z361" t="s">
        <v>74</v>
      </c>
      <c r="AA361" t="s">
        <v>3245</v>
      </c>
      <c r="AB361" t="s">
        <v>3246</v>
      </c>
      <c r="AC361" t="s">
        <v>74</v>
      </c>
      <c r="AD361" t="s">
        <v>74</v>
      </c>
      <c r="AE361" t="s">
        <v>74</v>
      </c>
      <c r="AF361" t="s">
        <v>74</v>
      </c>
      <c r="AG361" t="s">
        <v>74</v>
      </c>
      <c r="AH361" t="s">
        <v>74</v>
      </c>
      <c r="AI361" t="s">
        <v>74</v>
      </c>
      <c r="AJ361" t="s">
        <v>74</v>
      </c>
      <c r="AK361" t="s">
        <v>74</v>
      </c>
      <c r="AL361" t="s">
        <v>74</v>
      </c>
      <c r="AM361" t="s">
        <v>74</v>
      </c>
      <c r="AN361" t="s">
        <v>74</v>
      </c>
      <c r="AO361" t="s">
        <v>1363</v>
      </c>
      <c r="AP361" t="s">
        <v>234</v>
      </c>
      <c r="AQ361" t="s">
        <v>74</v>
      </c>
      <c r="AR361" t="s">
        <v>74</v>
      </c>
      <c r="AS361" t="s">
        <v>74</v>
      </c>
      <c r="AT361" t="s">
        <v>3247</v>
      </c>
      <c r="AU361">
        <v>2023</v>
      </c>
      <c r="AV361">
        <v>62</v>
      </c>
      <c r="AW361">
        <v>14</v>
      </c>
      <c r="AX361" t="s">
        <v>74</v>
      </c>
      <c r="AY361" t="s">
        <v>74</v>
      </c>
      <c r="AZ361" t="s">
        <v>74</v>
      </c>
      <c r="BA361" t="s">
        <v>74</v>
      </c>
      <c r="BB361" t="s">
        <v>74</v>
      </c>
      <c r="BC361" t="s">
        <v>74</v>
      </c>
      <c r="BD361" t="s">
        <v>3248</v>
      </c>
      <c r="BE361" t="s">
        <v>3249</v>
      </c>
      <c r="BF361" t="str">
        <f>HYPERLINK("http://dx.doi.org/10.1002/anie.202217709","http://dx.doi.org/10.1002/anie.202217709")</f>
        <v>http://dx.doi.org/10.1002/anie.202217709</v>
      </c>
      <c r="BG361" t="s">
        <v>74</v>
      </c>
      <c r="BH361" t="s">
        <v>3250</v>
      </c>
      <c r="BI361" t="s">
        <v>74</v>
      </c>
      <c r="BJ361" t="s">
        <v>74</v>
      </c>
      <c r="BK361" t="s">
        <v>74</v>
      </c>
      <c r="BL361" t="s">
        <v>74</v>
      </c>
      <c r="BM361" t="s">
        <v>74</v>
      </c>
      <c r="BN361">
        <v>36744698</v>
      </c>
      <c r="BO361" t="s">
        <v>74</v>
      </c>
      <c r="BP361" t="s">
        <v>74</v>
      </c>
      <c r="BQ361" t="s">
        <v>74</v>
      </c>
      <c r="BR361" t="s">
        <v>74</v>
      </c>
      <c r="BS361" t="s">
        <v>3251</v>
      </c>
      <c r="BT361" t="str">
        <f>HYPERLINK("https%3A%2F%2Fwww.webofscience.com%2Fwos%2Fwoscc%2Ffull-record%2FWOS:000935845600001","View Full Record in Web of Science")</f>
        <v>View Full Record in Web of Science</v>
      </c>
    </row>
    <row r="362" spans="1:72" x14ac:dyDescent="0.2">
      <c r="A362" t="s">
        <v>72</v>
      </c>
      <c r="B362" t="s">
        <v>3252</v>
      </c>
      <c r="C362" t="s">
        <v>74</v>
      </c>
      <c r="D362" t="s">
        <v>74</v>
      </c>
      <c r="E362" t="s">
        <v>74</v>
      </c>
      <c r="F362" t="s">
        <v>3253</v>
      </c>
      <c r="G362" t="s">
        <v>74</v>
      </c>
      <c r="H362" t="s">
        <v>74</v>
      </c>
      <c r="I362" t="s">
        <v>3254</v>
      </c>
      <c r="J362" t="s">
        <v>161</v>
      </c>
      <c r="K362" t="s">
        <v>74</v>
      </c>
      <c r="L362" t="s">
        <v>74</v>
      </c>
      <c r="M362" t="s">
        <v>74</v>
      </c>
      <c r="N362" t="s">
        <v>74</v>
      </c>
      <c r="O362" t="s">
        <v>74</v>
      </c>
      <c r="P362" t="s">
        <v>74</v>
      </c>
      <c r="Q362" t="s">
        <v>74</v>
      </c>
      <c r="R362" t="s">
        <v>74</v>
      </c>
      <c r="S362" t="s">
        <v>74</v>
      </c>
      <c r="T362" t="s">
        <v>74</v>
      </c>
      <c r="U362" t="s">
        <v>74</v>
      </c>
      <c r="V362" t="s">
        <v>3255</v>
      </c>
      <c r="W362" t="s">
        <v>74</v>
      </c>
      <c r="X362" t="s">
        <v>74</v>
      </c>
      <c r="Y362" t="s">
        <v>74</v>
      </c>
      <c r="Z362" t="s">
        <v>74</v>
      </c>
      <c r="AA362" t="s">
        <v>3256</v>
      </c>
      <c r="AB362" t="s">
        <v>3257</v>
      </c>
      <c r="AC362" t="s">
        <v>74</v>
      </c>
      <c r="AD362" t="s">
        <v>74</v>
      </c>
      <c r="AE362" t="s">
        <v>74</v>
      </c>
      <c r="AF362" t="s">
        <v>74</v>
      </c>
      <c r="AG362" t="s">
        <v>74</v>
      </c>
      <c r="AH362" t="s">
        <v>74</v>
      </c>
      <c r="AI362" t="s">
        <v>74</v>
      </c>
      <c r="AJ362" t="s">
        <v>74</v>
      </c>
      <c r="AK362" t="s">
        <v>74</v>
      </c>
      <c r="AL362" t="s">
        <v>74</v>
      </c>
      <c r="AM362" t="s">
        <v>74</v>
      </c>
      <c r="AN362" t="s">
        <v>74</v>
      </c>
      <c r="AO362" t="s">
        <v>163</v>
      </c>
      <c r="AP362" t="s">
        <v>164</v>
      </c>
      <c r="AQ362" t="s">
        <v>74</v>
      </c>
      <c r="AR362" t="s">
        <v>74</v>
      </c>
      <c r="AS362" t="s">
        <v>74</v>
      </c>
      <c r="AT362" t="s">
        <v>910</v>
      </c>
      <c r="AU362">
        <v>2023</v>
      </c>
      <c r="AV362">
        <v>461</v>
      </c>
      <c r="AW362" t="s">
        <v>74</v>
      </c>
      <c r="AX362" t="s">
        <v>74</v>
      </c>
      <c r="AY362" t="s">
        <v>74</v>
      </c>
      <c r="AZ362" t="s">
        <v>74</v>
      </c>
      <c r="BA362" t="s">
        <v>74</v>
      </c>
      <c r="BB362" t="s">
        <v>74</v>
      </c>
      <c r="BC362" t="s">
        <v>74</v>
      </c>
      <c r="BD362">
        <v>141901</v>
      </c>
      <c r="BE362" t="s">
        <v>3258</v>
      </c>
      <c r="BF362" t="str">
        <f>HYPERLINK("http://dx.doi.org/10.1016/j.cej.2023.141901","http://dx.doi.org/10.1016/j.cej.2023.141901")</f>
        <v>http://dx.doi.org/10.1016/j.cej.2023.141901</v>
      </c>
      <c r="BG362" t="s">
        <v>74</v>
      </c>
      <c r="BH362" t="s">
        <v>3250</v>
      </c>
      <c r="BI362" t="s">
        <v>74</v>
      </c>
      <c r="BJ362" t="s">
        <v>74</v>
      </c>
      <c r="BK362" t="s">
        <v>74</v>
      </c>
      <c r="BL362" t="s">
        <v>74</v>
      </c>
      <c r="BM362" t="s">
        <v>74</v>
      </c>
      <c r="BN362" t="s">
        <v>74</v>
      </c>
      <c r="BO362" t="s">
        <v>74</v>
      </c>
      <c r="BP362" t="s">
        <v>74</v>
      </c>
      <c r="BQ362" t="s">
        <v>74</v>
      </c>
      <c r="BR362" t="s">
        <v>74</v>
      </c>
      <c r="BS362" t="s">
        <v>3259</v>
      </c>
      <c r="BT362" t="str">
        <f>HYPERLINK("https%3A%2F%2Fwww.webofscience.com%2Fwos%2Fwoscc%2Ffull-record%2FWOS:000938282500001","View Full Record in Web of Science")</f>
        <v>View Full Record in Web of Science</v>
      </c>
    </row>
    <row r="363" spans="1:72" x14ac:dyDescent="0.2">
      <c r="A363" t="s">
        <v>72</v>
      </c>
      <c r="B363" t="s">
        <v>3260</v>
      </c>
      <c r="C363" t="s">
        <v>74</v>
      </c>
      <c r="D363" t="s">
        <v>74</v>
      </c>
      <c r="E363" t="s">
        <v>74</v>
      </c>
      <c r="F363" t="s">
        <v>3261</v>
      </c>
      <c r="G363" t="s">
        <v>74</v>
      </c>
      <c r="H363" t="s">
        <v>74</v>
      </c>
      <c r="I363" t="s">
        <v>3262</v>
      </c>
      <c r="J363" t="s">
        <v>3263</v>
      </c>
      <c r="K363" t="s">
        <v>74</v>
      </c>
      <c r="L363" t="s">
        <v>74</v>
      </c>
      <c r="M363" t="s">
        <v>74</v>
      </c>
      <c r="N363" t="s">
        <v>74</v>
      </c>
      <c r="O363" t="s">
        <v>74</v>
      </c>
      <c r="P363" t="s">
        <v>74</v>
      </c>
      <c r="Q363" t="s">
        <v>74</v>
      </c>
      <c r="R363" t="s">
        <v>74</v>
      </c>
      <c r="S363" t="s">
        <v>74</v>
      </c>
      <c r="T363" t="s">
        <v>74</v>
      </c>
      <c r="U363" t="s">
        <v>74</v>
      </c>
      <c r="V363" t="s">
        <v>3264</v>
      </c>
      <c r="W363" t="s">
        <v>74</v>
      </c>
      <c r="X363" t="s">
        <v>74</v>
      </c>
      <c r="Y363" t="s">
        <v>74</v>
      </c>
      <c r="Z363" t="s">
        <v>74</v>
      </c>
      <c r="AA363" t="s">
        <v>3265</v>
      </c>
      <c r="AB363" t="s">
        <v>74</v>
      </c>
      <c r="AC363" t="s">
        <v>74</v>
      </c>
      <c r="AD363" t="s">
        <v>74</v>
      </c>
      <c r="AE363" t="s">
        <v>74</v>
      </c>
      <c r="AF363" t="s">
        <v>74</v>
      </c>
      <c r="AG363" t="s">
        <v>74</v>
      </c>
      <c r="AH363" t="s">
        <v>74</v>
      </c>
      <c r="AI363" t="s">
        <v>74</v>
      </c>
      <c r="AJ363" t="s">
        <v>74</v>
      </c>
      <c r="AK363" t="s">
        <v>74</v>
      </c>
      <c r="AL363" t="s">
        <v>74</v>
      </c>
      <c r="AM363" t="s">
        <v>74</v>
      </c>
      <c r="AN363" t="s">
        <v>74</v>
      </c>
      <c r="AO363" t="s">
        <v>3266</v>
      </c>
      <c r="AP363" t="s">
        <v>74</v>
      </c>
      <c r="AQ363" t="s">
        <v>74</v>
      </c>
      <c r="AR363" t="s">
        <v>74</v>
      </c>
      <c r="AS363" t="s">
        <v>74</v>
      </c>
      <c r="AT363" t="s">
        <v>1154</v>
      </c>
      <c r="AU363">
        <v>2023</v>
      </c>
      <c r="AV363">
        <v>11</v>
      </c>
      <c r="AW363">
        <v>2</v>
      </c>
      <c r="AX363" t="s">
        <v>74</v>
      </c>
      <c r="AY363" t="s">
        <v>74</v>
      </c>
      <c r="AZ363" t="s">
        <v>74</v>
      </c>
      <c r="BA363" t="s">
        <v>74</v>
      </c>
      <c r="BB363" t="s">
        <v>74</v>
      </c>
      <c r="BC363" t="s">
        <v>74</v>
      </c>
      <c r="BD363">
        <v>20901</v>
      </c>
      <c r="BE363" t="s">
        <v>3267</v>
      </c>
      <c r="BF363" t="str">
        <f>HYPERLINK("http://dx.doi.org/10.1063/5.0128738","http://dx.doi.org/10.1063/5.0128738")</f>
        <v>http://dx.doi.org/10.1063/5.0128738</v>
      </c>
      <c r="BG363" t="s">
        <v>74</v>
      </c>
      <c r="BH363" t="s">
        <v>74</v>
      </c>
      <c r="BI363" t="s">
        <v>74</v>
      </c>
      <c r="BJ363" t="s">
        <v>74</v>
      </c>
      <c r="BK363" t="s">
        <v>74</v>
      </c>
      <c r="BL363" t="s">
        <v>74</v>
      </c>
      <c r="BM363" t="s">
        <v>74</v>
      </c>
      <c r="BN363" t="s">
        <v>74</v>
      </c>
      <c r="BO363" t="s">
        <v>74</v>
      </c>
      <c r="BP363" t="s">
        <v>74</v>
      </c>
      <c r="BQ363" t="s">
        <v>74</v>
      </c>
      <c r="BR363" t="s">
        <v>74</v>
      </c>
      <c r="BS363" t="s">
        <v>3268</v>
      </c>
      <c r="BT363" t="str">
        <f>HYPERLINK("https%3A%2F%2Fwww.webofscience.com%2Fwos%2Fwoscc%2Ffull-record%2FWOS:000933626500001","View Full Record in Web of Science")</f>
        <v>View Full Record in Web of Science</v>
      </c>
    </row>
    <row r="364" spans="1:72" x14ac:dyDescent="0.2">
      <c r="A364" t="s">
        <v>72</v>
      </c>
      <c r="B364" t="s">
        <v>3269</v>
      </c>
      <c r="C364" t="s">
        <v>74</v>
      </c>
      <c r="D364" t="s">
        <v>74</v>
      </c>
      <c r="E364" t="s">
        <v>74</v>
      </c>
      <c r="F364" t="s">
        <v>3270</v>
      </c>
      <c r="G364" t="s">
        <v>74</v>
      </c>
      <c r="H364" t="s">
        <v>74</v>
      </c>
      <c r="I364" t="s">
        <v>3271</v>
      </c>
      <c r="J364" t="s">
        <v>171</v>
      </c>
      <c r="K364" t="s">
        <v>74</v>
      </c>
      <c r="L364" t="s">
        <v>74</v>
      </c>
      <c r="M364" t="s">
        <v>74</v>
      </c>
      <c r="N364" t="s">
        <v>74</v>
      </c>
      <c r="O364" t="s">
        <v>74</v>
      </c>
      <c r="P364" t="s">
        <v>74</v>
      </c>
      <c r="Q364" t="s">
        <v>74</v>
      </c>
      <c r="R364" t="s">
        <v>74</v>
      </c>
      <c r="S364" t="s">
        <v>74</v>
      </c>
      <c r="T364" t="s">
        <v>74</v>
      </c>
      <c r="U364" t="s">
        <v>74</v>
      </c>
      <c r="V364" t="s">
        <v>3272</v>
      </c>
      <c r="W364" t="s">
        <v>74</v>
      </c>
      <c r="X364" t="s">
        <v>74</v>
      </c>
      <c r="Y364" t="s">
        <v>74</v>
      </c>
      <c r="Z364" t="s">
        <v>74</v>
      </c>
      <c r="AA364" t="s">
        <v>3273</v>
      </c>
      <c r="AB364" t="s">
        <v>74</v>
      </c>
      <c r="AC364" t="s">
        <v>74</v>
      </c>
      <c r="AD364" t="s">
        <v>74</v>
      </c>
      <c r="AE364" t="s">
        <v>74</v>
      </c>
      <c r="AF364" t="s">
        <v>74</v>
      </c>
      <c r="AG364" t="s">
        <v>74</v>
      </c>
      <c r="AH364" t="s">
        <v>74</v>
      </c>
      <c r="AI364" t="s">
        <v>74</v>
      </c>
      <c r="AJ364" t="s">
        <v>74</v>
      </c>
      <c r="AK364" t="s">
        <v>74</v>
      </c>
      <c r="AL364" t="s">
        <v>74</v>
      </c>
      <c r="AM364" t="s">
        <v>74</v>
      </c>
      <c r="AN364" t="s">
        <v>74</v>
      </c>
      <c r="AO364" t="s">
        <v>173</v>
      </c>
      <c r="AP364" t="s">
        <v>174</v>
      </c>
      <c r="AQ364" t="s">
        <v>74</v>
      </c>
      <c r="AR364" t="s">
        <v>74</v>
      </c>
      <c r="AS364" t="s">
        <v>74</v>
      </c>
      <c r="AT364" t="s">
        <v>545</v>
      </c>
      <c r="AU364">
        <v>2023</v>
      </c>
      <c r="AV364">
        <v>637</v>
      </c>
      <c r="AW364" t="s">
        <v>74</v>
      </c>
      <c r="AX364" t="s">
        <v>74</v>
      </c>
      <c r="AY364" t="s">
        <v>74</v>
      </c>
      <c r="AZ364" t="s">
        <v>74</v>
      </c>
      <c r="BA364" t="s">
        <v>74</v>
      </c>
      <c r="BB364">
        <v>291</v>
      </c>
      <c r="BC364">
        <v>304</v>
      </c>
      <c r="BD364" t="s">
        <v>74</v>
      </c>
      <c r="BE364" t="s">
        <v>3274</v>
      </c>
      <c r="BF364" t="str">
        <f>HYPERLINK("http://dx.doi.org/10.1016/j.jcis.2023.01.065","http://dx.doi.org/10.1016/j.jcis.2023.01.065")</f>
        <v>http://dx.doi.org/10.1016/j.jcis.2023.01.065</v>
      </c>
      <c r="BG364" t="s">
        <v>74</v>
      </c>
      <c r="BH364" t="s">
        <v>3275</v>
      </c>
      <c r="BI364" t="s">
        <v>74</v>
      </c>
      <c r="BJ364" t="s">
        <v>74</v>
      </c>
      <c r="BK364" t="s">
        <v>74</v>
      </c>
      <c r="BL364" t="s">
        <v>74</v>
      </c>
      <c r="BM364" t="s">
        <v>74</v>
      </c>
      <c r="BN364">
        <v>36706725</v>
      </c>
      <c r="BO364" t="s">
        <v>74</v>
      </c>
      <c r="BP364" t="s">
        <v>74</v>
      </c>
      <c r="BQ364" t="s">
        <v>74</v>
      </c>
      <c r="BR364" t="s">
        <v>74</v>
      </c>
      <c r="BS364" t="s">
        <v>3276</v>
      </c>
      <c r="BT364" t="str">
        <f>HYPERLINK("https%3A%2F%2Fwww.webofscience.com%2Fwos%2Fwoscc%2Ffull-record%2FWOS:000926418700001","View Full Record in Web of Science")</f>
        <v>View Full Record in Web of Science</v>
      </c>
    </row>
    <row r="365" spans="1:72" x14ac:dyDescent="0.2">
      <c r="A365" t="s">
        <v>72</v>
      </c>
      <c r="B365" t="s">
        <v>3277</v>
      </c>
      <c r="C365" t="s">
        <v>74</v>
      </c>
      <c r="D365" t="s">
        <v>74</v>
      </c>
      <c r="E365" t="s">
        <v>74</v>
      </c>
      <c r="F365" t="s">
        <v>3278</v>
      </c>
      <c r="G365" t="s">
        <v>74</v>
      </c>
      <c r="H365" t="s">
        <v>74</v>
      </c>
      <c r="I365" t="s">
        <v>3279</v>
      </c>
      <c r="J365" t="s">
        <v>231</v>
      </c>
      <c r="K365" t="s">
        <v>74</v>
      </c>
      <c r="L365" t="s">
        <v>74</v>
      </c>
      <c r="M365" t="s">
        <v>74</v>
      </c>
      <c r="N365" t="s">
        <v>74</v>
      </c>
      <c r="O365" t="s">
        <v>74</v>
      </c>
      <c r="P365" t="s">
        <v>74</v>
      </c>
      <c r="Q365" t="s">
        <v>74</v>
      </c>
      <c r="R365" t="s">
        <v>74</v>
      </c>
      <c r="S365" t="s">
        <v>74</v>
      </c>
      <c r="T365" t="s">
        <v>74</v>
      </c>
      <c r="U365" t="s">
        <v>74</v>
      </c>
      <c r="V365" t="s">
        <v>3280</v>
      </c>
      <c r="W365" t="s">
        <v>74</v>
      </c>
      <c r="X365" t="s">
        <v>74</v>
      </c>
      <c r="Y365" t="s">
        <v>74</v>
      </c>
      <c r="Z365" t="s">
        <v>74</v>
      </c>
      <c r="AA365" t="s">
        <v>3281</v>
      </c>
      <c r="AB365" t="s">
        <v>3282</v>
      </c>
      <c r="AC365" t="s">
        <v>74</v>
      </c>
      <c r="AD365" t="s">
        <v>74</v>
      </c>
      <c r="AE365" t="s">
        <v>74</v>
      </c>
      <c r="AF365" t="s">
        <v>74</v>
      </c>
      <c r="AG365" t="s">
        <v>74</v>
      </c>
      <c r="AH365" t="s">
        <v>74</v>
      </c>
      <c r="AI365" t="s">
        <v>74</v>
      </c>
      <c r="AJ365" t="s">
        <v>74</v>
      </c>
      <c r="AK365" t="s">
        <v>74</v>
      </c>
      <c r="AL365" t="s">
        <v>74</v>
      </c>
      <c r="AM365" t="s">
        <v>74</v>
      </c>
      <c r="AN365" t="s">
        <v>74</v>
      </c>
      <c r="AO365" t="s">
        <v>1363</v>
      </c>
      <c r="AP365" t="s">
        <v>234</v>
      </c>
      <c r="AQ365" t="s">
        <v>74</v>
      </c>
      <c r="AR365" t="s">
        <v>74</v>
      </c>
      <c r="AS365" t="s">
        <v>74</v>
      </c>
      <c r="AT365" t="s">
        <v>2556</v>
      </c>
      <c r="AU365">
        <v>2023</v>
      </c>
      <c r="AV365">
        <v>62</v>
      </c>
      <c r="AW365">
        <v>10</v>
      </c>
      <c r="AX365" t="s">
        <v>74</v>
      </c>
      <c r="AY365" t="s">
        <v>74</v>
      </c>
      <c r="AZ365" t="s">
        <v>74</v>
      </c>
      <c r="BA365" t="s">
        <v>74</v>
      </c>
      <c r="BB365" t="s">
        <v>74</v>
      </c>
      <c r="BC365" t="s">
        <v>74</v>
      </c>
      <c r="BD365" t="s">
        <v>74</v>
      </c>
      <c r="BE365" t="s">
        <v>3283</v>
      </c>
      <c r="BF365" t="str">
        <f>HYPERLINK("http://dx.doi.org/10.1002/anie.202213962","http://dx.doi.org/10.1002/anie.202213962")</f>
        <v>http://dx.doi.org/10.1002/anie.202213962</v>
      </c>
      <c r="BG365" t="s">
        <v>74</v>
      </c>
      <c r="BH365" t="s">
        <v>3275</v>
      </c>
      <c r="BI365" t="s">
        <v>74</v>
      </c>
      <c r="BJ365" t="s">
        <v>74</v>
      </c>
      <c r="BK365" t="s">
        <v>74</v>
      </c>
      <c r="BL365" t="s">
        <v>74</v>
      </c>
      <c r="BM365" t="s">
        <v>74</v>
      </c>
      <c r="BN365">
        <v>36588091</v>
      </c>
      <c r="BO365" t="s">
        <v>74</v>
      </c>
      <c r="BP365" t="s">
        <v>74</v>
      </c>
      <c r="BQ365" t="s">
        <v>74</v>
      </c>
      <c r="BR365" t="s">
        <v>74</v>
      </c>
      <c r="BS365" t="s">
        <v>3284</v>
      </c>
      <c r="BT365" t="str">
        <f>HYPERLINK("https%3A%2F%2Fwww.webofscience.com%2Fwos%2Fwoscc%2Ffull-record%2FWOS:000919913100001","View Full Record in Web of Science")</f>
        <v>View Full Record in Web of Science</v>
      </c>
    </row>
    <row r="366" spans="1:72" x14ac:dyDescent="0.2">
      <c r="A366" t="s">
        <v>72</v>
      </c>
      <c r="B366" t="s">
        <v>3285</v>
      </c>
      <c r="C366" t="s">
        <v>74</v>
      </c>
      <c r="D366" t="s">
        <v>74</v>
      </c>
      <c r="E366" t="s">
        <v>74</v>
      </c>
      <c r="F366" t="s">
        <v>3286</v>
      </c>
      <c r="G366" t="s">
        <v>74</v>
      </c>
      <c r="H366" t="s">
        <v>74</v>
      </c>
      <c r="I366" t="s">
        <v>3287</v>
      </c>
      <c r="J366" t="s">
        <v>433</v>
      </c>
      <c r="K366" t="s">
        <v>74</v>
      </c>
      <c r="L366" t="s">
        <v>74</v>
      </c>
      <c r="M366" t="s">
        <v>74</v>
      </c>
      <c r="N366" t="s">
        <v>74</v>
      </c>
      <c r="O366" t="s">
        <v>74</v>
      </c>
      <c r="P366" t="s">
        <v>74</v>
      </c>
      <c r="Q366" t="s">
        <v>74</v>
      </c>
      <c r="R366" t="s">
        <v>74</v>
      </c>
      <c r="S366" t="s">
        <v>74</v>
      </c>
      <c r="T366" t="s">
        <v>74</v>
      </c>
      <c r="U366" t="s">
        <v>74</v>
      </c>
      <c r="V366" t="s">
        <v>3288</v>
      </c>
      <c r="W366" t="s">
        <v>74</v>
      </c>
      <c r="X366" t="s">
        <v>74</v>
      </c>
      <c r="Y366" t="s">
        <v>74</v>
      </c>
      <c r="Z366" t="s">
        <v>74</v>
      </c>
      <c r="AA366" t="s">
        <v>3289</v>
      </c>
      <c r="AB366" t="s">
        <v>74</v>
      </c>
      <c r="AC366" t="s">
        <v>74</v>
      </c>
      <c r="AD366" t="s">
        <v>74</v>
      </c>
      <c r="AE366" t="s">
        <v>74</v>
      </c>
      <c r="AF366" t="s">
        <v>74</v>
      </c>
      <c r="AG366" t="s">
        <v>74</v>
      </c>
      <c r="AH366" t="s">
        <v>74</v>
      </c>
      <c r="AI366" t="s">
        <v>74</v>
      </c>
      <c r="AJ366" t="s">
        <v>74</v>
      </c>
      <c r="AK366" t="s">
        <v>74</v>
      </c>
      <c r="AL366" t="s">
        <v>74</v>
      </c>
      <c r="AM366" t="s">
        <v>74</v>
      </c>
      <c r="AN366" t="s">
        <v>74</v>
      </c>
      <c r="AO366" t="s">
        <v>435</v>
      </c>
      <c r="AP366" t="s">
        <v>436</v>
      </c>
      <c r="AQ366" t="s">
        <v>74</v>
      </c>
      <c r="AR366" t="s">
        <v>74</v>
      </c>
      <c r="AS366" t="s">
        <v>74</v>
      </c>
      <c r="AT366" t="s">
        <v>798</v>
      </c>
      <c r="AU366">
        <v>2023</v>
      </c>
      <c r="AV366">
        <v>940</v>
      </c>
      <c r="AW366" t="s">
        <v>74</v>
      </c>
      <c r="AX366" t="s">
        <v>74</v>
      </c>
      <c r="AY366" t="s">
        <v>74</v>
      </c>
      <c r="AZ366" t="s">
        <v>74</v>
      </c>
      <c r="BA366" t="s">
        <v>74</v>
      </c>
      <c r="BB366" t="s">
        <v>74</v>
      </c>
      <c r="BC366" t="s">
        <v>74</v>
      </c>
      <c r="BD366">
        <v>168870</v>
      </c>
      <c r="BE366" t="s">
        <v>3290</v>
      </c>
      <c r="BF366" t="str">
        <f>HYPERLINK("http://dx.doi.org/10.1016/j.jallcom.2023.168870","http://dx.doi.org/10.1016/j.jallcom.2023.168870")</f>
        <v>http://dx.doi.org/10.1016/j.jallcom.2023.168870</v>
      </c>
      <c r="BG366" t="s">
        <v>74</v>
      </c>
      <c r="BH366" t="s">
        <v>3275</v>
      </c>
      <c r="BI366" t="s">
        <v>74</v>
      </c>
      <c r="BJ366" t="s">
        <v>74</v>
      </c>
      <c r="BK366" t="s">
        <v>74</v>
      </c>
      <c r="BL366" t="s">
        <v>74</v>
      </c>
      <c r="BM366" t="s">
        <v>74</v>
      </c>
      <c r="BN366" t="s">
        <v>74</v>
      </c>
      <c r="BO366" t="s">
        <v>74</v>
      </c>
      <c r="BP366" t="s">
        <v>74</v>
      </c>
      <c r="BQ366" t="s">
        <v>74</v>
      </c>
      <c r="BR366" t="s">
        <v>74</v>
      </c>
      <c r="BS366" t="s">
        <v>3291</v>
      </c>
      <c r="BT366" t="str">
        <f>HYPERLINK("https%3A%2F%2Fwww.webofscience.com%2Fwos%2Fwoscc%2Ffull-record%2FWOS:000961373400001","View Full Record in Web of Science")</f>
        <v>View Full Record in Web of Science</v>
      </c>
    </row>
    <row r="367" spans="1:72" x14ac:dyDescent="0.2">
      <c r="A367" t="s">
        <v>72</v>
      </c>
      <c r="B367" t="s">
        <v>3292</v>
      </c>
      <c r="C367" t="s">
        <v>74</v>
      </c>
      <c r="D367" t="s">
        <v>74</v>
      </c>
      <c r="E367" t="s">
        <v>74</v>
      </c>
      <c r="F367" t="s">
        <v>3293</v>
      </c>
      <c r="G367" t="s">
        <v>74</v>
      </c>
      <c r="H367" t="s">
        <v>74</v>
      </c>
      <c r="I367" t="s">
        <v>3294</v>
      </c>
      <c r="J367" t="s">
        <v>433</v>
      </c>
      <c r="K367" t="s">
        <v>74</v>
      </c>
      <c r="L367" t="s">
        <v>74</v>
      </c>
      <c r="M367" t="s">
        <v>74</v>
      </c>
      <c r="N367" t="s">
        <v>74</v>
      </c>
      <c r="O367" t="s">
        <v>74</v>
      </c>
      <c r="P367" t="s">
        <v>74</v>
      </c>
      <c r="Q367" t="s">
        <v>74</v>
      </c>
      <c r="R367" t="s">
        <v>74</v>
      </c>
      <c r="S367" t="s">
        <v>74</v>
      </c>
      <c r="T367" t="s">
        <v>74</v>
      </c>
      <c r="U367" t="s">
        <v>74</v>
      </c>
      <c r="V367" t="s">
        <v>3295</v>
      </c>
      <c r="W367" t="s">
        <v>74</v>
      </c>
      <c r="X367" t="s">
        <v>74</v>
      </c>
      <c r="Y367" t="s">
        <v>74</v>
      </c>
      <c r="Z367" t="s">
        <v>74</v>
      </c>
      <c r="AA367" t="s">
        <v>3296</v>
      </c>
      <c r="AB367" t="s">
        <v>74</v>
      </c>
      <c r="AC367" t="s">
        <v>74</v>
      </c>
      <c r="AD367" t="s">
        <v>74</v>
      </c>
      <c r="AE367" t="s">
        <v>74</v>
      </c>
      <c r="AF367" t="s">
        <v>74</v>
      </c>
      <c r="AG367" t="s">
        <v>74</v>
      </c>
      <c r="AH367" t="s">
        <v>74</v>
      </c>
      <c r="AI367" t="s">
        <v>74</v>
      </c>
      <c r="AJ367" t="s">
        <v>74</v>
      </c>
      <c r="AK367" t="s">
        <v>74</v>
      </c>
      <c r="AL367" t="s">
        <v>74</v>
      </c>
      <c r="AM367" t="s">
        <v>74</v>
      </c>
      <c r="AN367" t="s">
        <v>74</v>
      </c>
      <c r="AO367" t="s">
        <v>435</v>
      </c>
      <c r="AP367" t="s">
        <v>436</v>
      </c>
      <c r="AQ367" t="s">
        <v>74</v>
      </c>
      <c r="AR367" t="s">
        <v>74</v>
      </c>
      <c r="AS367" t="s">
        <v>74</v>
      </c>
      <c r="AT367" t="s">
        <v>798</v>
      </c>
      <c r="AU367">
        <v>2023</v>
      </c>
      <c r="AV367">
        <v>940</v>
      </c>
      <c r="AW367" t="s">
        <v>74</v>
      </c>
      <c r="AX367" t="s">
        <v>74</v>
      </c>
      <c r="AY367" t="s">
        <v>74</v>
      </c>
      <c r="AZ367" t="s">
        <v>74</v>
      </c>
      <c r="BA367" t="s">
        <v>74</v>
      </c>
      <c r="BB367" t="s">
        <v>74</v>
      </c>
      <c r="BC367" t="s">
        <v>74</v>
      </c>
      <c r="BD367">
        <v>168767</v>
      </c>
      <c r="BE367" t="s">
        <v>3297</v>
      </c>
      <c r="BF367" t="str">
        <f>HYPERLINK("http://dx.doi.org/10.1016/j.jallcom.2023.168767","http://dx.doi.org/10.1016/j.jallcom.2023.168767")</f>
        <v>http://dx.doi.org/10.1016/j.jallcom.2023.168767</v>
      </c>
      <c r="BG367" t="s">
        <v>74</v>
      </c>
      <c r="BH367" t="s">
        <v>3275</v>
      </c>
      <c r="BI367" t="s">
        <v>74</v>
      </c>
      <c r="BJ367" t="s">
        <v>74</v>
      </c>
      <c r="BK367" t="s">
        <v>74</v>
      </c>
      <c r="BL367" t="s">
        <v>74</v>
      </c>
      <c r="BM367" t="s">
        <v>74</v>
      </c>
      <c r="BN367" t="s">
        <v>74</v>
      </c>
      <c r="BO367" t="s">
        <v>74</v>
      </c>
      <c r="BP367" t="s">
        <v>74</v>
      </c>
      <c r="BQ367" t="s">
        <v>74</v>
      </c>
      <c r="BR367" t="s">
        <v>74</v>
      </c>
      <c r="BS367" t="s">
        <v>3298</v>
      </c>
      <c r="BT367" t="str">
        <f>HYPERLINK("https%3A%2F%2Fwww.webofscience.com%2Fwos%2Fwoscc%2Ffull-record%2FWOS:000996450400001","View Full Record in Web of Science")</f>
        <v>View Full Record in Web of Science</v>
      </c>
    </row>
    <row r="368" spans="1:72" x14ac:dyDescent="0.2">
      <c r="A368" t="s">
        <v>72</v>
      </c>
      <c r="B368" t="s">
        <v>3299</v>
      </c>
      <c r="C368" t="s">
        <v>74</v>
      </c>
      <c r="D368" t="s">
        <v>74</v>
      </c>
      <c r="E368" t="s">
        <v>74</v>
      </c>
      <c r="F368" t="s">
        <v>3300</v>
      </c>
      <c r="G368" t="s">
        <v>74</v>
      </c>
      <c r="H368" t="s">
        <v>74</v>
      </c>
      <c r="I368" t="s">
        <v>3301</v>
      </c>
      <c r="J368" t="s">
        <v>754</v>
      </c>
      <c r="K368" t="s">
        <v>74</v>
      </c>
      <c r="L368" t="s">
        <v>74</v>
      </c>
      <c r="M368" t="s">
        <v>74</v>
      </c>
      <c r="N368" t="s">
        <v>74</v>
      </c>
      <c r="O368" t="s">
        <v>74</v>
      </c>
      <c r="P368" t="s">
        <v>74</v>
      </c>
      <c r="Q368" t="s">
        <v>74</v>
      </c>
      <c r="R368" t="s">
        <v>74</v>
      </c>
      <c r="S368" t="s">
        <v>74</v>
      </c>
      <c r="T368" t="s">
        <v>74</v>
      </c>
      <c r="U368" t="s">
        <v>74</v>
      </c>
      <c r="V368" t="s">
        <v>3302</v>
      </c>
      <c r="W368" t="s">
        <v>74</v>
      </c>
      <c r="X368" t="s">
        <v>74</v>
      </c>
      <c r="Y368" t="s">
        <v>74</v>
      </c>
      <c r="Z368" t="s">
        <v>74</v>
      </c>
      <c r="AA368" t="s">
        <v>3303</v>
      </c>
      <c r="AB368" t="s">
        <v>74</v>
      </c>
      <c r="AC368" t="s">
        <v>74</v>
      </c>
      <c r="AD368" t="s">
        <v>74</v>
      </c>
      <c r="AE368" t="s">
        <v>74</v>
      </c>
      <c r="AF368" t="s">
        <v>74</v>
      </c>
      <c r="AG368" t="s">
        <v>74</v>
      </c>
      <c r="AH368" t="s">
        <v>74</v>
      </c>
      <c r="AI368" t="s">
        <v>74</v>
      </c>
      <c r="AJ368" t="s">
        <v>74</v>
      </c>
      <c r="AK368" t="s">
        <v>74</v>
      </c>
      <c r="AL368" t="s">
        <v>74</v>
      </c>
      <c r="AM368" t="s">
        <v>74</v>
      </c>
      <c r="AN368" t="s">
        <v>74</v>
      </c>
      <c r="AO368" t="s">
        <v>757</v>
      </c>
      <c r="AP368" t="s">
        <v>758</v>
      </c>
      <c r="AQ368" t="s">
        <v>74</v>
      </c>
      <c r="AR368" t="s">
        <v>74</v>
      </c>
      <c r="AS368" t="s">
        <v>74</v>
      </c>
      <c r="AT368" t="s">
        <v>1154</v>
      </c>
      <c r="AU368">
        <v>2023</v>
      </c>
      <c r="AV368">
        <v>930</v>
      </c>
      <c r="AW368" t="s">
        <v>74</v>
      </c>
      <c r="AX368" t="s">
        <v>74</v>
      </c>
      <c r="AY368" t="s">
        <v>74</v>
      </c>
      <c r="AZ368" t="s">
        <v>74</v>
      </c>
      <c r="BA368" t="s">
        <v>74</v>
      </c>
      <c r="BB368" t="s">
        <v>74</v>
      </c>
      <c r="BC368" t="s">
        <v>74</v>
      </c>
      <c r="BD368">
        <v>117145</v>
      </c>
      <c r="BE368" t="s">
        <v>3304</v>
      </c>
      <c r="BF368" t="str">
        <f>HYPERLINK("http://dx.doi.org/10.1016/j.jelechem.2023.117145","http://dx.doi.org/10.1016/j.jelechem.2023.117145")</f>
        <v>http://dx.doi.org/10.1016/j.jelechem.2023.117145</v>
      </c>
      <c r="BG368" t="s">
        <v>74</v>
      </c>
      <c r="BH368" t="s">
        <v>3275</v>
      </c>
      <c r="BI368" t="s">
        <v>74</v>
      </c>
      <c r="BJ368" t="s">
        <v>74</v>
      </c>
      <c r="BK368" t="s">
        <v>74</v>
      </c>
      <c r="BL368" t="s">
        <v>74</v>
      </c>
      <c r="BM368" t="s">
        <v>74</v>
      </c>
      <c r="BN368" t="s">
        <v>74</v>
      </c>
      <c r="BO368" t="s">
        <v>74</v>
      </c>
      <c r="BP368" t="s">
        <v>74</v>
      </c>
      <c r="BQ368" t="s">
        <v>74</v>
      </c>
      <c r="BR368" t="s">
        <v>74</v>
      </c>
      <c r="BS368" t="s">
        <v>3305</v>
      </c>
      <c r="BT368" t="str">
        <f>HYPERLINK("https%3A%2F%2Fwww.webofscience.com%2Fwos%2Fwoscc%2Ffull-record%2FWOS:000921105200001","View Full Record in Web of Science")</f>
        <v>View Full Record in Web of Science</v>
      </c>
    </row>
    <row r="369" spans="1:72" x14ac:dyDescent="0.2">
      <c r="A369" t="s">
        <v>72</v>
      </c>
      <c r="B369" t="s">
        <v>3306</v>
      </c>
      <c r="C369" t="s">
        <v>74</v>
      </c>
      <c r="D369" t="s">
        <v>74</v>
      </c>
      <c r="E369" t="s">
        <v>74</v>
      </c>
      <c r="F369" t="s">
        <v>3307</v>
      </c>
      <c r="G369" t="s">
        <v>74</v>
      </c>
      <c r="H369" t="s">
        <v>74</v>
      </c>
      <c r="I369" t="s">
        <v>3308</v>
      </c>
      <c r="J369" t="s">
        <v>267</v>
      </c>
      <c r="K369" t="s">
        <v>74</v>
      </c>
      <c r="L369" t="s">
        <v>74</v>
      </c>
      <c r="M369" t="s">
        <v>74</v>
      </c>
      <c r="N369" t="s">
        <v>74</v>
      </c>
      <c r="O369" t="s">
        <v>74</v>
      </c>
      <c r="P369" t="s">
        <v>74</v>
      </c>
      <c r="Q369" t="s">
        <v>74</v>
      </c>
      <c r="R369" t="s">
        <v>74</v>
      </c>
      <c r="S369" t="s">
        <v>74</v>
      </c>
      <c r="T369" t="s">
        <v>74</v>
      </c>
      <c r="U369" t="s">
        <v>74</v>
      </c>
      <c r="V369" t="s">
        <v>3309</v>
      </c>
      <c r="W369" t="s">
        <v>74</v>
      </c>
      <c r="X369" t="s">
        <v>74</v>
      </c>
      <c r="Y369" t="s">
        <v>74</v>
      </c>
      <c r="Z369" t="s">
        <v>74</v>
      </c>
      <c r="AA369" t="s">
        <v>3310</v>
      </c>
      <c r="AB369" t="s">
        <v>3311</v>
      </c>
      <c r="AC369" t="s">
        <v>74</v>
      </c>
      <c r="AD369" t="s">
        <v>74</v>
      </c>
      <c r="AE369" t="s">
        <v>74</v>
      </c>
      <c r="AF369" t="s">
        <v>74</v>
      </c>
      <c r="AG369" t="s">
        <v>74</v>
      </c>
      <c r="AH369" t="s">
        <v>74</v>
      </c>
      <c r="AI369" t="s">
        <v>74</v>
      </c>
      <c r="AJ369" t="s">
        <v>74</v>
      </c>
      <c r="AK369" t="s">
        <v>74</v>
      </c>
      <c r="AL369" t="s">
        <v>74</v>
      </c>
      <c r="AM369" t="s">
        <v>74</v>
      </c>
      <c r="AN369" t="s">
        <v>74</v>
      </c>
      <c r="AO369" t="s">
        <v>270</v>
      </c>
      <c r="AP369" t="s">
        <v>271</v>
      </c>
      <c r="AQ369" t="s">
        <v>74</v>
      </c>
      <c r="AR369" t="s">
        <v>74</v>
      </c>
      <c r="AS369" t="s">
        <v>74</v>
      </c>
      <c r="AT369" t="s">
        <v>954</v>
      </c>
      <c r="AU369">
        <v>2023</v>
      </c>
      <c r="AV369">
        <v>33</v>
      </c>
      <c r="AW369">
        <v>13</v>
      </c>
      <c r="AX369" t="s">
        <v>74</v>
      </c>
      <c r="AY369" t="s">
        <v>74</v>
      </c>
      <c r="AZ369" t="s">
        <v>74</v>
      </c>
      <c r="BA369" t="s">
        <v>74</v>
      </c>
      <c r="BB369" t="s">
        <v>74</v>
      </c>
      <c r="BC369" t="s">
        <v>74</v>
      </c>
      <c r="BD369" t="s">
        <v>74</v>
      </c>
      <c r="BE369" t="s">
        <v>3312</v>
      </c>
      <c r="BF369" t="str">
        <f>HYPERLINK("http://dx.doi.org/10.1002/adfm.202212005","http://dx.doi.org/10.1002/adfm.202212005")</f>
        <v>http://dx.doi.org/10.1002/adfm.202212005</v>
      </c>
      <c r="BG369" t="s">
        <v>74</v>
      </c>
      <c r="BH369" t="s">
        <v>3275</v>
      </c>
      <c r="BI369" t="s">
        <v>74</v>
      </c>
      <c r="BJ369" t="s">
        <v>74</v>
      </c>
      <c r="BK369" t="s">
        <v>74</v>
      </c>
      <c r="BL369" t="s">
        <v>74</v>
      </c>
      <c r="BM369" t="s">
        <v>74</v>
      </c>
      <c r="BN369" t="s">
        <v>74</v>
      </c>
      <c r="BO369" t="s">
        <v>74</v>
      </c>
      <c r="BP369" t="s">
        <v>74</v>
      </c>
      <c r="BQ369" t="s">
        <v>74</v>
      </c>
      <c r="BR369" t="s">
        <v>74</v>
      </c>
      <c r="BS369" t="s">
        <v>3313</v>
      </c>
      <c r="BT369" t="str">
        <f>HYPERLINK("https%3A%2F%2Fwww.webofscience.com%2Fwos%2Fwoscc%2Ffull-record%2FWOS:000913953100001","View Full Record in Web of Science")</f>
        <v>View Full Record in Web of Science</v>
      </c>
    </row>
    <row r="370" spans="1:72" x14ac:dyDescent="0.2">
      <c r="A370" t="s">
        <v>72</v>
      </c>
      <c r="B370" t="s">
        <v>3314</v>
      </c>
      <c r="C370" t="s">
        <v>74</v>
      </c>
      <c r="D370" t="s">
        <v>74</v>
      </c>
      <c r="E370" t="s">
        <v>74</v>
      </c>
      <c r="F370" t="s">
        <v>3315</v>
      </c>
      <c r="G370" t="s">
        <v>74</v>
      </c>
      <c r="H370" t="s">
        <v>74</v>
      </c>
      <c r="I370" t="s">
        <v>3316</v>
      </c>
      <c r="J370" t="s">
        <v>624</v>
      </c>
      <c r="K370" t="s">
        <v>74</v>
      </c>
      <c r="L370" t="s">
        <v>74</v>
      </c>
      <c r="M370" t="s">
        <v>74</v>
      </c>
      <c r="N370" t="s">
        <v>74</v>
      </c>
      <c r="O370" t="s">
        <v>74</v>
      </c>
      <c r="P370" t="s">
        <v>74</v>
      </c>
      <c r="Q370" t="s">
        <v>74</v>
      </c>
      <c r="R370" t="s">
        <v>74</v>
      </c>
      <c r="S370" t="s">
        <v>74</v>
      </c>
      <c r="T370" t="s">
        <v>74</v>
      </c>
      <c r="U370" t="s">
        <v>74</v>
      </c>
      <c r="V370" t="s">
        <v>3317</v>
      </c>
      <c r="W370" t="s">
        <v>74</v>
      </c>
      <c r="X370" t="s">
        <v>74</v>
      </c>
      <c r="Y370" t="s">
        <v>74</v>
      </c>
      <c r="Z370" t="s">
        <v>74</v>
      </c>
      <c r="AA370" t="s">
        <v>3318</v>
      </c>
      <c r="AB370" t="s">
        <v>3319</v>
      </c>
      <c r="AC370" t="s">
        <v>74</v>
      </c>
      <c r="AD370" t="s">
        <v>74</v>
      </c>
      <c r="AE370" t="s">
        <v>74</v>
      </c>
      <c r="AF370" t="s">
        <v>74</v>
      </c>
      <c r="AG370" t="s">
        <v>74</v>
      </c>
      <c r="AH370" t="s">
        <v>74</v>
      </c>
      <c r="AI370" t="s">
        <v>74</v>
      </c>
      <c r="AJ370" t="s">
        <v>74</v>
      </c>
      <c r="AK370" t="s">
        <v>74</v>
      </c>
      <c r="AL370" t="s">
        <v>74</v>
      </c>
      <c r="AM370" t="s">
        <v>74</v>
      </c>
      <c r="AN370" t="s">
        <v>74</v>
      </c>
      <c r="AO370" t="s">
        <v>627</v>
      </c>
      <c r="AP370" t="s">
        <v>628</v>
      </c>
      <c r="AQ370" t="s">
        <v>74</v>
      </c>
      <c r="AR370" t="s">
        <v>74</v>
      </c>
      <c r="AS370" t="s">
        <v>74</v>
      </c>
      <c r="AT370" t="s">
        <v>670</v>
      </c>
      <c r="AU370">
        <v>2023</v>
      </c>
      <c r="AV370">
        <v>108</v>
      </c>
      <c r="AW370" t="s">
        <v>74</v>
      </c>
      <c r="AX370" t="s">
        <v>74</v>
      </c>
      <c r="AY370" t="s">
        <v>74</v>
      </c>
      <c r="AZ370" t="s">
        <v>74</v>
      </c>
      <c r="BA370" t="s">
        <v>74</v>
      </c>
      <c r="BB370" t="s">
        <v>74</v>
      </c>
      <c r="BC370" t="s">
        <v>74</v>
      </c>
      <c r="BD370">
        <v>108192</v>
      </c>
      <c r="BE370" t="s">
        <v>3320</v>
      </c>
      <c r="BF370" t="str">
        <f>HYPERLINK("http://dx.doi.org/10.1016/j.nanoen.2023.108192","http://dx.doi.org/10.1016/j.nanoen.2023.108192")</f>
        <v>http://dx.doi.org/10.1016/j.nanoen.2023.108192</v>
      </c>
      <c r="BG370" t="s">
        <v>74</v>
      </c>
      <c r="BH370" t="s">
        <v>3275</v>
      </c>
      <c r="BI370" t="s">
        <v>74</v>
      </c>
      <c r="BJ370" t="s">
        <v>74</v>
      </c>
      <c r="BK370" t="s">
        <v>74</v>
      </c>
      <c r="BL370" t="s">
        <v>74</v>
      </c>
      <c r="BM370" t="s">
        <v>74</v>
      </c>
      <c r="BN370" t="s">
        <v>74</v>
      </c>
      <c r="BO370" t="s">
        <v>74</v>
      </c>
      <c r="BP370" t="s">
        <v>74</v>
      </c>
      <c r="BQ370" t="s">
        <v>74</v>
      </c>
      <c r="BR370" t="s">
        <v>74</v>
      </c>
      <c r="BS370" t="s">
        <v>3321</v>
      </c>
      <c r="BT370" t="str">
        <f>HYPERLINK("https%3A%2F%2Fwww.webofscience.com%2Fwos%2Fwoscc%2Ffull-record%2FWOS:000923198600001","View Full Record in Web of Science")</f>
        <v>View Full Record in Web of Science</v>
      </c>
    </row>
    <row r="371" spans="1:72" x14ac:dyDescent="0.2">
      <c r="A371" t="s">
        <v>72</v>
      </c>
      <c r="B371" t="s">
        <v>3322</v>
      </c>
      <c r="C371" t="s">
        <v>74</v>
      </c>
      <c r="D371" t="s">
        <v>74</v>
      </c>
      <c r="E371" t="s">
        <v>74</v>
      </c>
      <c r="F371" t="s">
        <v>3323</v>
      </c>
      <c r="G371" t="s">
        <v>74</v>
      </c>
      <c r="H371" t="s">
        <v>74</v>
      </c>
      <c r="I371" t="s">
        <v>3324</v>
      </c>
      <c r="J371" t="s">
        <v>1129</v>
      </c>
      <c r="K371" t="s">
        <v>74</v>
      </c>
      <c r="L371" t="s">
        <v>74</v>
      </c>
      <c r="M371" t="s">
        <v>74</v>
      </c>
      <c r="N371" t="s">
        <v>74</v>
      </c>
      <c r="O371" t="s">
        <v>74</v>
      </c>
      <c r="P371" t="s">
        <v>74</v>
      </c>
      <c r="Q371" t="s">
        <v>74</v>
      </c>
      <c r="R371" t="s">
        <v>74</v>
      </c>
      <c r="S371" t="s">
        <v>74</v>
      </c>
      <c r="T371" t="s">
        <v>74</v>
      </c>
      <c r="U371" t="s">
        <v>74</v>
      </c>
      <c r="V371" t="s">
        <v>3325</v>
      </c>
      <c r="W371" t="s">
        <v>74</v>
      </c>
      <c r="X371" t="s">
        <v>74</v>
      </c>
      <c r="Y371" t="s">
        <v>74</v>
      </c>
      <c r="Z371" t="s">
        <v>74</v>
      </c>
      <c r="AA371" t="s">
        <v>3326</v>
      </c>
      <c r="AB371" t="s">
        <v>3327</v>
      </c>
      <c r="AC371" t="s">
        <v>74</v>
      </c>
      <c r="AD371" t="s">
        <v>74</v>
      </c>
      <c r="AE371" t="s">
        <v>74</v>
      </c>
      <c r="AF371" t="s">
        <v>74</v>
      </c>
      <c r="AG371" t="s">
        <v>74</v>
      </c>
      <c r="AH371" t="s">
        <v>74</v>
      </c>
      <c r="AI371" t="s">
        <v>74</v>
      </c>
      <c r="AJ371" t="s">
        <v>74</v>
      </c>
      <c r="AK371" t="s">
        <v>74</v>
      </c>
      <c r="AL371" t="s">
        <v>74</v>
      </c>
      <c r="AM371" t="s">
        <v>74</v>
      </c>
      <c r="AN371" t="s">
        <v>74</v>
      </c>
      <c r="AO371" t="s">
        <v>74</v>
      </c>
      <c r="AP371" t="s">
        <v>1133</v>
      </c>
      <c r="AQ371" t="s">
        <v>74</v>
      </c>
      <c r="AR371" t="s">
        <v>74</v>
      </c>
      <c r="AS371" t="s">
        <v>74</v>
      </c>
      <c r="AT371" t="s">
        <v>368</v>
      </c>
      <c r="AU371">
        <v>2023</v>
      </c>
      <c r="AV371">
        <v>6</v>
      </c>
      <c r="AW371">
        <v>4</v>
      </c>
      <c r="AX371" t="s">
        <v>74</v>
      </c>
      <c r="AY371" t="s">
        <v>74</v>
      </c>
      <c r="AZ371" t="s">
        <v>74</v>
      </c>
      <c r="BA371" t="s">
        <v>74</v>
      </c>
      <c r="BB371" t="s">
        <v>74</v>
      </c>
      <c r="BC371" t="s">
        <v>74</v>
      </c>
      <c r="BD371" t="s">
        <v>74</v>
      </c>
      <c r="BE371" t="s">
        <v>3328</v>
      </c>
      <c r="BF371" t="str">
        <f>HYPERLINK("http://dx.doi.org/10.1002/eem2.12559","http://dx.doi.org/10.1002/eem2.12559")</f>
        <v>http://dx.doi.org/10.1002/eem2.12559</v>
      </c>
      <c r="BG371" t="s">
        <v>74</v>
      </c>
      <c r="BH371" t="s">
        <v>3275</v>
      </c>
      <c r="BI371" t="s">
        <v>74</v>
      </c>
      <c r="BJ371" t="s">
        <v>74</v>
      </c>
      <c r="BK371" t="s">
        <v>74</v>
      </c>
      <c r="BL371" t="s">
        <v>74</v>
      </c>
      <c r="BM371" t="s">
        <v>74</v>
      </c>
      <c r="BN371" t="s">
        <v>74</v>
      </c>
      <c r="BO371" t="s">
        <v>74</v>
      </c>
      <c r="BP371" t="s">
        <v>74</v>
      </c>
      <c r="BQ371" t="s">
        <v>74</v>
      </c>
      <c r="BR371" t="s">
        <v>74</v>
      </c>
      <c r="BS371" t="s">
        <v>3329</v>
      </c>
      <c r="BT371" t="str">
        <f>HYPERLINK("https%3A%2F%2Fwww.webofscience.com%2Fwos%2Fwoscc%2Ffull-record%2FWOS:000909780500001","View Full Record in Web of Science")</f>
        <v>View Full Record in Web of Science</v>
      </c>
    </row>
    <row r="372" spans="1:72" x14ac:dyDescent="0.2">
      <c r="A372" t="s">
        <v>72</v>
      </c>
      <c r="B372" t="s">
        <v>3330</v>
      </c>
      <c r="C372" t="s">
        <v>74</v>
      </c>
      <c r="D372" t="s">
        <v>74</v>
      </c>
      <c r="E372" t="s">
        <v>74</v>
      </c>
      <c r="F372" t="s">
        <v>3331</v>
      </c>
      <c r="G372" t="s">
        <v>74</v>
      </c>
      <c r="H372" t="s">
        <v>74</v>
      </c>
      <c r="I372" t="s">
        <v>3332</v>
      </c>
      <c r="J372" t="s">
        <v>995</v>
      </c>
      <c r="K372" t="s">
        <v>74</v>
      </c>
      <c r="L372" t="s">
        <v>74</v>
      </c>
      <c r="M372" t="s">
        <v>74</v>
      </c>
      <c r="N372" t="s">
        <v>74</v>
      </c>
      <c r="O372" t="s">
        <v>74</v>
      </c>
      <c r="P372" t="s">
        <v>74</v>
      </c>
      <c r="Q372" t="s">
        <v>74</v>
      </c>
      <c r="R372" t="s">
        <v>74</v>
      </c>
      <c r="S372" t="s">
        <v>74</v>
      </c>
      <c r="T372" t="s">
        <v>74</v>
      </c>
      <c r="U372" t="s">
        <v>74</v>
      </c>
      <c r="V372" t="s">
        <v>3333</v>
      </c>
      <c r="W372" t="s">
        <v>74</v>
      </c>
      <c r="X372" t="s">
        <v>74</v>
      </c>
      <c r="Y372" t="s">
        <v>74</v>
      </c>
      <c r="Z372" t="s">
        <v>74</v>
      </c>
      <c r="AA372" t="s">
        <v>3334</v>
      </c>
      <c r="AB372" t="s">
        <v>3335</v>
      </c>
      <c r="AC372" t="s">
        <v>74</v>
      </c>
      <c r="AD372" t="s">
        <v>74</v>
      </c>
      <c r="AE372" t="s">
        <v>74</v>
      </c>
      <c r="AF372" t="s">
        <v>74</v>
      </c>
      <c r="AG372" t="s">
        <v>74</v>
      </c>
      <c r="AH372" t="s">
        <v>74</v>
      </c>
      <c r="AI372" t="s">
        <v>74</v>
      </c>
      <c r="AJ372" t="s">
        <v>74</v>
      </c>
      <c r="AK372" t="s">
        <v>74</v>
      </c>
      <c r="AL372" t="s">
        <v>74</v>
      </c>
      <c r="AM372" t="s">
        <v>74</v>
      </c>
      <c r="AN372" t="s">
        <v>74</v>
      </c>
      <c r="AO372" t="s">
        <v>74</v>
      </c>
      <c r="AP372" t="s">
        <v>998</v>
      </c>
      <c r="AQ372" t="s">
        <v>74</v>
      </c>
      <c r="AR372" t="s">
        <v>74</v>
      </c>
      <c r="AS372" t="s">
        <v>74</v>
      </c>
      <c r="AT372" t="s">
        <v>3336</v>
      </c>
      <c r="AU372">
        <v>2023</v>
      </c>
      <c r="AV372">
        <v>5</v>
      </c>
      <c r="AW372">
        <v>2</v>
      </c>
      <c r="AX372" t="s">
        <v>74</v>
      </c>
      <c r="AY372" t="s">
        <v>74</v>
      </c>
      <c r="AZ372" t="s">
        <v>74</v>
      </c>
      <c r="BA372" t="s">
        <v>74</v>
      </c>
      <c r="BB372">
        <v>413</v>
      </c>
      <c r="BC372">
        <v>420</v>
      </c>
      <c r="BD372" t="s">
        <v>74</v>
      </c>
      <c r="BE372" t="s">
        <v>3337</v>
      </c>
      <c r="BF372" t="str">
        <f>HYPERLINK("http://dx.doi.org/10.1021/acsmaterialslett.2c00999","http://dx.doi.org/10.1021/acsmaterialslett.2c00999")</f>
        <v>http://dx.doi.org/10.1021/acsmaterialslett.2c00999</v>
      </c>
      <c r="BG372" t="s">
        <v>74</v>
      </c>
      <c r="BH372" t="s">
        <v>3275</v>
      </c>
      <c r="BI372" t="s">
        <v>74</v>
      </c>
      <c r="BJ372" t="s">
        <v>74</v>
      </c>
      <c r="BK372" t="s">
        <v>74</v>
      </c>
      <c r="BL372" t="s">
        <v>74</v>
      </c>
      <c r="BM372" t="s">
        <v>74</v>
      </c>
      <c r="BN372" t="s">
        <v>74</v>
      </c>
      <c r="BO372" t="s">
        <v>74</v>
      </c>
      <c r="BP372" t="s">
        <v>74</v>
      </c>
      <c r="BQ372" t="s">
        <v>74</v>
      </c>
      <c r="BR372" t="s">
        <v>74</v>
      </c>
      <c r="BS372" t="s">
        <v>3338</v>
      </c>
      <c r="BT372" t="str">
        <f>HYPERLINK("https%3A%2F%2Fwww.webofscience.com%2Fwos%2Fwoscc%2Ffull-record%2FWOS:000913268800001","View Full Record in Web of Science")</f>
        <v>View Full Record in Web of Science</v>
      </c>
    </row>
    <row r="373" spans="1:72" x14ac:dyDescent="0.2">
      <c r="A373" t="s">
        <v>72</v>
      </c>
      <c r="B373" t="s">
        <v>3339</v>
      </c>
      <c r="C373" t="s">
        <v>74</v>
      </c>
      <c r="D373" t="s">
        <v>74</v>
      </c>
      <c r="E373" t="s">
        <v>74</v>
      </c>
      <c r="F373" t="s">
        <v>3340</v>
      </c>
      <c r="G373" t="s">
        <v>74</v>
      </c>
      <c r="H373" t="s">
        <v>74</v>
      </c>
      <c r="I373" t="s">
        <v>3341</v>
      </c>
      <c r="J373" t="s">
        <v>433</v>
      </c>
      <c r="K373" t="s">
        <v>74</v>
      </c>
      <c r="L373" t="s">
        <v>74</v>
      </c>
      <c r="M373" t="s">
        <v>74</v>
      </c>
      <c r="N373" t="s">
        <v>74</v>
      </c>
      <c r="O373" t="s">
        <v>74</v>
      </c>
      <c r="P373" t="s">
        <v>74</v>
      </c>
      <c r="Q373" t="s">
        <v>74</v>
      </c>
      <c r="R373" t="s">
        <v>74</v>
      </c>
      <c r="S373" t="s">
        <v>74</v>
      </c>
      <c r="T373" t="s">
        <v>74</v>
      </c>
      <c r="U373" t="s">
        <v>74</v>
      </c>
      <c r="V373" t="s">
        <v>3342</v>
      </c>
      <c r="W373" t="s">
        <v>74</v>
      </c>
      <c r="X373" t="s">
        <v>74</v>
      </c>
      <c r="Y373" t="s">
        <v>74</v>
      </c>
      <c r="Z373" t="s">
        <v>74</v>
      </c>
      <c r="AA373" t="s">
        <v>3343</v>
      </c>
      <c r="AB373" t="s">
        <v>3344</v>
      </c>
      <c r="AC373" t="s">
        <v>74</v>
      </c>
      <c r="AD373" t="s">
        <v>74</v>
      </c>
      <c r="AE373" t="s">
        <v>74</v>
      </c>
      <c r="AF373" t="s">
        <v>74</v>
      </c>
      <c r="AG373" t="s">
        <v>74</v>
      </c>
      <c r="AH373" t="s">
        <v>74</v>
      </c>
      <c r="AI373" t="s">
        <v>74</v>
      </c>
      <c r="AJ373" t="s">
        <v>74</v>
      </c>
      <c r="AK373" t="s">
        <v>74</v>
      </c>
      <c r="AL373" t="s">
        <v>74</v>
      </c>
      <c r="AM373" t="s">
        <v>74</v>
      </c>
      <c r="AN373" t="s">
        <v>74</v>
      </c>
      <c r="AO373" t="s">
        <v>435</v>
      </c>
      <c r="AP373" t="s">
        <v>436</v>
      </c>
      <c r="AQ373" t="s">
        <v>74</v>
      </c>
      <c r="AR373" t="s">
        <v>74</v>
      </c>
      <c r="AS373" t="s">
        <v>74</v>
      </c>
      <c r="AT373" t="s">
        <v>3345</v>
      </c>
      <c r="AU373">
        <v>2023</v>
      </c>
      <c r="AV373">
        <v>938</v>
      </c>
      <c r="AW373" t="s">
        <v>74</v>
      </c>
      <c r="AX373" t="s">
        <v>74</v>
      </c>
      <c r="AY373" t="s">
        <v>74</v>
      </c>
      <c r="AZ373" t="s">
        <v>74</v>
      </c>
      <c r="BA373" t="s">
        <v>74</v>
      </c>
      <c r="BB373" t="s">
        <v>74</v>
      </c>
      <c r="BC373" t="s">
        <v>74</v>
      </c>
      <c r="BD373">
        <v>168689</v>
      </c>
      <c r="BE373" t="s">
        <v>3346</v>
      </c>
      <c r="BF373" t="str">
        <f>HYPERLINK("http://dx.doi.org/10.1016/j.jallcom.2022.168689","http://dx.doi.org/10.1016/j.jallcom.2022.168689")</f>
        <v>http://dx.doi.org/10.1016/j.jallcom.2022.168689</v>
      </c>
      <c r="BG373" t="s">
        <v>74</v>
      </c>
      <c r="BH373" t="s">
        <v>3275</v>
      </c>
      <c r="BI373" t="s">
        <v>74</v>
      </c>
      <c r="BJ373" t="s">
        <v>74</v>
      </c>
      <c r="BK373" t="s">
        <v>74</v>
      </c>
      <c r="BL373" t="s">
        <v>74</v>
      </c>
      <c r="BM373" t="s">
        <v>74</v>
      </c>
      <c r="BN373" t="s">
        <v>74</v>
      </c>
      <c r="BO373" t="s">
        <v>74</v>
      </c>
      <c r="BP373" t="s">
        <v>74</v>
      </c>
      <c r="BQ373" t="s">
        <v>74</v>
      </c>
      <c r="BR373" t="s">
        <v>74</v>
      </c>
      <c r="BS373" t="s">
        <v>3347</v>
      </c>
      <c r="BT373" t="str">
        <f>HYPERLINK("https%3A%2F%2Fwww.webofscience.com%2Fwos%2Fwoscc%2Ffull-record%2FWOS:000920151600001","View Full Record in Web of Science")</f>
        <v>View Full Record in Web of Science</v>
      </c>
    </row>
    <row r="374" spans="1:72" x14ac:dyDescent="0.2">
      <c r="A374" t="s">
        <v>72</v>
      </c>
      <c r="B374" t="s">
        <v>3348</v>
      </c>
      <c r="C374" t="s">
        <v>74</v>
      </c>
      <c r="D374" t="s">
        <v>74</v>
      </c>
      <c r="E374" t="s">
        <v>74</v>
      </c>
      <c r="F374" t="s">
        <v>3349</v>
      </c>
      <c r="G374" t="s">
        <v>74</v>
      </c>
      <c r="H374" t="s">
        <v>74</v>
      </c>
      <c r="I374" t="s">
        <v>3350</v>
      </c>
      <c r="J374" t="s">
        <v>3351</v>
      </c>
      <c r="K374" t="s">
        <v>74</v>
      </c>
      <c r="L374" t="s">
        <v>74</v>
      </c>
      <c r="M374" t="s">
        <v>74</v>
      </c>
      <c r="N374" t="s">
        <v>74</v>
      </c>
      <c r="O374" t="s">
        <v>74</v>
      </c>
      <c r="P374" t="s">
        <v>74</v>
      </c>
      <c r="Q374" t="s">
        <v>74</v>
      </c>
      <c r="R374" t="s">
        <v>74</v>
      </c>
      <c r="S374" t="s">
        <v>74</v>
      </c>
      <c r="T374" t="s">
        <v>74</v>
      </c>
      <c r="U374" t="s">
        <v>74</v>
      </c>
      <c r="V374" t="s">
        <v>3352</v>
      </c>
      <c r="W374" t="s">
        <v>74</v>
      </c>
      <c r="X374" t="s">
        <v>74</v>
      </c>
      <c r="Y374" t="s">
        <v>74</v>
      </c>
      <c r="Z374" t="s">
        <v>74</v>
      </c>
      <c r="AA374" t="s">
        <v>3353</v>
      </c>
      <c r="AB374" t="s">
        <v>3354</v>
      </c>
      <c r="AC374" t="s">
        <v>74</v>
      </c>
      <c r="AD374" t="s">
        <v>74</v>
      </c>
      <c r="AE374" t="s">
        <v>74</v>
      </c>
      <c r="AF374" t="s">
        <v>74</v>
      </c>
      <c r="AG374" t="s">
        <v>74</v>
      </c>
      <c r="AH374" t="s">
        <v>74</v>
      </c>
      <c r="AI374" t="s">
        <v>74</v>
      </c>
      <c r="AJ374" t="s">
        <v>74</v>
      </c>
      <c r="AK374" t="s">
        <v>74</v>
      </c>
      <c r="AL374" t="s">
        <v>74</v>
      </c>
      <c r="AM374" t="s">
        <v>74</v>
      </c>
      <c r="AN374" t="s">
        <v>74</v>
      </c>
      <c r="AO374" t="s">
        <v>3355</v>
      </c>
      <c r="AP374" t="s">
        <v>74</v>
      </c>
      <c r="AQ374" t="s">
        <v>74</v>
      </c>
      <c r="AR374" t="s">
        <v>74</v>
      </c>
      <c r="AS374" t="s">
        <v>74</v>
      </c>
      <c r="AT374" t="s">
        <v>74</v>
      </c>
      <c r="AU374">
        <v>2023</v>
      </c>
      <c r="AV374">
        <v>47</v>
      </c>
      <c r="AW374">
        <v>1</v>
      </c>
      <c r="AX374" t="s">
        <v>74</v>
      </c>
      <c r="AY374" t="s">
        <v>74</v>
      </c>
      <c r="AZ374" t="s">
        <v>74</v>
      </c>
      <c r="BA374" t="s">
        <v>74</v>
      </c>
      <c r="BB374">
        <v>242</v>
      </c>
      <c r="BC374" t="s">
        <v>3356</v>
      </c>
      <c r="BD374" t="s">
        <v>74</v>
      </c>
      <c r="BE374" t="s">
        <v>3357</v>
      </c>
      <c r="BF374" t="str">
        <f>HYPERLINK("http://dx.doi.org/10.55730/1300-0527.3533","http://dx.doi.org/10.55730/1300-0527.3533")</f>
        <v>http://dx.doi.org/10.55730/1300-0527.3533</v>
      </c>
      <c r="BG374" t="s">
        <v>74</v>
      </c>
      <c r="BH374" t="s">
        <v>74</v>
      </c>
      <c r="BI374" t="s">
        <v>74</v>
      </c>
      <c r="BJ374" t="s">
        <v>74</v>
      </c>
      <c r="BK374" t="s">
        <v>74</v>
      </c>
      <c r="BL374" t="s">
        <v>74</v>
      </c>
      <c r="BM374" t="s">
        <v>74</v>
      </c>
      <c r="BN374">
        <v>37720861</v>
      </c>
      <c r="BO374" t="s">
        <v>74</v>
      </c>
      <c r="BP374" t="s">
        <v>74</v>
      </c>
      <c r="BQ374" t="s">
        <v>74</v>
      </c>
      <c r="BR374" t="s">
        <v>74</v>
      </c>
      <c r="BS374" t="s">
        <v>3358</v>
      </c>
      <c r="BT374" t="str">
        <f>HYPERLINK("https%3A%2F%2Fwww.webofscience.com%2Fwos%2Fwoscc%2Ffull-record%2FWOS:000986980500023","View Full Record in Web of Science")</f>
        <v>View Full Record in Web of Science</v>
      </c>
    </row>
    <row r="375" spans="1:72" x14ac:dyDescent="0.2">
      <c r="A375" t="s">
        <v>72</v>
      </c>
      <c r="B375" t="s">
        <v>3359</v>
      </c>
      <c r="C375" t="s">
        <v>74</v>
      </c>
      <c r="D375" t="s">
        <v>74</v>
      </c>
      <c r="E375" t="s">
        <v>74</v>
      </c>
      <c r="F375" t="s">
        <v>3360</v>
      </c>
      <c r="G375" t="s">
        <v>74</v>
      </c>
      <c r="H375" t="s">
        <v>74</v>
      </c>
      <c r="I375" t="s">
        <v>3361</v>
      </c>
      <c r="J375" t="s">
        <v>2125</v>
      </c>
      <c r="K375" t="s">
        <v>74</v>
      </c>
      <c r="L375" t="s">
        <v>74</v>
      </c>
      <c r="M375" t="s">
        <v>74</v>
      </c>
      <c r="N375" t="s">
        <v>74</v>
      </c>
      <c r="O375" t="s">
        <v>74</v>
      </c>
      <c r="P375" t="s">
        <v>74</v>
      </c>
      <c r="Q375" t="s">
        <v>74</v>
      </c>
      <c r="R375" t="s">
        <v>74</v>
      </c>
      <c r="S375" t="s">
        <v>74</v>
      </c>
      <c r="T375" t="s">
        <v>74</v>
      </c>
      <c r="U375" t="s">
        <v>74</v>
      </c>
      <c r="V375" t="s">
        <v>3362</v>
      </c>
      <c r="W375" t="s">
        <v>74</v>
      </c>
      <c r="X375" t="s">
        <v>74</v>
      </c>
      <c r="Y375" t="s">
        <v>74</v>
      </c>
      <c r="Z375" t="s">
        <v>74</v>
      </c>
      <c r="AA375" t="s">
        <v>3363</v>
      </c>
      <c r="AB375" t="s">
        <v>3364</v>
      </c>
      <c r="AC375" t="s">
        <v>74</v>
      </c>
      <c r="AD375" t="s">
        <v>74</v>
      </c>
      <c r="AE375" t="s">
        <v>74</v>
      </c>
      <c r="AF375" t="s">
        <v>74</v>
      </c>
      <c r="AG375" t="s">
        <v>74</v>
      </c>
      <c r="AH375" t="s">
        <v>74</v>
      </c>
      <c r="AI375" t="s">
        <v>74</v>
      </c>
      <c r="AJ375" t="s">
        <v>74</v>
      </c>
      <c r="AK375" t="s">
        <v>74</v>
      </c>
      <c r="AL375" t="s">
        <v>74</v>
      </c>
      <c r="AM375" t="s">
        <v>74</v>
      </c>
      <c r="AN375" t="s">
        <v>74</v>
      </c>
      <c r="AO375" t="s">
        <v>2129</v>
      </c>
      <c r="AP375" t="s">
        <v>2130</v>
      </c>
      <c r="AQ375" t="s">
        <v>74</v>
      </c>
      <c r="AR375" t="s">
        <v>74</v>
      </c>
      <c r="AS375" t="s">
        <v>74</v>
      </c>
      <c r="AT375" t="s">
        <v>3365</v>
      </c>
      <c r="AU375">
        <v>2023</v>
      </c>
      <c r="AV375">
        <v>56</v>
      </c>
      <c r="AW375">
        <v>2</v>
      </c>
      <c r="AX375" t="s">
        <v>74</v>
      </c>
      <c r="AY375" t="s">
        <v>74</v>
      </c>
      <c r="AZ375" t="s">
        <v>74</v>
      </c>
      <c r="BA375" t="s">
        <v>74</v>
      </c>
      <c r="BB375">
        <v>117</v>
      </c>
      <c r="BC375">
        <v>127</v>
      </c>
      <c r="BD375" t="s">
        <v>74</v>
      </c>
      <c r="BE375" t="s">
        <v>3366</v>
      </c>
      <c r="BF375" t="str">
        <f>HYPERLINK("http://dx.doi.org/10.1021/acs.accounts.2c00644","http://dx.doi.org/10.1021/acs.accounts.2c00644")</f>
        <v>http://dx.doi.org/10.1021/acs.accounts.2c00644</v>
      </c>
      <c r="BG375" t="s">
        <v>74</v>
      </c>
      <c r="BH375" t="s">
        <v>3367</v>
      </c>
      <c r="BI375" t="s">
        <v>74</v>
      </c>
      <c r="BJ375" t="s">
        <v>74</v>
      </c>
      <c r="BK375" t="s">
        <v>74</v>
      </c>
      <c r="BL375" t="s">
        <v>74</v>
      </c>
      <c r="BM375" t="s">
        <v>74</v>
      </c>
      <c r="BN375">
        <v>36584242</v>
      </c>
      <c r="BO375" t="s">
        <v>74</v>
      </c>
      <c r="BP375" t="s">
        <v>74</v>
      </c>
      <c r="BQ375" t="s">
        <v>74</v>
      </c>
      <c r="BR375" t="s">
        <v>74</v>
      </c>
      <c r="BS375" t="s">
        <v>3368</v>
      </c>
      <c r="BT375" t="str">
        <f>HYPERLINK("https%3A%2F%2Fwww.webofscience.com%2Fwos%2Fwoscc%2Ffull-record%2FWOS:000907819500001","View Full Record in Web of Science")</f>
        <v>View Full Record in Web of Science</v>
      </c>
    </row>
    <row r="376" spans="1:72" x14ac:dyDescent="0.2">
      <c r="A376" t="s">
        <v>72</v>
      </c>
      <c r="B376" t="s">
        <v>3369</v>
      </c>
      <c r="C376" t="s">
        <v>74</v>
      </c>
      <c r="D376" t="s">
        <v>74</v>
      </c>
      <c r="E376" t="s">
        <v>74</v>
      </c>
      <c r="F376" t="s">
        <v>3370</v>
      </c>
      <c r="G376" t="s">
        <v>74</v>
      </c>
      <c r="H376" t="s">
        <v>74</v>
      </c>
      <c r="I376" t="s">
        <v>3371</v>
      </c>
      <c r="J376" t="s">
        <v>3372</v>
      </c>
      <c r="K376" t="s">
        <v>74</v>
      </c>
      <c r="L376" t="s">
        <v>74</v>
      </c>
      <c r="M376" t="s">
        <v>74</v>
      </c>
      <c r="N376" t="s">
        <v>74</v>
      </c>
      <c r="O376" t="s">
        <v>74</v>
      </c>
      <c r="P376" t="s">
        <v>74</v>
      </c>
      <c r="Q376" t="s">
        <v>74</v>
      </c>
      <c r="R376" t="s">
        <v>74</v>
      </c>
      <c r="S376" t="s">
        <v>74</v>
      </c>
      <c r="T376" t="s">
        <v>74</v>
      </c>
      <c r="U376" t="s">
        <v>74</v>
      </c>
      <c r="V376" t="s">
        <v>3373</v>
      </c>
      <c r="W376" t="s">
        <v>74</v>
      </c>
      <c r="X376" t="s">
        <v>74</v>
      </c>
      <c r="Y376" t="s">
        <v>74</v>
      </c>
      <c r="Z376" t="s">
        <v>74</v>
      </c>
      <c r="AA376" t="s">
        <v>3374</v>
      </c>
      <c r="AB376" t="s">
        <v>74</v>
      </c>
      <c r="AC376" t="s">
        <v>74</v>
      </c>
      <c r="AD376" t="s">
        <v>74</v>
      </c>
      <c r="AE376" t="s">
        <v>74</v>
      </c>
      <c r="AF376" t="s">
        <v>74</v>
      </c>
      <c r="AG376" t="s">
        <v>74</v>
      </c>
      <c r="AH376" t="s">
        <v>74</v>
      </c>
      <c r="AI376" t="s">
        <v>74</v>
      </c>
      <c r="AJ376" t="s">
        <v>74</v>
      </c>
      <c r="AK376" t="s">
        <v>74</v>
      </c>
      <c r="AL376" t="s">
        <v>74</v>
      </c>
      <c r="AM376" t="s">
        <v>74</v>
      </c>
      <c r="AN376" t="s">
        <v>74</v>
      </c>
      <c r="AO376" t="s">
        <v>3375</v>
      </c>
      <c r="AP376" t="s">
        <v>3376</v>
      </c>
      <c r="AQ376" t="s">
        <v>74</v>
      </c>
      <c r="AR376" t="s">
        <v>74</v>
      </c>
      <c r="AS376" t="s">
        <v>74</v>
      </c>
      <c r="AT376" t="s">
        <v>1463</v>
      </c>
      <c r="AU376">
        <v>2023</v>
      </c>
      <c r="AV376">
        <v>296</v>
      </c>
      <c r="AW376" t="s">
        <v>74</v>
      </c>
      <c r="AX376" t="s">
        <v>74</v>
      </c>
      <c r="AY376" t="s">
        <v>74</v>
      </c>
      <c r="AZ376" t="s">
        <v>74</v>
      </c>
      <c r="BA376" t="s">
        <v>74</v>
      </c>
      <c r="BB376" t="s">
        <v>74</v>
      </c>
      <c r="BC376" t="s">
        <v>74</v>
      </c>
      <c r="BD376">
        <v>127221</v>
      </c>
      <c r="BE376" t="s">
        <v>3377</v>
      </c>
      <c r="BF376" t="str">
        <f>HYPERLINK("http://dx.doi.org/10.1016/j.matchemphys.2022.127221","http://dx.doi.org/10.1016/j.matchemphys.2022.127221")</f>
        <v>http://dx.doi.org/10.1016/j.matchemphys.2022.127221</v>
      </c>
      <c r="BG376" t="s">
        <v>74</v>
      </c>
      <c r="BH376" t="s">
        <v>3367</v>
      </c>
      <c r="BI376" t="s">
        <v>74</v>
      </c>
      <c r="BJ376" t="s">
        <v>74</v>
      </c>
      <c r="BK376" t="s">
        <v>74</v>
      </c>
      <c r="BL376" t="s">
        <v>74</v>
      </c>
      <c r="BM376" t="s">
        <v>74</v>
      </c>
      <c r="BN376" t="s">
        <v>74</v>
      </c>
      <c r="BO376" t="s">
        <v>74</v>
      </c>
      <c r="BP376" t="s">
        <v>74</v>
      </c>
      <c r="BQ376" t="s">
        <v>74</v>
      </c>
      <c r="BR376" t="s">
        <v>74</v>
      </c>
      <c r="BS376" t="s">
        <v>3378</v>
      </c>
      <c r="BT376" t="str">
        <f>HYPERLINK("https%3A%2F%2Fwww.webofscience.com%2Fwos%2Fwoscc%2Ffull-record%2FWOS:000913731000001","View Full Record in Web of Science")</f>
        <v>View Full Record in Web of Science</v>
      </c>
    </row>
    <row r="377" spans="1:72" x14ac:dyDescent="0.2">
      <c r="A377" t="s">
        <v>72</v>
      </c>
      <c r="B377" t="s">
        <v>3379</v>
      </c>
      <c r="C377" t="s">
        <v>74</v>
      </c>
      <c r="D377" t="s">
        <v>74</v>
      </c>
      <c r="E377" t="s">
        <v>74</v>
      </c>
      <c r="F377" t="s">
        <v>3380</v>
      </c>
      <c r="G377" t="s">
        <v>74</v>
      </c>
      <c r="H377" t="s">
        <v>74</v>
      </c>
      <c r="I377" t="s">
        <v>3381</v>
      </c>
      <c r="J377" t="s">
        <v>2987</v>
      </c>
      <c r="K377" t="s">
        <v>74</v>
      </c>
      <c r="L377" t="s">
        <v>74</v>
      </c>
      <c r="M377" t="s">
        <v>74</v>
      </c>
      <c r="N377" t="s">
        <v>74</v>
      </c>
      <c r="O377" t="s">
        <v>74</v>
      </c>
      <c r="P377" t="s">
        <v>74</v>
      </c>
      <c r="Q377" t="s">
        <v>74</v>
      </c>
      <c r="R377" t="s">
        <v>74</v>
      </c>
      <c r="S377" t="s">
        <v>74</v>
      </c>
      <c r="T377" t="s">
        <v>74</v>
      </c>
      <c r="U377" t="s">
        <v>74</v>
      </c>
      <c r="V377" t="s">
        <v>3382</v>
      </c>
      <c r="W377" t="s">
        <v>74</v>
      </c>
      <c r="X377" t="s">
        <v>74</v>
      </c>
      <c r="Y377" t="s">
        <v>74</v>
      </c>
      <c r="Z377" t="s">
        <v>74</v>
      </c>
      <c r="AA377" t="s">
        <v>3383</v>
      </c>
      <c r="AB377" t="s">
        <v>74</v>
      </c>
      <c r="AC377" t="s">
        <v>74</v>
      </c>
      <c r="AD377" t="s">
        <v>74</v>
      </c>
      <c r="AE377" t="s">
        <v>74</v>
      </c>
      <c r="AF377" t="s">
        <v>74</v>
      </c>
      <c r="AG377" t="s">
        <v>74</v>
      </c>
      <c r="AH377" t="s">
        <v>74</v>
      </c>
      <c r="AI377" t="s">
        <v>74</v>
      </c>
      <c r="AJ377" t="s">
        <v>74</v>
      </c>
      <c r="AK377" t="s">
        <v>74</v>
      </c>
      <c r="AL377" t="s">
        <v>74</v>
      </c>
      <c r="AM377" t="s">
        <v>74</v>
      </c>
      <c r="AN377" t="s">
        <v>74</v>
      </c>
      <c r="AO377" t="s">
        <v>2991</v>
      </c>
      <c r="AP377" t="s">
        <v>2992</v>
      </c>
      <c r="AQ377" t="s">
        <v>74</v>
      </c>
      <c r="AR377" t="s">
        <v>74</v>
      </c>
      <c r="AS377" t="s">
        <v>74</v>
      </c>
      <c r="AT377" t="s">
        <v>1420</v>
      </c>
      <c r="AU377">
        <v>2023</v>
      </c>
      <c r="AV377">
        <v>370</v>
      </c>
      <c r="AW377" t="s">
        <v>74</v>
      </c>
      <c r="AX377" t="s">
        <v>74</v>
      </c>
      <c r="AY377" t="s">
        <v>74</v>
      </c>
      <c r="AZ377" t="s">
        <v>74</v>
      </c>
      <c r="BA377" t="s">
        <v>74</v>
      </c>
      <c r="BB377" t="s">
        <v>74</v>
      </c>
      <c r="BC377" t="s">
        <v>74</v>
      </c>
      <c r="BD377">
        <v>120997</v>
      </c>
      <c r="BE377" t="s">
        <v>3384</v>
      </c>
      <c r="BF377" t="str">
        <f>HYPERLINK("http://dx.doi.org/10.1016/j.molliq.2022.120997","http://dx.doi.org/10.1016/j.molliq.2022.120997")</f>
        <v>http://dx.doi.org/10.1016/j.molliq.2022.120997</v>
      </c>
      <c r="BG377" t="s">
        <v>74</v>
      </c>
      <c r="BH377" t="s">
        <v>3367</v>
      </c>
      <c r="BI377" t="s">
        <v>74</v>
      </c>
      <c r="BJ377" t="s">
        <v>74</v>
      </c>
      <c r="BK377" t="s">
        <v>74</v>
      </c>
      <c r="BL377" t="s">
        <v>74</v>
      </c>
      <c r="BM377" t="s">
        <v>74</v>
      </c>
      <c r="BN377" t="s">
        <v>74</v>
      </c>
      <c r="BO377" t="s">
        <v>74</v>
      </c>
      <c r="BP377" t="s">
        <v>74</v>
      </c>
      <c r="BQ377" t="s">
        <v>74</v>
      </c>
      <c r="BR377" t="s">
        <v>74</v>
      </c>
      <c r="BS377" t="s">
        <v>3385</v>
      </c>
      <c r="BT377" t="str">
        <f>HYPERLINK("https%3A%2F%2Fwww.webofscience.com%2Fwos%2Fwoscc%2Ffull-record%2FWOS:000922712100007","View Full Record in Web of Science")</f>
        <v>View Full Record in Web of Science</v>
      </c>
    </row>
    <row r="378" spans="1:72" x14ac:dyDescent="0.2">
      <c r="A378" t="s">
        <v>72</v>
      </c>
      <c r="B378" t="s">
        <v>3386</v>
      </c>
      <c r="C378" t="s">
        <v>74</v>
      </c>
      <c r="D378" t="s">
        <v>74</v>
      </c>
      <c r="E378" t="s">
        <v>74</v>
      </c>
      <c r="F378" t="s">
        <v>3387</v>
      </c>
      <c r="G378" t="s">
        <v>74</v>
      </c>
      <c r="H378" t="s">
        <v>74</v>
      </c>
      <c r="I378" t="s">
        <v>3388</v>
      </c>
      <c r="J378" t="s">
        <v>411</v>
      </c>
      <c r="K378" t="s">
        <v>74</v>
      </c>
      <c r="L378" t="s">
        <v>74</v>
      </c>
      <c r="M378" t="s">
        <v>74</v>
      </c>
      <c r="N378" t="s">
        <v>74</v>
      </c>
      <c r="O378" t="s">
        <v>74</v>
      </c>
      <c r="P378" t="s">
        <v>74</v>
      </c>
      <c r="Q378" t="s">
        <v>74</v>
      </c>
      <c r="R378" t="s">
        <v>74</v>
      </c>
      <c r="S378" t="s">
        <v>74</v>
      </c>
      <c r="T378" t="s">
        <v>74</v>
      </c>
      <c r="U378" t="s">
        <v>74</v>
      </c>
      <c r="V378" t="s">
        <v>3389</v>
      </c>
      <c r="W378" t="s">
        <v>74</v>
      </c>
      <c r="X378" t="s">
        <v>74</v>
      </c>
      <c r="Y378" t="s">
        <v>74</v>
      </c>
      <c r="Z378" t="s">
        <v>74</v>
      </c>
      <c r="AA378" t="s">
        <v>3390</v>
      </c>
      <c r="AB378" t="s">
        <v>3391</v>
      </c>
      <c r="AC378" t="s">
        <v>74</v>
      </c>
      <c r="AD378" t="s">
        <v>74</v>
      </c>
      <c r="AE378" t="s">
        <v>74</v>
      </c>
      <c r="AF378" t="s">
        <v>74</v>
      </c>
      <c r="AG378" t="s">
        <v>74</v>
      </c>
      <c r="AH378" t="s">
        <v>74</v>
      </c>
      <c r="AI378" t="s">
        <v>74</v>
      </c>
      <c r="AJ378" t="s">
        <v>74</v>
      </c>
      <c r="AK378" t="s">
        <v>74</v>
      </c>
      <c r="AL378" t="s">
        <v>74</v>
      </c>
      <c r="AM378" t="s">
        <v>74</v>
      </c>
      <c r="AN378" t="s">
        <v>74</v>
      </c>
      <c r="AO378" t="s">
        <v>414</v>
      </c>
      <c r="AP378" t="s">
        <v>415</v>
      </c>
      <c r="AQ378" t="s">
        <v>74</v>
      </c>
      <c r="AR378" t="s">
        <v>74</v>
      </c>
      <c r="AS378" t="s">
        <v>74</v>
      </c>
      <c r="AT378" t="s">
        <v>1026</v>
      </c>
      <c r="AU378">
        <v>2023</v>
      </c>
      <c r="AV378">
        <v>19</v>
      </c>
      <c r="AW378">
        <v>8</v>
      </c>
      <c r="AX378" t="s">
        <v>74</v>
      </c>
      <c r="AY378" t="s">
        <v>74</v>
      </c>
      <c r="AZ378" t="s">
        <v>74</v>
      </c>
      <c r="BA378" t="s">
        <v>74</v>
      </c>
      <c r="BB378" t="s">
        <v>74</v>
      </c>
      <c r="BC378" t="s">
        <v>74</v>
      </c>
      <c r="BD378" t="s">
        <v>74</v>
      </c>
      <c r="BE378" t="s">
        <v>3392</v>
      </c>
      <c r="BF378" t="str">
        <f>HYPERLINK("http://dx.doi.org/10.1002/smll.202206092","http://dx.doi.org/10.1002/smll.202206092")</f>
        <v>http://dx.doi.org/10.1002/smll.202206092</v>
      </c>
      <c r="BG378" t="s">
        <v>74</v>
      </c>
      <c r="BH378" t="s">
        <v>3367</v>
      </c>
      <c r="BI378" t="s">
        <v>74</v>
      </c>
      <c r="BJ378" t="s">
        <v>74</v>
      </c>
      <c r="BK378" t="s">
        <v>74</v>
      </c>
      <c r="BL378" t="s">
        <v>74</v>
      </c>
      <c r="BM378" t="s">
        <v>74</v>
      </c>
      <c r="BN378">
        <v>36504320</v>
      </c>
      <c r="BO378" t="s">
        <v>74</v>
      </c>
      <c r="BP378" t="s">
        <v>74</v>
      </c>
      <c r="BQ378" t="s">
        <v>74</v>
      </c>
      <c r="BR378" t="s">
        <v>74</v>
      </c>
      <c r="BS378" t="s">
        <v>3393</v>
      </c>
      <c r="BT378" t="str">
        <f>HYPERLINK("https%3A%2F%2Fwww.webofscience.com%2Fwos%2Fwoscc%2Ffull-record%2FWOS:000896906000001","View Full Record in Web of Science")</f>
        <v>View Full Record in Web of Science</v>
      </c>
    </row>
    <row r="379" spans="1:72" x14ac:dyDescent="0.2">
      <c r="A379" t="s">
        <v>72</v>
      </c>
      <c r="B379" t="s">
        <v>3394</v>
      </c>
      <c r="C379" t="s">
        <v>74</v>
      </c>
      <c r="D379" t="s">
        <v>74</v>
      </c>
      <c r="E379" t="s">
        <v>74</v>
      </c>
      <c r="F379" t="s">
        <v>3395</v>
      </c>
      <c r="G379" t="s">
        <v>74</v>
      </c>
      <c r="H379" t="s">
        <v>74</v>
      </c>
      <c r="I379" t="s">
        <v>3396</v>
      </c>
      <c r="J379" t="s">
        <v>161</v>
      </c>
      <c r="K379" t="s">
        <v>74</v>
      </c>
      <c r="L379" t="s">
        <v>74</v>
      </c>
      <c r="M379" t="s">
        <v>74</v>
      </c>
      <c r="N379" t="s">
        <v>74</v>
      </c>
      <c r="O379" t="s">
        <v>74</v>
      </c>
      <c r="P379" t="s">
        <v>74</v>
      </c>
      <c r="Q379" t="s">
        <v>74</v>
      </c>
      <c r="R379" t="s">
        <v>74</v>
      </c>
      <c r="S379" t="s">
        <v>74</v>
      </c>
      <c r="T379" t="s">
        <v>74</v>
      </c>
      <c r="U379" t="s">
        <v>74</v>
      </c>
      <c r="V379" t="s">
        <v>3397</v>
      </c>
      <c r="W379" t="s">
        <v>74</v>
      </c>
      <c r="X379" t="s">
        <v>74</v>
      </c>
      <c r="Y379" t="s">
        <v>74</v>
      </c>
      <c r="Z379" t="s">
        <v>74</v>
      </c>
      <c r="AA379" t="s">
        <v>3398</v>
      </c>
      <c r="AB379" t="s">
        <v>74</v>
      </c>
      <c r="AC379" t="s">
        <v>74</v>
      </c>
      <c r="AD379" t="s">
        <v>74</v>
      </c>
      <c r="AE379" t="s">
        <v>74</v>
      </c>
      <c r="AF379" t="s">
        <v>74</v>
      </c>
      <c r="AG379" t="s">
        <v>74</v>
      </c>
      <c r="AH379" t="s">
        <v>74</v>
      </c>
      <c r="AI379" t="s">
        <v>74</v>
      </c>
      <c r="AJ379" t="s">
        <v>74</v>
      </c>
      <c r="AK379" t="s">
        <v>74</v>
      </c>
      <c r="AL379" t="s">
        <v>74</v>
      </c>
      <c r="AM379" t="s">
        <v>74</v>
      </c>
      <c r="AN379" t="s">
        <v>74</v>
      </c>
      <c r="AO379" t="s">
        <v>163</v>
      </c>
      <c r="AP379" t="s">
        <v>164</v>
      </c>
      <c r="AQ379" t="s">
        <v>74</v>
      </c>
      <c r="AR379" t="s">
        <v>74</v>
      </c>
      <c r="AS379" t="s">
        <v>74</v>
      </c>
      <c r="AT379" t="s">
        <v>1165</v>
      </c>
      <c r="AU379">
        <v>2023</v>
      </c>
      <c r="AV379">
        <v>455</v>
      </c>
      <c r="AW379" t="s">
        <v>74</v>
      </c>
      <c r="AX379">
        <v>2</v>
      </c>
      <c r="AY379" t="s">
        <v>74</v>
      </c>
      <c r="AZ379" t="s">
        <v>74</v>
      </c>
      <c r="BA379" t="s">
        <v>74</v>
      </c>
      <c r="BB379" t="s">
        <v>74</v>
      </c>
      <c r="BC379" t="s">
        <v>74</v>
      </c>
      <c r="BD379">
        <v>140820</v>
      </c>
      <c r="BE379" t="s">
        <v>3399</v>
      </c>
      <c r="BF379" t="str">
        <f>HYPERLINK("http://dx.doi.org/10.1016/j.cej.2022.140820","http://dx.doi.org/10.1016/j.cej.2022.140820")</f>
        <v>http://dx.doi.org/10.1016/j.cej.2022.140820</v>
      </c>
      <c r="BG379" t="s">
        <v>74</v>
      </c>
      <c r="BH379" t="s">
        <v>3367</v>
      </c>
      <c r="BI379" t="s">
        <v>74</v>
      </c>
      <c r="BJ379" t="s">
        <v>74</v>
      </c>
      <c r="BK379" t="s">
        <v>74</v>
      </c>
      <c r="BL379" t="s">
        <v>74</v>
      </c>
      <c r="BM379" t="s">
        <v>74</v>
      </c>
      <c r="BN379" t="s">
        <v>74</v>
      </c>
      <c r="BO379" t="s">
        <v>74</v>
      </c>
      <c r="BP379" t="s">
        <v>74</v>
      </c>
      <c r="BQ379" t="s">
        <v>74</v>
      </c>
      <c r="BR379" t="s">
        <v>74</v>
      </c>
      <c r="BS379" t="s">
        <v>3400</v>
      </c>
      <c r="BT379" t="str">
        <f>HYPERLINK("https%3A%2F%2Fwww.webofscience.com%2Fwos%2Fwoscc%2Ffull-record%2FWOS:000895274100004","View Full Record in Web of Science")</f>
        <v>View Full Record in Web of Science</v>
      </c>
    </row>
    <row r="380" spans="1:72" x14ac:dyDescent="0.2">
      <c r="A380" t="s">
        <v>72</v>
      </c>
      <c r="B380" t="s">
        <v>3401</v>
      </c>
      <c r="C380" t="s">
        <v>74</v>
      </c>
      <c r="D380" t="s">
        <v>74</v>
      </c>
      <c r="E380" t="s">
        <v>74</v>
      </c>
      <c r="F380" t="s">
        <v>3402</v>
      </c>
      <c r="G380" t="s">
        <v>74</v>
      </c>
      <c r="H380" t="s">
        <v>74</v>
      </c>
      <c r="I380" t="s">
        <v>3403</v>
      </c>
      <c r="J380" t="s">
        <v>98</v>
      </c>
      <c r="K380" t="s">
        <v>74</v>
      </c>
      <c r="L380" t="s">
        <v>74</v>
      </c>
      <c r="M380" t="s">
        <v>74</v>
      </c>
      <c r="N380" t="s">
        <v>74</v>
      </c>
      <c r="O380" t="s">
        <v>74</v>
      </c>
      <c r="P380" t="s">
        <v>74</v>
      </c>
      <c r="Q380" t="s">
        <v>74</v>
      </c>
      <c r="R380" t="s">
        <v>74</v>
      </c>
      <c r="S380" t="s">
        <v>74</v>
      </c>
      <c r="T380" t="s">
        <v>74</v>
      </c>
      <c r="U380" t="s">
        <v>74</v>
      </c>
      <c r="V380" t="s">
        <v>3404</v>
      </c>
      <c r="W380" t="s">
        <v>74</v>
      </c>
      <c r="X380" t="s">
        <v>74</v>
      </c>
      <c r="Y380" t="s">
        <v>74</v>
      </c>
      <c r="Z380" t="s">
        <v>74</v>
      </c>
      <c r="AA380" t="s">
        <v>3405</v>
      </c>
      <c r="AB380" t="s">
        <v>3406</v>
      </c>
      <c r="AC380" t="s">
        <v>74</v>
      </c>
      <c r="AD380" t="s">
        <v>74</v>
      </c>
      <c r="AE380" t="s">
        <v>74</v>
      </c>
      <c r="AF380" t="s">
        <v>74</v>
      </c>
      <c r="AG380" t="s">
        <v>74</v>
      </c>
      <c r="AH380" t="s">
        <v>74</v>
      </c>
      <c r="AI380" t="s">
        <v>74</v>
      </c>
      <c r="AJ380" t="s">
        <v>74</v>
      </c>
      <c r="AK380" t="s">
        <v>74</v>
      </c>
      <c r="AL380" t="s">
        <v>74</v>
      </c>
      <c r="AM380" t="s">
        <v>74</v>
      </c>
      <c r="AN380" t="s">
        <v>74</v>
      </c>
      <c r="AO380" t="s">
        <v>101</v>
      </c>
      <c r="AP380" t="s">
        <v>102</v>
      </c>
      <c r="AQ380" t="s">
        <v>74</v>
      </c>
      <c r="AR380" t="s">
        <v>74</v>
      </c>
      <c r="AS380" t="s">
        <v>74</v>
      </c>
      <c r="AT380" t="s">
        <v>1154</v>
      </c>
      <c r="AU380">
        <v>2023</v>
      </c>
      <c r="AV380">
        <v>556</v>
      </c>
      <c r="AW380" t="s">
        <v>74</v>
      </c>
      <c r="AX380" t="s">
        <v>74</v>
      </c>
      <c r="AY380" t="s">
        <v>74</v>
      </c>
      <c r="AZ380" t="s">
        <v>74</v>
      </c>
      <c r="BA380" t="s">
        <v>74</v>
      </c>
      <c r="BB380" t="s">
        <v>74</v>
      </c>
      <c r="BC380" t="s">
        <v>74</v>
      </c>
      <c r="BD380">
        <v>232476</v>
      </c>
      <c r="BE380" t="s">
        <v>3407</v>
      </c>
      <c r="BF380" t="str">
        <f>HYPERLINK("http://dx.doi.org/10.1016/j.jpowsour.2022.232476","http://dx.doi.org/10.1016/j.jpowsour.2022.232476")</f>
        <v>http://dx.doi.org/10.1016/j.jpowsour.2022.232476</v>
      </c>
      <c r="BG380" t="s">
        <v>74</v>
      </c>
      <c r="BH380" t="s">
        <v>3367</v>
      </c>
      <c r="BI380" t="s">
        <v>74</v>
      </c>
      <c r="BJ380" t="s">
        <v>74</v>
      </c>
      <c r="BK380" t="s">
        <v>74</v>
      </c>
      <c r="BL380" t="s">
        <v>74</v>
      </c>
      <c r="BM380" t="s">
        <v>74</v>
      </c>
      <c r="BN380" t="s">
        <v>74</v>
      </c>
      <c r="BO380" t="s">
        <v>74</v>
      </c>
      <c r="BP380" t="s">
        <v>74</v>
      </c>
      <c r="BQ380" t="s">
        <v>74</v>
      </c>
      <c r="BR380" t="s">
        <v>74</v>
      </c>
      <c r="BS380" t="s">
        <v>3408</v>
      </c>
      <c r="BT380" t="str">
        <f>HYPERLINK("https%3A%2F%2Fwww.webofscience.com%2Fwos%2Fwoscc%2Ffull-record%2FWOS:000899390300004","View Full Record in Web of Science")</f>
        <v>View Full Record in Web of Science</v>
      </c>
    </row>
    <row r="381" spans="1:72" x14ac:dyDescent="0.2">
      <c r="A381" t="s">
        <v>72</v>
      </c>
      <c r="B381" t="s">
        <v>3409</v>
      </c>
      <c r="C381" t="s">
        <v>74</v>
      </c>
      <c r="D381" t="s">
        <v>74</v>
      </c>
      <c r="E381" t="s">
        <v>74</v>
      </c>
      <c r="F381" t="s">
        <v>3410</v>
      </c>
      <c r="G381" t="s">
        <v>74</v>
      </c>
      <c r="H381" t="s">
        <v>74</v>
      </c>
      <c r="I381" t="s">
        <v>3411</v>
      </c>
      <c r="J381" t="s">
        <v>1273</v>
      </c>
      <c r="K381" t="s">
        <v>74</v>
      </c>
      <c r="L381" t="s">
        <v>74</v>
      </c>
      <c r="M381" t="s">
        <v>74</v>
      </c>
      <c r="N381" t="s">
        <v>74</v>
      </c>
      <c r="O381" t="s">
        <v>74</v>
      </c>
      <c r="P381" t="s">
        <v>74</v>
      </c>
      <c r="Q381" t="s">
        <v>74</v>
      </c>
      <c r="R381" t="s">
        <v>74</v>
      </c>
      <c r="S381" t="s">
        <v>74</v>
      </c>
      <c r="T381" t="s">
        <v>74</v>
      </c>
      <c r="U381" t="s">
        <v>74</v>
      </c>
      <c r="V381" t="s">
        <v>3412</v>
      </c>
      <c r="W381" t="s">
        <v>74</v>
      </c>
      <c r="X381" t="s">
        <v>74</v>
      </c>
      <c r="Y381" t="s">
        <v>74</v>
      </c>
      <c r="Z381" t="s">
        <v>74</v>
      </c>
      <c r="AA381" t="s">
        <v>3413</v>
      </c>
      <c r="AB381" t="s">
        <v>3414</v>
      </c>
      <c r="AC381" t="s">
        <v>74</v>
      </c>
      <c r="AD381" t="s">
        <v>74</v>
      </c>
      <c r="AE381" t="s">
        <v>74</v>
      </c>
      <c r="AF381" t="s">
        <v>74</v>
      </c>
      <c r="AG381" t="s">
        <v>74</v>
      </c>
      <c r="AH381" t="s">
        <v>74</v>
      </c>
      <c r="AI381" t="s">
        <v>74</v>
      </c>
      <c r="AJ381" t="s">
        <v>74</v>
      </c>
      <c r="AK381" t="s">
        <v>74</v>
      </c>
      <c r="AL381" t="s">
        <v>74</v>
      </c>
      <c r="AM381" t="s">
        <v>74</v>
      </c>
      <c r="AN381" t="s">
        <v>74</v>
      </c>
      <c r="AO381" t="s">
        <v>1277</v>
      </c>
      <c r="AP381" t="s">
        <v>1278</v>
      </c>
      <c r="AQ381" t="s">
        <v>74</v>
      </c>
      <c r="AR381" t="s">
        <v>74</v>
      </c>
      <c r="AS381" t="s">
        <v>74</v>
      </c>
      <c r="AT381" t="s">
        <v>3415</v>
      </c>
      <c r="AU381">
        <v>2022</v>
      </c>
      <c r="AV381">
        <v>34</v>
      </c>
      <c r="AW381">
        <v>23</v>
      </c>
      <c r="AX381" t="s">
        <v>74</v>
      </c>
      <c r="AY381" t="s">
        <v>74</v>
      </c>
      <c r="AZ381" t="s">
        <v>74</v>
      </c>
      <c r="BA381" t="s">
        <v>74</v>
      </c>
      <c r="BB381">
        <v>10670</v>
      </c>
      <c r="BC381">
        <v>10680</v>
      </c>
      <c r="BD381" t="s">
        <v>74</v>
      </c>
      <c r="BE381" t="s">
        <v>3416</v>
      </c>
      <c r="BF381" t="str">
        <f>HYPERLINK("http://dx.doi.org/10.1021/acs.chemmater.2c01766","http://dx.doi.org/10.1021/acs.chemmater.2c01766")</f>
        <v>http://dx.doi.org/10.1021/acs.chemmater.2c01766</v>
      </c>
      <c r="BG381" t="s">
        <v>74</v>
      </c>
      <c r="BH381" t="s">
        <v>3417</v>
      </c>
      <c r="BI381" t="s">
        <v>74</v>
      </c>
      <c r="BJ381" t="s">
        <v>74</v>
      </c>
      <c r="BK381" t="s">
        <v>74</v>
      </c>
      <c r="BL381" t="s">
        <v>74</v>
      </c>
      <c r="BM381" t="s">
        <v>74</v>
      </c>
      <c r="BN381">
        <v>36530943</v>
      </c>
      <c r="BO381" t="s">
        <v>74</v>
      </c>
      <c r="BP381" t="s">
        <v>74</v>
      </c>
      <c r="BQ381" t="s">
        <v>74</v>
      </c>
      <c r="BR381" t="s">
        <v>74</v>
      </c>
      <c r="BS381" t="s">
        <v>3418</v>
      </c>
      <c r="BT381" t="str">
        <f>HYPERLINK("https%3A%2F%2Fwww.webofscience.com%2Fwos%2Fwoscc%2Ffull-record%2FWOS:000890514600001","View Full Record in Web of Science")</f>
        <v>View Full Record in Web of Science</v>
      </c>
    </row>
    <row r="382" spans="1:72" x14ac:dyDescent="0.2">
      <c r="A382" t="s">
        <v>72</v>
      </c>
      <c r="B382" t="s">
        <v>3419</v>
      </c>
      <c r="C382" t="s">
        <v>74</v>
      </c>
      <c r="D382" t="s">
        <v>74</v>
      </c>
      <c r="E382" t="s">
        <v>74</v>
      </c>
      <c r="F382" t="s">
        <v>3420</v>
      </c>
      <c r="G382" t="s">
        <v>74</v>
      </c>
      <c r="H382" t="s">
        <v>74</v>
      </c>
      <c r="I382" t="s">
        <v>3421</v>
      </c>
      <c r="J382" t="s">
        <v>528</v>
      </c>
      <c r="K382" t="s">
        <v>74</v>
      </c>
      <c r="L382" t="s">
        <v>74</v>
      </c>
      <c r="M382" t="s">
        <v>74</v>
      </c>
      <c r="N382" t="s">
        <v>74</v>
      </c>
      <c r="O382" t="s">
        <v>74</v>
      </c>
      <c r="P382" t="s">
        <v>74</v>
      </c>
      <c r="Q382" t="s">
        <v>74</v>
      </c>
      <c r="R382" t="s">
        <v>74</v>
      </c>
      <c r="S382" t="s">
        <v>74</v>
      </c>
      <c r="T382" t="s">
        <v>74</v>
      </c>
      <c r="U382" t="s">
        <v>74</v>
      </c>
      <c r="V382" t="s">
        <v>3422</v>
      </c>
      <c r="W382" t="s">
        <v>74</v>
      </c>
      <c r="X382" t="s">
        <v>74</v>
      </c>
      <c r="Y382" t="s">
        <v>74</v>
      </c>
      <c r="Z382" t="s">
        <v>74</v>
      </c>
      <c r="AA382" t="s">
        <v>3423</v>
      </c>
      <c r="AB382" t="s">
        <v>3424</v>
      </c>
      <c r="AC382" t="s">
        <v>74</v>
      </c>
      <c r="AD382" t="s">
        <v>74</v>
      </c>
      <c r="AE382" t="s">
        <v>74</v>
      </c>
      <c r="AF382" t="s">
        <v>74</v>
      </c>
      <c r="AG382" t="s">
        <v>74</v>
      </c>
      <c r="AH382" t="s">
        <v>74</v>
      </c>
      <c r="AI382" t="s">
        <v>74</v>
      </c>
      <c r="AJ382" t="s">
        <v>74</v>
      </c>
      <c r="AK382" t="s">
        <v>74</v>
      </c>
      <c r="AL382" t="s">
        <v>74</v>
      </c>
      <c r="AM382" t="s">
        <v>74</v>
      </c>
      <c r="AN382" t="s">
        <v>74</v>
      </c>
      <c r="AO382" t="s">
        <v>532</v>
      </c>
      <c r="AP382" t="s">
        <v>533</v>
      </c>
      <c r="AQ382" t="s">
        <v>74</v>
      </c>
      <c r="AR382" t="s">
        <v>74</v>
      </c>
      <c r="AS382" t="s">
        <v>74</v>
      </c>
      <c r="AT382" t="s">
        <v>3425</v>
      </c>
      <c r="AU382">
        <v>2022</v>
      </c>
      <c r="AV382" t="s">
        <v>74</v>
      </c>
      <c r="AW382" t="s">
        <v>74</v>
      </c>
      <c r="AX382" t="s">
        <v>74</v>
      </c>
      <c r="AY382" t="s">
        <v>74</v>
      </c>
      <c r="AZ382" t="s">
        <v>74</v>
      </c>
      <c r="BA382" t="s">
        <v>74</v>
      </c>
      <c r="BB382" t="s">
        <v>74</v>
      </c>
      <c r="BC382" t="s">
        <v>74</v>
      </c>
      <c r="BD382" t="s">
        <v>74</v>
      </c>
      <c r="BE382" t="s">
        <v>3426</v>
      </c>
      <c r="BF382" t="str">
        <f>HYPERLINK("http://dx.doi.org/10.1021/acsami.2c16604","http://dx.doi.org/10.1021/acsami.2c16604")</f>
        <v>http://dx.doi.org/10.1021/acsami.2c16604</v>
      </c>
      <c r="BG382" t="s">
        <v>74</v>
      </c>
      <c r="BH382" t="s">
        <v>3417</v>
      </c>
      <c r="BI382" t="s">
        <v>74</v>
      </c>
      <c r="BJ382" t="s">
        <v>74</v>
      </c>
      <c r="BK382" t="s">
        <v>74</v>
      </c>
      <c r="BL382" t="s">
        <v>74</v>
      </c>
      <c r="BM382" t="s">
        <v>74</v>
      </c>
      <c r="BN382">
        <v>36378571</v>
      </c>
      <c r="BO382" t="s">
        <v>74</v>
      </c>
      <c r="BP382" t="s">
        <v>74</v>
      </c>
      <c r="BQ382" t="s">
        <v>74</v>
      </c>
      <c r="BR382" t="s">
        <v>74</v>
      </c>
      <c r="BS382" t="s">
        <v>3427</v>
      </c>
      <c r="BT382" t="str">
        <f>HYPERLINK("https%3A%2F%2Fwww.webofscience.com%2Fwos%2Fwoscc%2Ffull-record%2FWOS:000886214400001","View Full Record in Web of Science")</f>
        <v>View Full Record in Web of Science</v>
      </c>
    </row>
    <row r="383" spans="1:72" x14ac:dyDescent="0.2">
      <c r="A383" t="s">
        <v>72</v>
      </c>
      <c r="B383" t="s">
        <v>3428</v>
      </c>
      <c r="C383" t="s">
        <v>74</v>
      </c>
      <c r="D383" t="s">
        <v>74</v>
      </c>
      <c r="E383" t="s">
        <v>74</v>
      </c>
      <c r="F383" t="s">
        <v>3429</v>
      </c>
      <c r="G383" t="s">
        <v>74</v>
      </c>
      <c r="H383" t="s">
        <v>74</v>
      </c>
      <c r="I383" t="s">
        <v>3430</v>
      </c>
      <c r="J383" t="s">
        <v>98</v>
      </c>
      <c r="K383" t="s">
        <v>74</v>
      </c>
      <c r="L383" t="s">
        <v>74</v>
      </c>
      <c r="M383" t="s">
        <v>74</v>
      </c>
      <c r="N383" t="s">
        <v>74</v>
      </c>
      <c r="O383" t="s">
        <v>74</v>
      </c>
      <c r="P383" t="s">
        <v>74</v>
      </c>
      <c r="Q383" t="s">
        <v>74</v>
      </c>
      <c r="R383" t="s">
        <v>74</v>
      </c>
      <c r="S383" t="s">
        <v>74</v>
      </c>
      <c r="T383" t="s">
        <v>74</v>
      </c>
      <c r="U383" t="s">
        <v>74</v>
      </c>
      <c r="V383" t="s">
        <v>3431</v>
      </c>
      <c r="W383" t="s">
        <v>74</v>
      </c>
      <c r="X383" t="s">
        <v>74</v>
      </c>
      <c r="Y383" t="s">
        <v>74</v>
      </c>
      <c r="Z383" t="s">
        <v>74</v>
      </c>
      <c r="AA383" t="s">
        <v>3432</v>
      </c>
      <c r="AB383" t="s">
        <v>3433</v>
      </c>
      <c r="AC383" t="s">
        <v>74</v>
      </c>
      <c r="AD383" t="s">
        <v>74</v>
      </c>
      <c r="AE383" t="s">
        <v>74</v>
      </c>
      <c r="AF383" t="s">
        <v>74</v>
      </c>
      <c r="AG383" t="s">
        <v>74</v>
      </c>
      <c r="AH383" t="s">
        <v>74</v>
      </c>
      <c r="AI383" t="s">
        <v>74</v>
      </c>
      <c r="AJ383" t="s">
        <v>74</v>
      </c>
      <c r="AK383" t="s">
        <v>74</v>
      </c>
      <c r="AL383" t="s">
        <v>74</v>
      </c>
      <c r="AM383" t="s">
        <v>74</v>
      </c>
      <c r="AN383" t="s">
        <v>74</v>
      </c>
      <c r="AO383" t="s">
        <v>101</v>
      </c>
      <c r="AP383" t="s">
        <v>102</v>
      </c>
      <c r="AQ383" t="s">
        <v>74</v>
      </c>
      <c r="AR383" t="s">
        <v>74</v>
      </c>
      <c r="AS383" t="s">
        <v>74</v>
      </c>
      <c r="AT383" t="s">
        <v>1391</v>
      </c>
      <c r="AU383">
        <v>2022</v>
      </c>
      <c r="AV383">
        <v>548</v>
      </c>
      <c r="AW383" t="s">
        <v>74</v>
      </c>
      <c r="AX383" t="s">
        <v>74</v>
      </c>
      <c r="AY383" t="s">
        <v>74</v>
      </c>
      <c r="AZ383" t="s">
        <v>74</v>
      </c>
      <c r="BA383" t="s">
        <v>74</v>
      </c>
      <c r="BB383" t="s">
        <v>74</v>
      </c>
      <c r="BC383" t="s">
        <v>74</v>
      </c>
      <c r="BD383">
        <v>232092</v>
      </c>
      <c r="BE383" t="s">
        <v>3434</v>
      </c>
      <c r="BF383" t="str">
        <f>HYPERLINK("http://dx.doi.org/10.1016/j.jpowsour.2022.232092","http://dx.doi.org/10.1016/j.jpowsour.2022.232092")</f>
        <v>http://dx.doi.org/10.1016/j.jpowsour.2022.232092</v>
      </c>
      <c r="BG383" t="s">
        <v>74</v>
      </c>
      <c r="BH383" t="s">
        <v>74</v>
      </c>
      <c r="BI383" t="s">
        <v>74</v>
      </c>
      <c r="BJ383" t="s">
        <v>74</v>
      </c>
      <c r="BK383" t="s">
        <v>74</v>
      </c>
      <c r="BL383" t="s">
        <v>74</v>
      </c>
      <c r="BM383" t="s">
        <v>74</v>
      </c>
      <c r="BN383" t="s">
        <v>74</v>
      </c>
      <c r="BO383" t="s">
        <v>74</v>
      </c>
      <c r="BP383" t="s">
        <v>74</v>
      </c>
      <c r="BQ383" t="s">
        <v>74</v>
      </c>
      <c r="BR383" t="s">
        <v>74</v>
      </c>
      <c r="BS383" t="s">
        <v>3435</v>
      </c>
      <c r="BT383" t="str">
        <f>HYPERLINK("https%3A%2F%2Fwww.webofscience.com%2Fwos%2Fwoscc%2Ffull-record%2FWOS:000864691900003","View Full Record in Web of Science")</f>
        <v>View Full Record in Web of Science</v>
      </c>
    </row>
    <row r="384" spans="1:72" x14ac:dyDescent="0.2">
      <c r="A384" t="s">
        <v>72</v>
      </c>
      <c r="B384" t="s">
        <v>3436</v>
      </c>
      <c r="C384" t="s">
        <v>74</v>
      </c>
      <c r="D384" t="s">
        <v>74</v>
      </c>
      <c r="E384" t="s">
        <v>74</v>
      </c>
      <c r="F384" t="s">
        <v>3437</v>
      </c>
      <c r="G384" t="s">
        <v>74</v>
      </c>
      <c r="H384" t="s">
        <v>74</v>
      </c>
      <c r="I384" t="s">
        <v>3438</v>
      </c>
      <c r="J384" t="s">
        <v>1040</v>
      </c>
      <c r="K384" t="s">
        <v>74</v>
      </c>
      <c r="L384" t="s">
        <v>74</v>
      </c>
      <c r="M384" t="s">
        <v>74</v>
      </c>
      <c r="N384" t="s">
        <v>74</v>
      </c>
      <c r="O384" t="s">
        <v>74</v>
      </c>
      <c r="P384" t="s">
        <v>74</v>
      </c>
      <c r="Q384" t="s">
        <v>74</v>
      </c>
      <c r="R384" t="s">
        <v>74</v>
      </c>
      <c r="S384" t="s">
        <v>74</v>
      </c>
      <c r="T384" t="s">
        <v>74</v>
      </c>
      <c r="U384" t="s">
        <v>74</v>
      </c>
      <c r="V384" t="s">
        <v>3439</v>
      </c>
      <c r="W384" t="s">
        <v>74</v>
      </c>
      <c r="X384" t="s">
        <v>74</v>
      </c>
      <c r="Y384" t="s">
        <v>74</v>
      </c>
      <c r="Z384" t="s">
        <v>74</v>
      </c>
      <c r="AA384" t="s">
        <v>3440</v>
      </c>
      <c r="AB384" t="s">
        <v>3441</v>
      </c>
      <c r="AC384" t="s">
        <v>74</v>
      </c>
      <c r="AD384" t="s">
        <v>74</v>
      </c>
      <c r="AE384" t="s">
        <v>74</v>
      </c>
      <c r="AF384" t="s">
        <v>74</v>
      </c>
      <c r="AG384" t="s">
        <v>74</v>
      </c>
      <c r="AH384" t="s">
        <v>74</v>
      </c>
      <c r="AI384" t="s">
        <v>74</v>
      </c>
      <c r="AJ384" t="s">
        <v>74</v>
      </c>
      <c r="AK384" t="s">
        <v>74</v>
      </c>
      <c r="AL384" t="s">
        <v>74</v>
      </c>
      <c r="AM384" t="s">
        <v>74</v>
      </c>
      <c r="AN384" t="s">
        <v>74</v>
      </c>
      <c r="AO384" t="s">
        <v>1043</v>
      </c>
      <c r="AP384" t="s">
        <v>1044</v>
      </c>
      <c r="AQ384" t="s">
        <v>74</v>
      </c>
      <c r="AR384" t="s">
        <v>74</v>
      </c>
      <c r="AS384" t="s">
        <v>74</v>
      </c>
      <c r="AT384" t="s">
        <v>3442</v>
      </c>
      <c r="AU384">
        <v>2022</v>
      </c>
      <c r="AV384">
        <v>24</v>
      </c>
      <c r="AW384">
        <v>46</v>
      </c>
      <c r="AX384" t="s">
        <v>74</v>
      </c>
      <c r="AY384" t="s">
        <v>74</v>
      </c>
      <c r="AZ384" t="s">
        <v>74</v>
      </c>
      <c r="BA384" t="s">
        <v>74</v>
      </c>
      <c r="BB384">
        <v>28205</v>
      </c>
      <c r="BC384">
        <v>28212</v>
      </c>
      <c r="BD384" t="s">
        <v>74</v>
      </c>
      <c r="BE384" t="s">
        <v>3443</v>
      </c>
      <c r="BF384" t="str">
        <f>HYPERLINK("http://dx.doi.org/10.1039/d2cp04125a","http://dx.doi.org/10.1039/d2cp04125a")</f>
        <v>http://dx.doi.org/10.1039/d2cp04125a</v>
      </c>
      <c r="BG384" t="s">
        <v>74</v>
      </c>
      <c r="BH384" t="s">
        <v>3417</v>
      </c>
      <c r="BI384" t="s">
        <v>74</v>
      </c>
      <c r="BJ384" t="s">
        <v>74</v>
      </c>
      <c r="BK384" t="s">
        <v>74</v>
      </c>
      <c r="BL384" t="s">
        <v>74</v>
      </c>
      <c r="BM384" t="s">
        <v>74</v>
      </c>
      <c r="BN384">
        <v>36412211</v>
      </c>
      <c r="BO384" t="s">
        <v>74</v>
      </c>
      <c r="BP384" t="s">
        <v>74</v>
      </c>
      <c r="BQ384" t="s">
        <v>74</v>
      </c>
      <c r="BR384" t="s">
        <v>74</v>
      </c>
      <c r="BS384" t="s">
        <v>3444</v>
      </c>
      <c r="BT384" t="str">
        <f>HYPERLINK("https%3A%2F%2Fwww.webofscience.com%2Fwos%2Fwoscc%2Ffull-record%2FWOS:000889760900001","View Full Record in Web of Science")</f>
        <v>View Full Record in Web of Science</v>
      </c>
    </row>
    <row r="385" spans="1:72" x14ac:dyDescent="0.2">
      <c r="A385" t="s">
        <v>72</v>
      </c>
      <c r="B385" t="s">
        <v>3445</v>
      </c>
      <c r="C385" t="s">
        <v>74</v>
      </c>
      <c r="D385" t="s">
        <v>74</v>
      </c>
      <c r="E385" t="s">
        <v>74</v>
      </c>
      <c r="F385" t="s">
        <v>3446</v>
      </c>
      <c r="G385" t="s">
        <v>74</v>
      </c>
      <c r="H385" t="s">
        <v>74</v>
      </c>
      <c r="I385" t="s">
        <v>3447</v>
      </c>
      <c r="J385" t="s">
        <v>307</v>
      </c>
      <c r="K385" t="s">
        <v>74</v>
      </c>
      <c r="L385" t="s">
        <v>74</v>
      </c>
      <c r="M385" t="s">
        <v>74</v>
      </c>
      <c r="N385" t="s">
        <v>74</v>
      </c>
      <c r="O385" t="s">
        <v>74</v>
      </c>
      <c r="P385" t="s">
        <v>74</v>
      </c>
      <c r="Q385" t="s">
        <v>74</v>
      </c>
      <c r="R385" t="s">
        <v>74</v>
      </c>
      <c r="S385" t="s">
        <v>74</v>
      </c>
      <c r="T385" t="s">
        <v>74</v>
      </c>
      <c r="U385" t="s">
        <v>74</v>
      </c>
      <c r="V385" t="s">
        <v>3448</v>
      </c>
      <c r="W385" t="s">
        <v>74</v>
      </c>
      <c r="X385" t="s">
        <v>74</v>
      </c>
      <c r="Y385" t="s">
        <v>74</v>
      </c>
      <c r="Z385" t="s">
        <v>74</v>
      </c>
      <c r="AA385" t="s">
        <v>3449</v>
      </c>
      <c r="AB385" t="s">
        <v>3450</v>
      </c>
      <c r="AC385" t="s">
        <v>74</v>
      </c>
      <c r="AD385" t="s">
        <v>74</v>
      </c>
      <c r="AE385" t="s">
        <v>74</v>
      </c>
      <c r="AF385" t="s">
        <v>74</v>
      </c>
      <c r="AG385" t="s">
        <v>74</v>
      </c>
      <c r="AH385" t="s">
        <v>74</v>
      </c>
      <c r="AI385" t="s">
        <v>74</v>
      </c>
      <c r="AJ385" t="s">
        <v>74</v>
      </c>
      <c r="AK385" t="s">
        <v>74</v>
      </c>
      <c r="AL385" t="s">
        <v>74</v>
      </c>
      <c r="AM385" t="s">
        <v>74</v>
      </c>
      <c r="AN385" t="s">
        <v>74</v>
      </c>
      <c r="AO385" t="s">
        <v>74</v>
      </c>
      <c r="AP385" t="s">
        <v>309</v>
      </c>
      <c r="AQ385" t="s">
        <v>74</v>
      </c>
      <c r="AR385" t="s">
        <v>74</v>
      </c>
      <c r="AS385" t="s">
        <v>74</v>
      </c>
      <c r="AT385" t="s">
        <v>1194</v>
      </c>
      <c r="AU385">
        <v>2023</v>
      </c>
      <c r="AV385">
        <v>6</v>
      </c>
      <c r="AW385">
        <v>1</v>
      </c>
      <c r="AX385" t="s">
        <v>74</v>
      </c>
      <c r="AY385" t="s">
        <v>74</v>
      </c>
      <c r="AZ385" t="s">
        <v>74</v>
      </c>
      <c r="BA385" t="s">
        <v>74</v>
      </c>
      <c r="BB385" t="s">
        <v>74</v>
      </c>
      <c r="BC385" t="s">
        <v>74</v>
      </c>
      <c r="BD385" t="s">
        <v>3451</v>
      </c>
      <c r="BE385" t="s">
        <v>3452</v>
      </c>
      <c r="BF385" t="str">
        <f>HYPERLINK("http://dx.doi.org/10.1002/batt.202200433","http://dx.doi.org/10.1002/batt.202200433")</f>
        <v>http://dx.doi.org/10.1002/batt.202200433</v>
      </c>
      <c r="BG385" t="s">
        <v>74</v>
      </c>
      <c r="BH385" t="s">
        <v>3417</v>
      </c>
      <c r="BI385" t="s">
        <v>74</v>
      </c>
      <c r="BJ385" t="s">
        <v>74</v>
      </c>
      <c r="BK385" t="s">
        <v>74</v>
      </c>
      <c r="BL385" t="s">
        <v>74</v>
      </c>
      <c r="BM385" t="s">
        <v>74</v>
      </c>
      <c r="BN385" t="s">
        <v>74</v>
      </c>
      <c r="BO385" t="s">
        <v>74</v>
      </c>
      <c r="BP385" t="s">
        <v>74</v>
      </c>
      <c r="BQ385" t="s">
        <v>74</v>
      </c>
      <c r="BR385" t="s">
        <v>74</v>
      </c>
      <c r="BS385" t="s">
        <v>3453</v>
      </c>
      <c r="BT385" t="str">
        <f>HYPERLINK("https%3A%2F%2Fwww.webofscience.com%2Fwos%2Fwoscc%2Ffull-record%2FWOS:000879918900001","View Full Record in Web of Science")</f>
        <v>View Full Record in Web of Science</v>
      </c>
    </row>
    <row r="386" spans="1:72" x14ac:dyDescent="0.2">
      <c r="A386" t="s">
        <v>72</v>
      </c>
      <c r="B386" t="s">
        <v>3454</v>
      </c>
      <c r="C386" t="s">
        <v>74</v>
      </c>
      <c r="D386" t="s">
        <v>74</v>
      </c>
      <c r="E386" t="s">
        <v>74</v>
      </c>
      <c r="F386" t="s">
        <v>3455</v>
      </c>
      <c r="G386" t="s">
        <v>74</v>
      </c>
      <c r="H386" t="s">
        <v>74</v>
      </c>
      <c r="I386" t="s">
        <v>3456</v>
      </c>
      <c r="J386" t="s">
        <v>598</v>
      </c>
      <c r="K386" t="s">
        <v>74</v>
      </c>
      <c r="L386" t="s">
        <v>74</v>
      </c>
      <c r="M386" t="s">
        <v>74</v>
      </c>
      <c r="N386" t="s">
        <v>74</v>
      </c>
      <c r="O386" t="s">
        <v>74</v>
      </c>
      <c r="P386" t="s">
        <v>74</v>
      </c>
      <c r="Q386" t="s">
        <v>74</v>
      </c>
      <c r="R386" t="s">
        <v>74</v>
      </c>
      <c r="S386" t="s">
        <v>74</v>
      </c>
      <c r="T386" t="s">
        <v>74</v>
      </c>
      <c r="U386" t="s">
        <v>74</v>
      </c>
      <c r="V386" t="s">
        <v>3457</v>
      </c>
      <c r="W386" t="s">
        <v>74</v>
      </c>
      <c r="X386" t="s">
        <v>74</v>
      </c>
      <c r="Y386" t="s">
        <v>74</v>
      </c>
      <c r="Z386" t="s">
        <v>74</v>
      </c>
      <c r="AA386" t="s">
        <v>3458</v>
      </c>
      <c r="AB386" t="s">
        <v>3459</v>
      </c>
      <c r="AC386" t="s">
        <v>74</v>
      </c>
      <c r="AD386" t="s">
        <v>74</v>
      </c>
      <c r="AE386" t="s">
        <v>74</v>
      </c>
      <c r="AF386" t="s">
        <v>74</v>
      </c>
      <c r="AG386" t="s">
        <v>74</v>
      </c>
      <c r="AH386" t="s">
        <v>74</v>
      </c>
      <c r="AI386" t="s">
        <v>74</v>
      </c>
      <c r="AJ386" t="s">
        <v>74</v>
      </c>
      <c r="AK386" t="s">
        <v>74</v>
      </c>
      <c r="AL386" t="s">
        <v>74</v>
      </c>
      <c r="AM386" t="s">
        <v>74</v>
      </c>
      <c r="AN386" t="s">
        <v>74</v>
      </c>
      <c r="AO386" t="s">
        <v>601</v>
      </c>
      <c r="AP386" t="s">
        <v>602</v>
      </c>
      <c r="AQ386" t="s">
        <v>74</v>
      </c>
      <c r="AR386" t="s">
        <v>74</v>
      </c>
      <c r="AS386" t="s">
        <v>74</v>
      </c>
      <c r="AT386" t="s">
        <v>1364</v>
      </c>
      <c r="AU386">
        <v>2022</v>
      </c>
      <c r="AV386">
        <v>15</v>
      </c>
      <c r="AW386">
        <v>24</v>
      </c>
      <c r="AX386" t="s">
        <v>74</v>
      </c>
      <c r="AY386" t="s">
        <v>74</v>
      </c>
      <c r="AZ386" t="s">
        <v>74</v>
      </c>
      <c r="BA386" t="s">
        <v>74</v>
      </c>
      <c r="BB386" t="s">
        <v>74</v>
      </c>
      <c r="BC386" t="s">
        <v>74</v>
      </c>
      <c r="BD386" t="s">
        <v>74</v>
      </c>
      <c r="BE386" t="s">
        <v>3460</v>
      </c>
      <c r="BF386" t="str">
        <f>HYPERLINK("http://dx.doi.org/10.1002/cssc.202201554","http://dx.doi.org/10.1002/cssc.202201554")</f>
        <v>http://dx.doi.org/10.1002/cssc.202201554</v>
      </c>
      <c r="BG386" t="s">
        <v>74</v>
      </c>
      <c r="BH386" t="s">
        <v>3417</v>
      </c>
      <c r="BI386" t="s">
        <v>74</v>
      </c>
      <c r="BJ386" t="s">
        <v>74</v>
      </c>
      <c r="BK386" t="s">
        <v>74</v>
      </c>
      <c r="BL386" t="s">
        <v>74</v>
      </c>
      <c r="BM386" t="s">
        <v>74</v>
      </c>
      <c r="BN386">
        <v>36178074</v>
      </c>
      <c r="BO386" t="s">
        <v>74</v>
      </c>
      <c r="BP386" t="s">
        <v>74</v>
      </c>
      <c r="BQ386" t="s">
        <v>74</v>
      </c>
      <c r="BR386" t="s">
        <v>74</v>
      </c>
      <c r="BS386" t="s">
        <v>3461</v>
      </c>
      <c r="BT386" t="str">
        <f>HYPERLINK("https%3A%2F%2Fwww.webofscience.com%2Fwos%2Fwoscc%2Ffull-record%2FWOS:000879916400001","View Full Record in Web of Science")</f>
        <v>View Full Record in Web of Science</v>
      </c>
    </row>
    <row r="387" spans="1:72" x14ac:dyDescent="0.2">
      <c r="A387" t="s">
        <v>72</v>
      </c>
      <c r="B387" t="s">
        <v>3462</v>
      </c>
      <c r="C387" t="s">
        <v>74</v>
      </c>
      <c r="D387" t="s">
        <v>74</v>
      </c>
      <c r="E387" t="s">
        <v>74</v>
      </c>
      <c r="F387" t="s">
        <v>3463</v>
      </c>
      <c r="G387" t="s">
        <v>74</v>
      </c>
      <c r="H387" t="s">
        <v>74</v>
      </c>
      <c r="I387" t="s">
        <v>3464</v>
      </c>
      <c r="J387" t="s">
        <v>352</v>
      </c>
      <c r="K387" t="s">
        <v>74</v>
      </c>
      <c r="L387" t="s">
        <v>74</v>
      </c>
      <c r="M387" t="s">
        <v>74</v>
      </c>
      <c r="N387" t="s">
        <v>74</v>
      </c>
      <c r="O387" t="s">
        <v>74</v>
      </c>
      <c r="P387" t="s">
        <v>74</v>
      </c>
      <c r="Q387" t="s">
        <v>74</v>
      </c>
      <c r="R387" t="s">
        <v>74</v>
      </c>
      <c r="S387" t="s">
        <v>74</v>
      </c>
      <c r="T387" t="s">
        <v>74</v>
      </c>
      <c r="U387" t="s">
        <v>74</v>
      </c>
      <c r="V387" t="s">
        <v>3465</v>
      </c>
      <c r="W387" t="s">
        <v>74</v>
      </c>
      <c r="X387" t="s">
        <v>74</v>
      </c>
      <c r="Y387" t="s">
        <v>74</v>
      </c>
      <c r="Z387" t="s">
        <v>74</v>
      </c>
      <c r="AA387" t="s">
        <v>3466</v>
      </c>
      <c r="AB387" t="s">
        <v>3467</v>
      </c>
      <c r="AC387" t="s">
        <v>74</v>
      </c>
      <c r="AD387" t="s">
        <v>74</v>
      </c>
      <c r="AE387" t="s">
        <v>74</v>
      </c>
      <c r="AF387" t="s">
        <v>74</v>
      </c>
      <c r="AG387" t="s">
        <v>74</v>
      </c>
      <c r="AH387" t="s">
        <v>74</v>
      </c>
      <c r="AI387" t="s">
        <v>74</v>
      </c>
      <c r="AJ387" t="s">
        <v>74</v>
      </c>
      <c r="AK387" t="s">
        <v>74</v>
      </c>
      <c r="AL387" t="s">
        <v>74</v>
      </c>
      <c r="AM387" t="s">
        <v>74</v>
      </c>
      <c r="AN387" t="s">
        <v>74</v>
      </c>
      <c r="AO387" t="s">
        <v>354</v>
      </c>
      <c r="AP387" t="s">
        <v>355</v>
      </c>
      <c r="AQ387" t="s">
        <v>74</v>
      </c>
      <c r="AR387" t="s">
        <v>74</v>
      </c>
      <c r="AS387" t="s">
        <v>74</v>
      </c>
      <c r="AT387" t="s">
        <v>3468</v>
      </c>
      <c r="AU387">
        <v>2023</v>
      </c>
      <c r="AV387">
        <v>13</v>
      </c>
      <c r="AW387">
        <v>1</v>
      </c>
      <c r="AX387" t="s">
        <v>74</v>
      </c>
      <c r="AY387" t="s">
        <v>74</v>
      </c>
      <c r="AZ387" t="s">
        <v>74</v>
      </c>
      <c r="BA387" t="s">
        <v>74</v>
      </c>
      <c r="BB387" t="s">
        <v>74</v>
      </c>
      <c r="BC387" t="s">
        <v>74</v>
      </c>
      <c r="BD387" t="s">
        <v>74</v>
      </c>
      <c r="BE387" t="s">
        <v>3469</v>
      </c>
      <c r="BF387" t="str">
        <f>HYPERLINK("http://dx.doi.org/10.1002/aenm.202202974","http://dx.doi.org/10.1002/aenm.202202974")</f>
        <v>http://dx.doi.org/10.1002/aenm.202202974</v>
      </c>
      <c r="BG387" t="s">
        <v>74</v>
      </c>
      <c r="BH387" t="s">
        <v>3417</v>
      </c>
      <c r="BI387" t="s">
        <v>74</v>
      </c>
      <c r="BJ387" t="s">
        <v>74</v>
      </c>
      <c r="BK387" t="s">
        <v>74</v>
      </c>
      <c r="BL387" t="s">
        <v>74</v>
      </c>
      <c r="BM387" t="s">
        <v>74</v>
      </c>
      <c r="BN387" t="s">
        <v>74</v>
      </c>
      <c r="BO387" t="s">
        <v>74</v>
      </c>
      <c r="BP387" t="s">
        <v>74</v>
      </c>
      <c r="BQ387" t="s">
        <v>74</v>
      </c>
      <c r="BR387" t="s">
        <v>74</v>
      </c>
      <c r="BS387" t="s">
        <v>3470</v>
      </c>
      <c r="BT387" t="str">
        <f>HYPERLINK("https%3A%2F%2Fwww.webofscience.com%2Fwos%2Fwoscc%2Ffull-record%2FWOS:000879289500001","View Full Record in Web of Science")</f>
        <v>View Full Record in Web of Science</v>
      </c>
    </row>
    <row r="388" spans="1:72" x14ac:dyDescent="0.2">
      <c r="A388" t="s">
        <v>72</v>
      </c>
      <c r="B388" t="s">
        <v>3471</v>
      </c>
      <c r="C388" t="s">
        <v>74</v>
      </c>
      <c r="D388" t="s">
        <v>74</v>
      </c>
      <c r="E388" t="s">
        <v>74</v>
      </c>
      <c r="F388" t="s">
        <v>3472</v>
      </c>
      <c r="G388" t="s">
        <v>74</v>
      </c>
      <c r="H388" t="s">
        <v>74</v>
      </c>
      <c r="I388" t="s">
        <v>3473</v>
      </c>
      <c r="J388" t="s">
        <v>98</v>
      </c>
      <c r="K388" t="s">
        <v>74</v>
      </c>
      <c r="L388" t="s">
        <v>74</v>
      </c>
      <c r="M388" t="s">
        <v>74</v>
      </c>
      <c r="N388" t="s">
        <v>74</v>
      </c>
      <c r="O388" t="s">
        <v>74</v>
      </c>
      <c r="P388" t="s">
        <v>74</v>
      </c>
      <c r="Q388" t="s">
        <v>74</v>
      </c>
      <c r="R388" t="s">
        <v>74</v>
      </c>
      <c r="S388" t="s">
        <v>74</v>
      </c>
      <c r="T388" t="s">
        <v>74</v>
      </c>
      <c r="U388" t="s">
        <v>74</v>
      </c>
      <c r="V388" t="s">
        <v>3474</v>
      </c>
      <c r="W388" t="s">
        <v>74</v>
      </c>
      <c r="X388" t="s">
        <v>74</v>
      </c>
      <c r="Y388" t="s">
        <v>74</v>
      </c>
      <c r="Z388" t="s">
        <v>74</v>
      </c>
      <c r="AA388" t="s">
        <v>3475</v>
      </c>
      <c r="AB388" t="s">
        <v>3476</v>
      </c>
      <c r="AC388" t="s">
        <v>74</v>
      </c>
      <c r="AD388" t="s">
        <v>74</v>
      </c>
      <c r="AE388" t="s">
        <v>74</v>
      </c>
      <c r="AF388" t="s">
        <v>74</v>
      </c>
      <c r="AG388" t="s">
        <v>74</v>
      </c>
      <c r="AH388" t="s">
        <v>74</v>
      </c>
      <c r="AI388" t="s">
        <v>74</v>
      </c>
      <c r="AJ388" t="s">
        <v>74</v>
      </c>
      <c r="AK388" t="s">
        <v>74</v>
      </c>
      <c r="AL388" t="s">
        <v>74</v>
      </c>
      <c r="AM388" t="s">
        <v>74</v>
      </c>
      <c r="AN388" t="s">
        <v>74</v>
      </c>
      <c r="AO388" t="s">
        <v>101</v>
      </c>
      <c r="AP388" t="s">
        <v>102</v>
      </c>
      <c r="AQ388" t="s">
        <v>74</v>
      </c>
      <c r="AR388" t="s">
        <v>74</v>
      </c>
      <c r="AS388" t="s">
        <v>74</v>
      </c>
      <c r="AT388" t="s">
        <v>1165</v>
      </c>
      <c r="AU388">
        <v>2023</v>
      </c>
      <c r="AV388">
        <v>553</v>
      </c>
      <c r="AW388" t="s">
        <v>74</v>
      </c>
      <c r="AX388" t="s">
        <v>74</v>
      </c>
      <c r="AY388" t="s">
        <v>74</v>
      </c>
      <c r="AZ388" t="s">
        <v>74</v>
      </c>
      <c r="BA388" t="s">
        <v>74</v>
      </c>
      <c r="BB388" t="s">
        <v>74</v>
      </c>
      <c r="BC388" t="s">
        <v>74</v>
      </c>
      <c r="BD388">
        <v>232302</v>
      </c>
      <c r="BE388" t="s">
        <v>3477</v>
      </c>
      <c r="BF388" t="str">
        <f>HYPERLINK("http://dx.doi.org/10.1016/j.jpowsour.2022.232302","http://dx.doi.org/10.1016/j.jpowsour.2022.232302")</f>
        <v>http://dx.doi.org/10.1016/j.jpowsour.2022.232302</v>
      </c>
      <c r="BG388" t="s">
        <v>74</v>
      </c>
      <c r="BH388" t="s">
        <v>3417</v>
      </c>
      <c r="BI388" t="s">
        <v>74</v>
      </c>
      <c r="BJ388" t="s">
        <v>74</v>
      </c>
      <c r="BK388" t="s">
        <v>74</v>
      </c>
      <c r="BL388" t="s">
        <v>74</v>
      </c>
      <c r="BM388" t="s">
        <v>74</v>
      </c>
      <c r="BN388" t="s">
        <v>74</v>
      </c>
      <c r="BO388" t="s">
        <v>74</v>
      </c>
      <c r="BP388" t="s">
        <v>74</v>
      </c>
      <c r="BQ388" t="s">
        <v>74</v>
      </c>
      <c r="BR388" t="s">
        <v>74</v>
      </c>
      <c r="BS388" t="s">
        <v>3478</v>
      </c>
      <c r="BT388" t="str">
        <f>HYPERLINK("https%3A%2F%2Fwww.webofscience.com%2Fwos%2Fwoscc%2Ffull-record%2FWOS:000882516000003","View Full Record in Web of Science")</f>
        <v>View Full Record in Web of Science</v>
      </c>
    </row>
    <row r="389" spans="1:72" x14ac:dyDescent="0.2">
      <c r="A389" t="s">
        <v>72</v>
      </c>
      <c r="B389" t="s">
        <v>3479</v>
      </c>
      <c r="C389" t="s">
        <v>74</v>
      </c>
      <c r="D389" t="s">
        <v>74</v>
      </c>
      <c r="E389" t="s">
        <v>74</v>
      </c>
      <c r="F389" t="s">
        <v>3480</v>
      </c>
      <c r="G389" t="s">
        <v>74</v>
      </c>
      <c r="H389" t="s">
        <v>74</v>
      </c>
      <c r="I389" t="s">
        <v>3481</v>
      </c>
      <c r="J389" t="s">
        <v>754</v>
      </c>
      <c r="K389" t="s">
        <v>74</v>
      </c>
      <c r="L389" t="s">
        <v>74</v>
      </c>
      <c r="M389" t="s">
        <v>74</v>
      </c>
      <c r="N389" t="s">
        <v>74</v>
      </c>
      <c r="O389" t="s">
        <v>74</v>
      </c>
      <c r="P389" t="s">
        <v>74</v>
      </c>
      <c r="Q389" t="s">
        <v>74</v>
      </c>
      <c r="R389" t="s">
        <v>74</v>
      </c>
      <c r="S389" t="s">
        <v>74</v>
      </c>
      <c r="T389" t="s">
        <v>74</v>
      </c>
      <c r="U389" t="s">
        <v>74</v>
      </c>
      <c r="V389" t="s">
        <v>3482</v>
      </c>
      <c r="W389" t="s">
        <v>74</v>
      </c>
      <c r="X389" t="s">
        <v>74</v>
      </c>
      <c r="Y389" t="s">
        <v>74</v>
      </c>
      <c r="Z389" t="s">
        <v>74</v>
      </c>
      <c r="AA389" t="s">
        <v>3483</v>
      </c>
      <c r="AB389" t="s">
        <v>74</v>
      </c>
      <c r="AC389" t="s">
        <v>74</v>
      </c>
      <c r="AD389" t="s">
        <v>74</v>
      </c>
      <c r="AE389" t="s">
        <v>74</v>
      </c>
      <c r="AF389" t="s">
        <v>74</v>
      </c>
      <c r="AG389" t="s">
        <v>74</v>
      </c>
      <c r="AH389" t="s">
        <v>74</v>
      </c>
      <c r="AI389" t="s">
        <v>74</v>
      </c>
      <c r="AJ389" t="s">
        <v>74</v>
      </c>
      <c r="AK389" t="s">
        <v>74</v>
      </c>
      <c r="AL389" t="s">
        <v>74</v>
      </c>
      <c r="AM389" t="s">
        <v>74</v>
      </c>
      <c r="AN389" t="s">
        <v>74</v>
      </c>
      <c r="AO389" t="s">
        <v>757</v>
      </c>
      <c r="AP389" t="s">
        <v>758</v>
      </c>
      <c r="AQ389" t="s">
        <v>74</v>
      </c>
      <c r="AR389" t="s">
        <v>74</v>
      </c>
      <c r="AS389" t="s">
        <v>74</v>
      </c>
      <c r="AT389" t="s">
        <v>2571</v>
      </c>
      <c r="AU389">
        <v>2022</v>
      </c>
      <c r="AV389">
        <v>926</v>
      </c>
      <c r="AW389" t="s">
        <v>74</v>
      </c>
      <c r="AX389" t="s">
        <v>74</v>
      </c>
      <c r="AY389" t="s">
        <v>74</v>
      </c>
      <c r="AZ389" t="s">
        <v>74</v>
      </c>
      <c r="BA389" t="s">
        <v>74</v>
      </c>
      <c r="BB389" t="s">
        <v>74</v>
      </c>
      <c r="BC389" t="s">
        <v>74</v>
      </c>
      <c r="BD389">
        <v>116937</v>
      </c>
      <c r="BE389" t="s">
        <v>3484</v>
      </c>
      <c r="BF389" t="str">
        <f>HYPERLINK("http://dx.doi.org/10.1016/j.jelechem.2022.116937","http://dx.doi.org/10.1016/j.jelechem.2022.116937")</f>
        <v>http://dx.doi.org/10.1016/j.jelechem.2022.116937</v>
      </c>
      <c r="BG389" t="s">
        <v>74</v>
      </c>
      <c r="BH389" t="s">
        <v>3417</v>
      </c>
      <c r="BI389" t="s">
        <v>74</v>
      </c>
      <c r="BJ389" t="s">
        <v>74</v>
      </c>
      <c r="BK389" t="s">
        <v>74</v>
      </c>
      <c r="BL389" t="s">
        <v>74</v>
      </c>
      <c r="BM389" t="s">
        <v>74</v>
      </c>
      <c r="BN389" t="s">
        <v>74</v>
      </c>
      <c r="BO389" t="s">
        <v>74</v>
      </c>
      <c r="BP389" t="s">
        <v>74</v>
      </c>
      <c r="BQ389" t="s">
        <v>74</v>
      </c>
      <c r="BR389" t="s">
        <v>74</v>
      </c>
      <c r="BS389" t="s">
        <v>3485</v>
      </c>
      <c r="BT389" t="str">
        <f>HYPERLINK("https%3A%2F%2Fwww.webofscience.com%2Fwos%2Fwoscc%2Ffull-record%2FWOS:000882200500008","View Full Record in Web of Science")</f>
        <v>View Full Record in Web of Science</v>
      </c>
    </row>
    <row r="390" spans="1:72" x14ac:dyDescent="0.2">
      <c r="A390" t="s">
        <v>72</v>
      </c>
      <c r="B390" t="s">
        <v>3486</v>
      </c>
      <c r="C390" t="s">
        <v>74</v>
      </c>
      <c r="D390" t="s">
        <v>74</v>
      </c>
      <c r="E390" t="s">
        <v>74</v>
      </c>
      <c r="F390" t="s">
        <v>3487</v>
      </c>
      <c r="G390" t="s">
        <v>74</v>
      </c>
      <c r="H390" t="s">
        <v>74</v>
      </c>
      <c r="I390" t="s">
        <v>3488</v>
      </c>
      <c r="J390" t="s">
        <v>845</v>
      </c>
      <c r="K390" t="s">
        <v>74</v>
      </c>
      <c r="L390" t="s">
        <v>74</v>
      </c>
      <c r="M390" t="s">
        <v>74</v>
      </c>
      <c r="N390" t="s">
        <v>74</v>
      </c>
      <c r="O390" t="s">
        <v>74</v>
      </c>
      <c r="P390" t="s">
        <v>74</v>
      </c>
      <c r="Q390" t="s">
        <v>74</v>
      </c>
      <c r="R390" t="s">
        <v>74</v>
      </c>
      <c r="S390" t="s">
        <v>74</v>
      </c>
      <c r="T390" t="s">
        <v>74</v>
      </c>
      <c r="U390" t="s">
        <v>74</v>
      </c>
      <c r="V390" t="s">
        <v>3489</v>
      </c>
      <c r="W390" t="s">
        <v>74</v>
      </c>
      <c r="X390" t="s">
        <v>74</v>
      </c>
      <c r="Y390" t="s">
        <v>74</v>
      </c>
      <c r="Z390" t="s">
        <v>74</v>
      </c>
      <c r="AA390" t="s">
        <v>3490</v>
      </c>
      <c r="AB390" t="s">
        <v>74</v>
      </c>
      <c r="AC390" t="s">
        <v>74</v>
      </c>
      <c r="AD390" t="s">
        <v>74</v>
      </c>
      <c r="AE390" t="s">
        <v>74</v>
      </c>
      <c r="AF390" t="s">
        <v>74</v>
      </c>
      <c r="AG390" t="s">
        <v>74</v>
      </c>
      <c r="AH390" t="s">
        <v>74</v>
      </c>
      <c r="AI390" t="s">
        <v>74</v>
      </c>
      <c r="AJ390" t="s">
        <v>74</v>
      </c>
      <c r="AK390" t="s">
        <v>74</v>
      </c>
      <c r="AL390" t="s">
        <v>74</v>
      </c>
      <c r="AM390" t="s">
        <v>74</v>
      </c>
      <c r="AN390" t="s">
        <v>74</v>
      </c>
      <c r="AO390" t="s">
        <v>847</v>
      </c>
      <c r="AP390" t="s">
        <v>848</v>
      </c>
      <c r="AQ390" t="s">
        <v>74</v>
      </c>
      <c r="AR390" t="s">
        <v>74</v>
      </c>
      <c r="AS390" t="s">
        <v>74</v>
      </c>
      <c r="AT390" t="s">
        <v>1420</v>
      </c>
      <c r="AU390">
        <v>2023</v>
      </c>
      <c r="AV390">
        <v>140</v>
      </c>
      <c r="AW390">
        <v>3</v>
      </c>
      <c r="AX390" t="s">
        <v>74</v>
      </c>
      <c r="AY390" t="s">
        <v>74</v>
      </c>
      <c r="AZ390" t="s">
        <v>74</v>
      </c>
      <c r="BA390" t="s">
        <v>74</v>
      </c>
      <c r="BB390" t="s">
        <v>74</v>
      </c>
      <c r="BC390" t="s">
        <v>74</v>
      </c>
      <c r="BD390" t="s">
        <v>74</v>
      </c>
      <c r="BE390" t="s">
        <v>3491</v>
      </c>
      <c r="BF390" t="str">
        <f>HYPERLINK("http://dx.doi.org/10.1002/app.53337","http://dx.doi.org/10.1002/app.53337")</f>
        <v>http://dx.doi.org/10.1002/app.53337</v>
      </c>
      <c r="BG390" t="s">
        <v>74</v>
      </c>
      <c r="BH390" t="s">
        <v>3417</v>
      </c>
      <c r="BI390" t="s">
        <v>74</v>
      </c>
      <c r="BJ390" t="s">
        <v>74</v>
      </c>
      <c r="BK390" t="s">
        <v>74</v>
      </c>
      <c r="BL390" t="s">
        <v>74</v>
      </c>
      <c r="BM390" t="s">
        <v>74</v>
      </c>
      <c r="BN390" t="s">
        <v>74</v>
      </c>
      <c r="BO390" t="s">
        <v>74</v>
      </c>
      <c r="BP390" t="s">
        <v>74</v>
      </c>
      <c r="BQ390" t="s">
        <v>74</v>
      </c>
      <c r="BR390" t="s">
        <v>74</v>
      </c>
      <c r="BS390" t="s">
        <v>3492</v>
      </c>
      <c r="BT390" t="str">
        <f>HYPERLINK("https%3A%2F%2Fwww.webofscience.com%2Fwos%2Fwoscc%2Ffull-record%2FWOS:000878259500001","View Full Record in Web of Science")</f>
        <v>View Full Record in Web of Science</v>
      </c>
    </row>
    <row r="391" spans="1:72" x14ac:dyDescent="0.2">
      <c r="A391" t="s">
        <v>72</v>
      </c>
      <c r="B391" t="s">
        <v>3493</v>
      </c>
      <c r="C391" t="s">
        <v>74</v>
      </c>
      <c r="D391" t="s">
        <v>74</v>
      </c>
      <c r="E391" t="s">
        <v>74</v>
      </c>
      <c r="F391" t="s">
        <v>3494</v>
      </c>
      <c r="G391" t="s">
        <v>74</v>
      </c>
      <c r="H391" t="s">
        <v>74</v>
      </c>
      <c r="I391" t="s">
        <v>3495</v>
      </c>
      <c r="J391" t="s">
        <v>1728</v>
      </c>
      <c r="K391" t="s">
        <v>74</v>
      </c>
      <c r="L391" t="s">
        <v>74</v>
      </c>
      <c r="M391" t="s">
        <v>74</v>
      </c>
      <c r="N391" t="s">
        <v>74</v>
      </c>
      <c r="O391" t="s">
        <v>74</v>
      </c>
      <c r="P391" t="s">
        <v>74</v>
      </c>
      <c r="Q391" t="s">
        <v>74</v>
      </c>
      <c r="R391" t="s">
        <v>74</v>
      </c>
      <c r="S391" t="s">
        <v>74</v>
      </c>
      <c r="T391" t="s">
        <v>74</v>
      </c>
      <c r="U391" t="s">
        <v>74</v>
      </c>
      <c r="V391" t="s">
        <v>3496</v>
      </c>
      <c r="W391" t="s">
        <v>74</v>
      </c>
      <c r="X391" t="s">
        <v>74</v>
      </c>
      <c r="Y391" t="s">
        <v>74</v>
      </c>
      <c r="Z391" t="s">
        <v>74</v>
      </c>
      <c r="AA391" t="s">
        <v>3497</v>
      </c>
      <c r="AB391" t="s">
        <v>74</v>
      </c>
      <c r="AC391" t="s">
        <v>74</v>
      </c>
      <c r="AD391" t="s">
        <v>74</v>
      </c>
      <c r="AE391" t="s">
        <v>74</v>
      </c>
      <c r="AF391" t="s">
        <v>74</v>
      </c>
      <c r="AG391" t="s">
        <v>74</v>
      </c>
      <c r="AH391" t="s">
        <v>74</v>
      </c>
      <c r="AI391" t="s">
        <v>74</v>
      </c>
      <c r="AJ391" t="s">
        <v>74</v>
      </c>
      <c r="AK391" t="s">
        <v>74</v>
      </c>
      <c r="AL391" t="s">
        <v>74</v>
      </c>
      <c r="AM391" t="s">
        <v>74</v>
      </c>
      <c r="AN391" t="s">
        <v>74</v>
      </c>
      <c r="AO391" t="s">
        <v>1731</v>
      </c>
      <c r="AP391" t="s">
        <v>1732</v>
      </c>
      <c r="AQ391" t="s">
        <v>74</v>
      </c>
      <c r="AR391" t="s">
        <v>74</v>
      </c>
      <c r="AS391" t="s">
        <v>74</v>
      </c>
      <c r="AT391" t="s">
        <v>1972</v>
      </c>
      <c r="AU391">
        <v>2023</v>
      </c>
      <c r="AV391">
        <v>16</v>
      </c>
      <c r="AW391">
        <v>6</v>
      </c>
      <c r="AX391" t="s">
        <v>74</v>
      </c>
      <c r="AY391" t="s">
        <v>74</v>
      </c>
      <c r="AZ391" t="s">
        <v>2280</v>
      </c>
      <c r="BA391" t="s">
        <v>74</v>
      </c>
      <c r="BB391">
        <v>8304</v>
      </c>
      <c r="BC391">
        <v>8312</v>
      </c>
      <c r="BD391" t="s">
        <v>74</v>
      </c>
      <c r="BE391" t="s">
        <v>3498</v>
      </c>
      <c r="BF391" t="str">
        <f>HYPERLINK("http://dx.doi.org/10.1007/s12274-022-5004-0","http://dx.doi.org/10.1007/s12274-022-5004-0")</f>
        <v>http://dx.doi.org/10.1007/s12274-022-5004-0</v>
      </c>
      <c r="BG391" t="s">
        <v>74</v>
      </c>
      <c r="BH391" t="s">
        <v>3417</v>
      </c>
      <c r="BI391" t="s">
        <v>74</v>
      </c>
      <c r="BJ391" t="s">
        <v>74</v>
      </c>
      <c r="BK391" t="s">
        <v>74</v>
      </c>
      <c r="BL391" t="s">
        <v>74</v>
      </c>
      <c r="BM391" t="s">
        <v>74</v>
      </c>
      <c r="BN391" t="s">
        <v>74</v>
      </c>
      <c r="BO391" t="s">
        <v>74</v>
      </c>
      <c r="BP391" t="s">
        <v>74</v>
      </c>
      <c r="BQ391" t="s">
        <v>74</v>
      </c>
      <c r="BR391" t="s">
        <v>74</v>
      </c>
      <c r="BS391" t="s">
        <v>3499</v>
      </c>
      <c r="BT391" t="str">
        <f>HYPERLINK("https%3A%2F%2Fwww.webofscience.com%2Fwos%2Fwoscc%2Ffull-record%2FWOS:000878469000001","View Full Record in Web of Science")</f>
        <v>View Full Record in Web of Science</v>
      </c>
    </row>
    <row r="392" spans="1:72" x14ac:dyDescent="0.2">
      <c r="A392" t="s">
        <v>72</v>
      </c>
      <c r="B392" t="s">
        <v>3500</v>
      </c>
      <c r="C392" t="s">
        <v>74</v>
      </c>
      <c r="D392" t="s">
        <v>74</v>
      </c>
      <c r="E392" t="s">
        <v>74</v>
      </c>
      <c r="F392" t="s">
        <v>3501</v>
      </c>
      <c r="G392" t="s">
        <v>74</v>
      </c>
      <c r="H392" t="s">
        <v>74</v>
      </c>
      <c r="I392" t="s">
        <v>3502</v>
      </c>
      <c r="J392" t="s">
        <v>1293</v>
      </c>
      <c r="K392" t="s">
        <v>74</v>
      </c>
      <c r="L392" t="s">
        <v>74</v>
      </c>
      <c r="M392" t="s">
        <v>74</v>
      </c>
      <c r="N392" t="s">
        <v>74</v>
      </c>
      <c r="O392" t="s">
        <v>74</v>
      </c>
      <c r="P392" t="s">
        <v>74</v>
      </c>
      <c r="Q392" t="s">
        <v>74</v>
      </c>
      <c r="R392" t="s">
        <v>74</v>
      </c>
      <c r="S392" t="s">
        <v>74</v>
      </c>
      <c r="T392" t="s">
        <v>74</v>
      </c>
      <c r="U392" t="s">
        <v>74</v>
      </c>
      <c r="V392" t="s">
        <v>3503</v>
      </c>
      <c r="W392" t="s">
        <v>74</v>
      </c>
      <c r="X392" t="s">
        <v>74</v>
      </c>
      <c r="Y392" t="s">
        <v>74</v>
      </c>
      <c r="Z392" t="s">
        <v>74</v>
      </c>
      <c r="AA392" t="s">
        <v>74</v>
      </c>
      <c r="AB392" t="s">
        <v>3504</v>
      </c>
      <c r="AC392" t="s">
        <v>74</v>
      </c>
      <c r="AD392" t="s">
        <v>74</v>
      </c>
      <c r="AE392" t="s">
        <v>74</v>
      </c>
      <c r="AF392" t="s">
        <v>74</v>
      </c>
      <c r="AG392" t="s">
        <v>74</v>
      </c>
      <c r="AH392" t="s">
        <v>74</v>
      </c>
      <c r="AI392" t="s">
        <v>74</v>
      </c>
      <c r="AJ392" t="s">
        <v>74</v>
      </c>
      <c r="AK392" t="s">
        <v>74</v>
      </c>
      <c r="AL392" t="s">
        <v>74</v>
      </c>
      <c r="AM392" t="s">
        <v>74</v>
      </c>
      <c r="AN392" t="s">
        <v>74</v>
      </c>
      <c r="AO392" t="s">
        <v>1297</v>
      </c>
      <c r="AP392" t="s">
        <v>1298</v>
      </c>
      <c r="AQ392" t="s">
        <v>74</v>
      </c>
      <c r="AR392" t="s">
        <v>74</v>
      </c>
      <c r="AS392" t="s">
        <v>74</v>
      </c>
      <c r="AT392" t="s">
        <v>3505</v>
      </c>
      <c r="AU392">
        <v>2022</v>
      </c>
      <c r="AV392">
        <v>169</v>
      </c>
      <c r="AW392">
        <v>11</v>
      </c>
      <c r="AX392" t="s">
        <v>74</v>
      </c>
      <c r="AY392" t="s">
        <v>74</v>
      </c>
      <c r="AZ392" t="s">
        <v>74</v>
      </c>
      <c r="BA392" t="s">
        <v>74</v>
      </c>
      <c r="BB392" t="s">
        <v>74</v>
      </c>
      <c r="BC392" t="s">
        <v>74</v>
      </c>
      <c r="BD392">
        <v>110506</v>
      </c>
      <c r="BE392" t="s">
        <v>3506</v>
      </c>
      <c r="BF392" t="str">
        <f>HYPERLINK("http://dx.doi.org/10.1149/1945-7111/ac9d67","http://dx.doi.org/10.1149/1945-7111/ac9d67")</f>
        <v>http://dx.doi.org/10.1149/1945-7111/ac9d67</v>
      </c>
      <c r="BG392" t="s">
        <v>74</v>
      </c>
      <c r="BH392" t="s">
        <v>74</v>
      </c>
      <c r="BI392" t="s">
        <v>74</v>
      </c>
      <c r="BJ392" t="s">
        <v>74</v>
      </c>
      <c r="BK392" t="s">
        <v>74</v>
      </c>
      <c r="BL392" t="s">
        <v>74</v>
      </c>
      <c r="BM392" t="s">
        <v>74</v>
      </c>
      <c r="BN392" t="s">
        <v>74</v>
      </c>
      <c r="BO392" t="s">
        <v>74</v>
      </c>
      <c r="BP392" t="s">
        <v>74</v>
      </c>
      <c r="BQ392" t="s">
        <v>74</v>
      </c>
      <c r="BR392" t="s">
        <v>74</v>
      </c>
      <c r="BS392" t="s">
        <v>3507</v>
      </c>
      <c r="BT392" t="str">
        <f>HYPERLINK("https%3A%2F%2Fwww.webofscience.com%2Fwos%2Fwoscc%2Ffull-record%2FWOS:000878377000001","View Full Record in Web of Science")</f>
        <v>View Full Record in Web of Science</v>
      </c>
    </row>
    <row r="393" spans="1:72" x14ac:dyDescent="0.2">
      <c r="A393" t="s">
        <v>72</v>
      </c>
      <c r="B393" t="s">
        <v>3508</v>
      </c>
      <c r="C393" t="s">
        <v>74</v>
      </c>
      <c r="D393" t="s">
        <v>74</v>
      </c>
      <c r="E393" t="s">
        <v>74</v>
      </c>
      <c r="F393" t="s">
        <v>3509</v>
      </c>
      <c r="G393" t="s">
        <v>74</v>
      </c>
      <c r="H393" t="s">
        <v>74</v>
      </c>
      <c r="I393" t="s">
        <v>3510</v>
      </c>
      <c r="J393" t="s">
        <v>433</v>
      </c>
      <c r="K393" t="s">
        <v>74</v>
      </c>
      <c r="L393" t="s">
        <v>74</v>
      </c>
      <c r="M393" t="s">
        <v>74</v>
      </c>
      <c r="N393" t="s">
        <v>74</v>
      </c>
      <c r="O393" t="s">
        <v>74</v>
      </c>
      <c r="P393" t="s">
        <v>74</v>
      </c>
      <c r="Q393" t="s">
        <v>74</v>
      </c>
      <c r="R393" t="s">
        <v>74</v>
      </c>
      <c r="S393" t="s">
        <v>74</v>
      </c>
      <c r="T393" t="s">
        <v>74</v>
      </c>
      <c r="U393" t="s">
        <v>74</v>
      </c>
      <c r="V393" t="s">
        <v>3511</v>
      </c>
      <c r="W393" t="s">
        <v>74</v>
      </c>
      <c r="X393" t="s">
        <v>74</v>
      </c>
      <c r="Y393" t="s">
        <v>74</v>
      </c>
      <c r="Z393" t="s">
        <v>74</v>
      </c>
      <c r="AA393" t="s">
        <v>3512</v>
      </c>
      <c r="AB393" t="s">
        <v>74</v>
      </c>
      <c r="AC393" t="s">
        <v>74</v>
      </c>
      <c r="AD393" t="s">
        <v>74</v>
      </c>
      <c r="AE393" t="s">
        <v>74</v>
      </c>
      <c r="AF393" t="s">
        <v>74</v>
      </c>
      <c r="AG393" t="s">
        <v>74</v>
      </c>
      <c r="AH393" t="s">
        <v>74</v>
      </c>
      <c r="AI393" t="s">
        <v>74</v>
      </c>
      <c r="AJ393" t="s">
        <v>74</v>
      </c>
      <c r="AK393" t="s">
        <v>74</v>
      </c>
      <c r="AL393" t="s">
        <v>74</v>
      </c>
      <c r="AM393" t="s">
        <v>74</v>
      </c>
      <c r="AN393" t="s">
        <v>74</v>
      </c>
      <c r="AO393" t="s">
        <v>435</v>
      </c>
      <c r="AP393" t="s">
        <v>436</v>
      </c>
      <c r="AQ393" t="s">
        <v>74</v>
      </c>
      <c r="AR393" t="s">
        <v>74</v>
      </c>
      <c r="AS393" t="s">
        <v>74</v>
      </c>
      <c r="AT393" t="s">
        <v>1420</v>
      </c>
      <c r="AU393">
        <v>2023</v>
      </c>
      <c r="AV393">
        <v>932</v>
      </c>
      <c r="AW393" t="s">
        <v>74</v>
      </c>
      <c r="AX393" t="s">
        <v>74</v>
      </c>
      <c r="AY393" t="s">
        <v>74</v>
      </c>
      <c r="AZ393" t="s">
        <v>74</v>
      </c>
      <c r="BA393" t="s">
        <v>74</v>
      </c>
      <c r="BB393" t="s">
        <v>74</v>
      </c>
      <c r="BC393" t="s">
        <v>74</v>
      </c>
      <c r="BD393">
        <v>167722</v>
      </c>
      <c r="BE393" t="s">
        <v>3513</v>
      </c>
      <c r="BF393" t="str">
        <f>HYPERLINK("http://dx.doi.org/10.1016/j.jallcom.2022.167722","http://dx.doi.org/10.1016/j.jallcom.2022.167722")</f>
        <v>http://dx.doi.org/10.1016/j.jallcom.2022.167722</v>
      </c>
      <c r="BG393" t="s">
        <v>74</v>
      </c>
      <c r="BH393" t="s">
        <v>3514</v>
      </c>
      <c r="BI393" t="s">
        <v>74</v>
      </c>
      <c r="BJ393" t="s">
        <v>74</v>
      </c>
      <c r="BK393" t="s">
        <v>74</v>
      </c>
      <c r="BL393" t="s">
        <v>74</v>
      </c>
      <c r="BM393" t="s">
        <v>74</v>
      </c>
      <c r="BN393" t="s">
        <v>74</v>
      </c>
      <c r="BO393" t="s">
        <v>74</v>
      </c>
      <c r="BP393" t="s">
        <v>74</v>
      </c>
      <c r="BQ393" t="s">
        <v>74</v>
      </c>
      <c r="BR393" t="s">
        <v>74</v>
      </c>
      <c r="BS393" t="s">
        <v>3515</v>
      </c>
      <c r="BT393" t="str">
        <f>HYPERLINK("https%3A%2F%2Fwww.webofscience.com%2Fwos%2Fwoscc%2Ffull-record%2FWOS:000883477200001","View Full Record in Web of Science")</f>
        <v>View Full Record in Web of Science</v>
      </c>
    </row>
    <row r="394" spans="1:72" x14ac:dyDescent="0.2">
      <c r="A394" t="s">
        <v>72</v>
      </c>
      <c r="B394" t="s">
        <v>3516</v>
      </c>
      <c r="C394" t="s">
        <v>74</v>
      </c>
      <c r="D394" t="s">
        <v>74</v>
      </c>
      <c r="E394" t="s">
        <v>74</v>
      </c>
      <c r="F394" t="s">
        <v>3517</v>
      </c>
      <c r="G394" t="s">
        <v>74</v>
      </c>
      <c r="H394" t="s">
        <v>74</v>
      </c>
      <c r="I394" t="s">
        <v>3518</v>
      </c>
      <c r="J394" t="s">
        <v>2241</v>
      </c>
      <c r="K394" t="s">
        <v>74</v>
      </c>
      <c r="L394" t="s">
        <v>74</v>
      </c>
      <c r="M394" t="s">
        <v>74</v>
      </c>
      <c r="N394" t="s">
        <v>74</v>
      </c>
      <c r="O394" t="s">
        <v>74</v>
      </c>
      <c r="P394" t="s">
        <v>74</v>
      </c>
      <c r="Q394" t="s">
        <v>74</v>
      </c>
      <c r="R394" t="s">
        <v>74</v>
      </c>
      <c r="S394" t="s">
        <v>74</v>
      </c>
      <c r="T394" t="s">
        <v>74</v>
      </c>
      <c r="U394" t="s">
        <v>74</v>
      </c>
      <c r="V394" t="s">
        <v>3519</v>
      </c>
      <c r="W394" t="s">
        <v>74</v>
      </c>
      <c r="X394" t="s">
        <v>74</v>
      </c>
      <c r="Y394" t="s">
        <v>74</v>
      </c>
      <c r="Z394" t="s">
        <v>74</v>
      </c>
      <c r="AA394" t="s">
        <v>3520</v>
      </c>
      <c r="AB394" t="s">
        <v>3521</v>
      </c>
      <c r="AC394" t="s">
        <v>74</v>
      </c>
      <c r="AD394" t="s">
        <v>74</v>
      </c>
      <c r="AE394" t="s">
        <v>74</v>
      </c>
      <c r="AF394" t="s">
        <v>74</v>
      </c>
      <c r="AG394" t="s">
        <v>74</v>
      </c>
      <c r="AH394" t="s">
        <v>74</v>
      </c>
      <c r="AI394" t="s">
        <v>74</v>
      </c>
      <c r="AJ394" t="s">
        <v>74</v>
      </c>
      <c r="AK394" t="s">
        <v>74</v>
      </c>
      <c r="AL394" t="s">
        <v>74</v>
      </c>
      <c r="AM394" t="s">
        <v>74</v>
      </c>
      <c r="AN394" t="s">
        <v>74</v>
      </c>
      <c r="AO394" t="s">
        <v>2245</v>
      </c>
      <c r="AP394" t="s">
        <v>74</v>
      </c>
      <c r="AQ394" t="s">
        <v>74</v>
      </c>
      <c r="AR394" t="s">
        <v>74</v>
      </c>
      <c r="AS394" t="s">
        <v>74</v>
      </c>
      <c r="AT394" t="s">
        <v>1318</v>
      </c>
      <c r="AU394">
        <v>2022</v>
      </c>
      <c r="AV394">
        <v>9</v>
      </c>
      <c r="AW394">
        <v>35</v>
      </c>
      <c r="AX394" t="s">
        <v>74</v>
      </c>
      <c r="AY394" t="s">
        <v>74</v>
      </c>
      <c r="AZ394" t="s">
        <v>74</v>
      </c>
      <c r="BA394" t="s">
        <v>74</v>
      </c>
      <c r="BB394" t="s">
        <v>74</v>
      </c>
      <c r="BC394" t="s">
        <v>74</v>
      </c>
      <c r="BD394" t="s">
        <v>74</v>
      </c>
      <c r="BE394" t="s">
        <v>3522</v>
      </c>
      <c r="BF394" t="str">
        <f>HYPERLINK("http://dx.doi.org/10.1002/admi.202201200","http://dx.doi.org/10.1002/admi.202201200")</f>
        <v>http://dx.doi.org/10.1002/admi.202201200</v>
      </c>
      <c r="BG394" t="s">
        <v>74</v>
      </c>
      <c r="BH394" t="s">
        <v>3514</v>
      </c>
      <c r="BI394" t="s">
        <v>74</v>
      </c>
      <c r="BJ394" t="s">
        <v>74</v>
      </c>
      <c r="BK394" t="s">
        <v>74</v>
      </c>
      <c r="BL394" t="s">
        <v>74</v>
      </c>
      <c r="BM394" t="s">
        <v>74</v>
      </c>
      <c r="BN394" t="s">
        <v>74</v>
      </c>
      <c r="BO394" t="s">
        <v>74</v>
      </c>
      <c r="BP394" t="s">
        <v>74</v>
      </c>
      <c r="BQ394" t="s">
        <v>74</v>
      </c>
      <c r="BR394" t="s">
        <v>74</v>
      </c>
      <c r="BS394" t="s">
        <v>3523</v>
      </c>
      <c r="BT394" t="str">
        <f>HYPERLINK("https%3A%2F%2Fwww.webofscience.com%2Fwos%2Fwoscc%2Ffull-record%2FWOS:000872169200001","View Full Record in Web of Science")</f>
        <v>View Full Record in Web of Science</v>
      </c>
    </row>
    <row r="395" spans="1:72" x14ac:dyDescent="0.2">
      <c r="A395" t="s">
        <v>72</v>
      </c>
      <c r="B395" t="s">
        <v>3524</v>
      </c>
      <c r="C395" t="s">
        <v>74</v>
      </c>
      <c r="D395" t="s">
        <v>74</v>
      </c>
      <c r="E395" t="s">
        <v>74</v>
      </c>
      <c r="F395" t="s">
        <v>3525</v>
      </c>
      <c r="G395" t="s">
        <v>74</v>
      </c>
      <c r="H395" t="s">
        <v>74</v>
      </c>
      <c r="I395" t="s">
        <v>3526</v>
      </c>
      <c r="J395" t="s">
        <v>488</v>
      </c>
      <c r="K395" t="s">
        <v>74</v>
      </c>
      <c r="L395" t="s">
        <v>74</v>
      </c>
      <c r="M395" t="s">
        <v>74</v>
      </c>
      <c r="N395" t="s">
        <v>74</v>
      </c>
      <c r="O395" t="s">
        <v>74</v>
      </c>
      <c r="P395" t="s">
        <v>74</v>
      </c>
      <c r="Q395" t="s">
        <v>74</v>
      </c>
      <c r="R395" t="s">
        <v>74</v>
      </c>
      <c r="S395" t="s">
        <v>74</v>
      </c>
      <c r="T395" t="s">
        <v>74</v>
      </c>
      <c r="U395" t="s">
        <v>74</v>
      </c>
      <c r="V395" t="s">
        <v>3527</v>
      </c>
      <c r="W395" t="s">
        <v>74</v>
      </c>
      <c r="X395" t="s">
        <v>74</v>
      </c>
      <c r="Y395" t="s">
        <v>74</v>
      </c>
      <c r="Z395" t="s">
        <v>74</v>
      </c>
      <c r="AA395" t="s">
        <v>3528</v>
      </c>
      <c r="AB395" t="s">
        <v>74</v>
      </c>
      <c r="AC395" t="s">
        <v>74</v>
      </c>
      <c r="AD395" t="s">
        <v>74</v>
      </c>
      <c r="AE395" t="s">
        <v>74</v>
      </c>
      <c r="AF395" t="s">
        <v>74</v>
      </c>
      <c r="AG395" t="s">
        <v>74</v>
      </c>
      <c r="AH395" t="s">
        <v>74</v>
      </c>
      <c r="AI395" t="s">
        <v>74</v>
      </c>
      <c r="AJ395" t="s">
        <v>74</v>
      </c>
      <c r="AK395" t="s">
        <v>74</v>
      </c>
      <c r="AL395" t="s">
        <v>74</v>
      </c>
      <c r="AM395" t="s">
        <v>74</v>
      </c>
      <c r="AN395" t="s">
        <v>74</v>
      </c>
      <c r="AO395" t="s">
        <v>491</v>
      </c>
      <c r="AP395" t="s">
        <v>74</v>
      </c>
      <c r="AQ395" t="s">
        <v>74</v>
      </c>
      <c r="AR395" t="s">
        <v>74</v>
      </c>
      <c r="AS395" t="s">
        <v>74</v>
      </c>
      <c r="AT395" t="s">
        <v>3529</v>
      </c>
      <c r="AU395">
        <v>2022</v>
      </c>
      <c r="AV395">
        <v>10</v>
      </c>
      <c r="AW395">
        <v>44</v>
      </c>
      <c r="AX395" t="s">
        <v>74</v>
      </c>
      <c r="AY395" t="s">
        <v>74</v>
      </c>
      <c r="AZ395" t="s">
        <v>74</v>
      </c>
      <c r="BA395" t="s">
        <v>74</v>
      </c>
      <c r="BB395">
        <v>14486</v>
      </c>
      <c r="BC395">
        <v>14494</v>
      </c>
      <c r="BD395" t="s">
        <v>74</v>
      </c>
      <c r="BE395" t="s">
        <v>3530</v>
      </c>
      <c r="BF395" t="str">
        <f>HYPERLINK("http://dx.doi.org/10.1021/acssuschemeng.2c03971","http://dx.doi.org/10.1021/acssuschemeng.2c03971")</f>
        <v>http://dx.doi.org/10.1021/acssuschemeng.2c03971</v>
      </c>
      <c r="BG395" t="s">
        <v>74</v>
      </c>
      <c r="BH395" t="s">
        <v>3514</v>
      </c>
      <c r="BI395" t="s">
        <v>74</v>
      </c>
      <c r="BJ395" t="s">
        <v>74</v>
      </c>
      <c r="BK395" t="s">
        <v>74</v>
      </c>
      <c r="BL395" t="s">
        <v>74</v>
      </c>
      <c r="BM395" t="s">
        <v>74</v>
      </c>
      <c r="BN395" t="s">
        <v>74</v>
      </c>
      <c r="BO395" t="s">
        <v>74</v>
      </c>
      <c r="BP395" t="s">
        <v>74</v>
      </c>
      <c r="BQ395" t="s">
        <v>74</v>
      </c>
      <c r="BR395" t="s">
        <v>74</v>
      </c>
      <c r="BS395" t="s">
        <v>3531</v>
      </c>
      <c r="BT395" t="str">
        <f>HYPERLINK("https%3A%2F%2Fwww.webofscience.com%2Fwos%2Fwoscc%2Ffull-record%2FWOS:000876811700001","View Full Record in Web of Science")</f>
        <v>View Full Record in Web of Science</v>
      </c>
    </row>
    <row r="396" spans="1:72" x14ac:dyDescent="0.2">
      <c r="A396" t="s">
        <v>72</v>
      </c>
      <c r="B396" t="s">
        <v>3532</v>
      </c>
      <c r="C396" t="s">
        <v>74</v>
      </c>
      <c r="D396" t="s">
        <v>74</v>
      </c>
      <c r="E396" t="s">
        <v>74</v>
      </c>
      <c r="F396" t="s">
        <v>3533</v>
      </c>
      <c r="G396" t="s">
        <v>74</v>
      </c>
      <c r="H396" t="s">
        <v>74</v>
      </c>
      <c r="I396" t="s">
        <v>3534</v>
      </c>
      <c r="J396" t="s">
        <v>3535</v>
      </c>
      <c r="K396" t="s">
        <v>74</v>
      </c>
      <c r="L396" t="s">
        <v>74</v>
      </c>
      <c r="M396" t="s">
        <v>74</v>
      </c>
      <c r="N396" t="s">
        <v>74</v>
      </c>
      <c r="O396" t="s">
        <v>74</v>
      </c>
      <c r="P396" t="s">
        <v>74</v>
      </c>
      <c r="Q396" t="s">
        <v>74</v>
      </c>
      <c r="R396" t="s">
        <v>74</v>
      </c>
      <c r="S396" t="s">
        <v>74</v>
      </c>
      <c r="T396" t="s">
        <v>74</v>
      </c>
      <c r="U396" t="s">
        <v>74</v>
      </c>
      <c r="V396" t="s">
        <v>3536</v>
      </c>
      <c r="W396" t="s">
        <v>74</v>
      </c>
      <c r="X396" t="s">
        <v>74</v>
      </c>
      <c r="Y396" t="s">
        <v>74</v>
      </c>
      <c r="Z396" t="s">
        <v>74</v>
      </c>
      <c r="AA396" t="s">
        <v>3537</v>
      </c>
      <c r="AB396" t="s">
        <v>3538</v>
      </c>
      <c r="AC396" t="s">
        <v>74</v>
      </c>
      <c r="AD396" t="s">
        <v>74</v>
      </c>
      <c r="AE396" t="s">
        <v>74</v>
      </c>
      <c r="AF396" t="s">
        <v>74</v>
      </c>
      <c r="AG396" t="s">
        <v>74</v>
      </c>
      <c r="AH396" t="s">
        <v>74</v>
      </c>
      <c r="AI396" t="s">
        <v>74</v>
      </c>
      <c r="AJ396" t="s">
        <v>74</v>
      </c>
      <c r="AK396" t="s">
        <v>74</v>
      </c>
      <c r="AL396" t="s">
        <v>74</v>
      </c>
      <c r="AM396" t="s">
        <v>74</v>
      </c>
      <c r="AN396" t="s">
        <v>74</v>
      </c>
      <c r="AO396" t="s">
        <v>3539</v>
      </c>
      <c r="AP396" t="s">
        <v>3540</v>
      </c>
      <c r="AQ396" t="s">
        <v>74</v>
      </c>
      <c r="AR396" t="s">
        <v>74</v>
      </c>
      <c r="AS396" t="s">
        <v>74</v>
      </c>
      <c r="AT396" t="s">
        <v>113</v>
      </c>
      <c r="AU396">
        <v>2022</v>
      </c>
      <c r="AV396">
        <v>37</v>
      </c>
      <c r="AW396">
        <v>5</v>
      </c>
      <c r="AX396" t="s">
        <v>74</v>
      </c>
      <c r="AY396" t="s">
        <v>74</v>
      </c>
      <c r="AZ396" t="s">
        <v>74</v>
      </c>
      <c r="BA396" t="s">
        <v>74</v>
      </c>
      <c r="BB396">
        <v>944</v>
      </c>
      <c r="BC396">
        <v>955</v>
      </c>
      <c r="BD396" t="s">
        <v>74</v>
      </c>
      <c r="BE396" t="s">
        <v>3541</v>
      </c>
      <c r="BF396" t="str">
        <f>HYPERLINK("http://dx.doi.org/10.1016/S1872-5805(22)60617-6","http://dx.doi.org/10.1016/S1872-5805(22)60617-6")</f>
        <v>http://dx.doi.org/10.1016/S1872-5805(22)60617-6</v>
      </c>
      <c r="BG396" t="s">
        <v>74</v>
      </c>
      <c r="BH396" t="s">
        <v>3514</v>
      </c>
      <c r="BI396" t="s">
        <v>74</v>
      </c>
      <c r="BJ396" t="s">
        <v>74</v>
      </c>
      <c r="BK396" t="s">
        <v>74</v>
      </c>
      <c r="BL396" t="s">
        <v>74</v>
      </c>
      <c r="BM396" t="s">
        <v>74</v>
      </c>
      <c r="BN396" t="s">
        <v>74</v>
      </c>
      <c r="BO396" t="s">
        <v>74</v>
      </c>
      <c r="BP396" t="s">
        <v>74</v>
      </c>
      <c r="BQ396" t="s">
        <v>74</v>
      </c>
      <c r="BR396" t="s">
        <v>74</v>
      </c>
      <c r="BS396" t="s">
        <v>3542</v>
      </c>
      <c r="BT396" t="str">
        <f>HYPERLINK("https%3A%2F%2Fwww.webofscience.com%2Fwos%2Fwoscc%2Ffull-record%2FWOS:000879556400009","View Full Record in Web of Science")</f>
        <v>View Full Record in Web of Science</v>
      </c>
    </row>
    <row r="397" spans="1:72" x14ac:dyDescent="0.2">
      <c r="A397" t="s">
        <v>72</v>
      </c>
      <c r="B397" t="s">
        <v>3543</v>
      </c>
      <c r="C397" t="s">
        <v>74</v>
      </c>
      <c r="D397" t="s">
        <v>74</v>
      </c>
      <c r="E397" t="s">
        <v>74</v>
      </c>
      <c r="F397" t="s">
        <v>3544</v>
      </c>
      <c r="G397" t="s">
        <v>74</v>
      </c>
      <c r="H397" t="s">
        <v>74</v>
      </c>
      <c r="I397" t="s">
        <v>3545</v>
      </c>
      <c r="J397" t="s">
        <v>422</v>
      </c>
      <c r="K397" t="s">
        <v>74</v>
      </c>
      <c r="L397" t="s">
        <v>74</v>
      </c>
      <c r="M397" t="s">
        <v>74</v>
      </c>
      <c r="N397" t="s">
        <v>74</v>
      </c>
      <c r="O397" t="s">
        <v>74</v>
      </c>
      <c r="P397" t="s">
        <v>74</v>
      </c>
      <c r="Q397" t="s">
        <v>74</v>
      </c>
      <c r="R397" t="s">
        <v>74</v>
      </c>
      <c r="S397" t="s">
        <v>74</v>
      </c>
      <c r="T397" t="s">
        <v>74</v>
      </c>
      <c r="U397" t="s">
        <v>74</v>
      </c>
      <c r="V397" t="s">
        <v>3546</v>
      </c>
      <c r="W397" t="s">
        <v>74</v>
      </c>
      <c r="X397" t="s">
        <v>74</v>
      </c>
      <c r="Y397" t="s">
        <v>74</v>
      </c>
      <c r="Z397" t="s">
        <v>74</v>
      </c>
      <c r="AA397" t="s">
        <v>3547</v>
      </c>
      <c r="AB397" t="s">
        <v>3548</v>
      </c>
      <c r="AC397" t="s">
        <v>74</v>
      </c>
      <c r="AD397" t="s">
        <v>74</v>
      </c>
      <c r="AE397" t="s">
        <v>74</v>
      </c>
      <c r="AF397" t="s">
        <v>74</v>
      </c>
      <c r="AG397" t="s">
        <v>74</v>
      </c>
      <c r="AH397" t="s">
        <v>74</v>
      </c>
      <c r="AI397" t="s">
        <v>74</v>
      </c>
      <c r="AJ397" t="s">
        <v>74</v>
      </c>
      <c r="AK397" t="s">
        <v>74</v>
      </c>
      <c r="AL397" t="s">
        <v>74</v>
      </c>
      <c r="AM397" t="s">
        <v>74</v>
      </c>
      <c r="AN397" t="s">
        <v>74</v>
      </c>
      <c r="AO397" t="s">
        <v>426</v>
      </c>
      <c r="AP397" t="s">
        <v>74</v>
      </c>
      <c r="AQ397" t="s">
        <v>74</v>
      </c>
      <c r="AR397" t="s">
        <v>74</v>
      </c>
      <c r="AS397" t="s">
        <v>74</v>
      </c>
      <c r="AT397" t="s">
        <v>3549</v>
      </c>
      <c r="AU397">
        <v>2022</v>
      </c>
      <c r="AV397">
        <v>5</v>
      </c>
      <c r="AW397">
        <v>11</v>
      </c>
      <c r="AX397" t="s">
        <v>74</v>
      </c>
      <c r="AY397" t="s">
        <v>74</v>
      </c>
      <c r="AZ397" t="s">
        <v>74</v>
      </c>
      <c r="BA397" t="s">
        <v>74</v>
      </c>
      <c r="BB397">
        <v>14301</v>
      </c>
      <c r="BC397">
        <v>14310</v>
      </c>
      <c r="BD397" t="s">
        <v>74</v>
      </c>
      <c r="BE397" t="s">
        <v>3550</v>
      </c>
      <c r="BF397" t="str">
        <f>HYPERLINK("http://dx.doi.org/10.1021/acsaem.2c02871","http://dx.doi.org/10.1021/acsaem.2c02871")</f>
        <v>http://dx.doi.org/10.1021/acsaem.2c02871</v>
      </c>
      <c r="BG397" t="s">
        <v>74</v>
      </c>
      <c r="BH397" t="s">
        <v>3514</v>
      </c>
      <c r="BI397" t="s">
        <v>74</v>
      </c>
      <c r="BJ397" t="s">
        <v>74</v>
      </c>
      <c r="BK397" t="s">
        <v>74</v>
      </c>
      <c r="BL397" t="s">
        <v>74</v>
      </c>
      <c r="BM397" t="s">
        <v>74</v>
      </c>
      <c r="BN397" t="s">
        <v>74</v>
      </c>
      <c r="BO397" t="s">
        <v>74</v>
      </c>
      <c r="BP397" t="s">
        <v>74</v>
      </c>
      <c r="BQ397" t="s">
        <v>74</v>
      </c>
      <c r="BR397" t="s">
        <v>74</v>
      </c>
      <c r="BS397" t="s">
        <v>3551</v>
      </c>
      <c r="BT397" t="str">
        <f>HYPERLINK("https%3A%2F%2Fwww.webofscience.com%2Fwos%2Fwoscc%2Ffull-record%2FWOS:000875657300001","View Full Record in Web of Science")</f>
        <v>View Full Record in Web of Science</v>
      </c>
    </row>
    <row r="398" spans="1:72" x14ac:dyDescent="0.2">
      <c r="A398" t="s">
        <v>72</v>
      </c>
      <c r="B398" t="s">
        <v>3552</v>
      </c>
      <c r="C398" t="s">
        <v>74</v>
      </c>
      <c r="D398" t="s">
        <v>74</v>
      </c>
      <c r="E398" t="s">
        <v>74</v>
      </c>
      <c r="F398" t="s">
        <v>3553</v>
      </c>
      <c r="G398" t="s">
        <v>74</v>
      </c>
      <c r="H398" t="s">
        <v>74</v>
      </c>
      <c r="I398" t="s">
        <v>3554</v>
      </c>
      <c r="J398" t="s">
        <v>231</v>
      </c>
      <c r="K398" t="s">
        <v>74</v>
      </c>
      <c r="L398" t="s">
        <v>74</v>
      </c>
      <c r="M398" t="s">
        <v>74</v>
      </c>
      <c r="N398" t="s">
        <v>74</v>
      </c>
      <c r="O398" t="s">
        <v>74</v>
      </c>
      <c r="P398" t="s">
        <v>74</v>
      </c>
      <c r="Q398" t="s">
        <v>74</v>
      </c>
      <c r="R398" t="s">
        <v>74</v>
      </c>
      <c r="S398" t="s">
        <v>74</v>
      </c>
      <c r="T398" t="s">
        <v>74</v>
      </c>
      <c r="U398" t="s">
        <v>74</v>
      </c>
      <c r="V398" t="s">
        <v>3555</v>
      </c>
      <c r="W398" t="s">
        <v>74</v>
      </c>
      <c r="X398" t="s">
        <v>74</v>
      </c>
      <c r="Y398" t="s">
        <v>74</v>
      </c>
      <c r="Z398" t="s">
        <v>74</v>
      </c>
      <c r="AA398" t="s">
        <v>3556</v>
      </c>
      <c r="AB398" t="s">
        <v>3557</v>
      </c>
      <c r="AC398" t="s">
        <v>74</v>
      </c>
      <c r="AD398" t="s">
        <v>74</v>
      </c>
      <c r="AE398" t="s">
        <v>74</v>
      </c>
      <c r="AF398" t="s">
        <v>74</v>
      </c>
      <c r="AG398" t="s">
        <v>74</v>
      </c>
      <c r="AH398" t="s">
        <v>74</v>
      </c>
      <c r="AI398" t="s">
        <v>74</v>
      </c>
      <c r="AJ398" t="s">
        <v>74</v>
      </c>
      <c r="AK398" t="s">
        <v>74</v>
      </c>
      <c r="AL398" t="s">
        <v>74</v>
      </c>
      <c r="AM398" t="s">
        <v>74</v>
      </c>
      <c r="AN398" t="s">
        <v>74</v>
      </c>
      <c r="AO398" t="s">
        <v>1363</v>
      </c>
      <c r="AP398" t="s">
        <v>234</v>
      </c>
      <c r="AQ398" t="s">
        <v>74</v>
      </c>
      <c r="AR398" t="s">
        <v>74</v>
      </c>
      <c r="AS398" t="s">
        <v>74</v>
      </c>
      <c r="AT398" t="s">
        <v>3558</v>
      </c>
      <c r="AU398">
        <v>2022</v>
      </c>
      <c r="AV398">
        <v>61</v>
      </c>
      <c r="AW398">
        <v>47</v>
      </c>
      <c r="AX398" t="s">
        <v>74</v>
      </c>
      <c r="AY398" t="s">
        <v>74</v>
      </c>
      <c r="AZ398" t="s">
        <v>74</v>
      </c>
      <c r="BA398" t="s">
        <v>74</v>
      </c>
      <c r="BB398" t="s">
        <v>74</v>
      </c>
      <c r="BC398" t="s">
        <v>74</v>
      </c>
      <c r="BD398" t="s">
        <v>74</v>
      </c>
      <c r="BE398" t="s">
        <v>3559</v>
      </c>
      <c r="BF398" t="str">
        <f>HYPERLINK("http://dx.doi.org/10.1002/anie.202211623","http://dx.doi.org/10.1002/anie.202211623")</f>
        <v>http://dx.doi.org/10.1002/anie.202211623</v>
      </c>
      <c r="BG398" t="s">
        <v>74</v>
      </c>
      <c r="BH398" t="s">
        <v>3514</v>
      </c>
      <c r="BI398" t="s">
        <v>74</v>
      </c>
      <c r="BJ398" t="s">
        <v>74</v>
      </c>
      <c r="BK398" t="s">
        <v>74</v>
      </c>
      <c r="BL398" t="s">
        <v>74</v>
      </c>
      <c r="BM398" t="s">
        <v>74</v>
      </c>
      <c r="BN398">
        <v>36165574</v>
      </c>
      <c r="BO398" t="s">
        <v>74</v>
      </c>
      <c r="BP398" t="s">
        <v>74</v>
      </c>
      <c r="BQ398" t="s">
        <v>74</v>
      </c>
      <c r="BR398" t="s">
        <v>74</v>
      </c>
      <c r="BS398" t="s">
        <v>3560</v>
      </c>
      <c r="BT398" t="str">
        <f>HYPERLINK("https%3A%2F%2Fwww.webofscience.com%2Fwos%2Fwoscc%2Ffull-record%2FWOS:000869885900001","View Full Record in Web of Science")</f>
        <v>View Full Record in Web of Science</v>
      </c>
    </row>
    <row r="399" spans="1:72" x14ac:dyDescent="0.2">
      <c r="A399" t="s">
        <v>72</v>
      </c>
      <c r="B399" t="s">
        <v>3561</v>
      </c>
      <c r="C399" t="s">
        <v>74</v>
      </c>
      <c r="D399" t="s">
        <v>74</v>
      </c>
      <c r="E399" t="s">
        <v>74</v>
      </c>
      <c r="F399" t="s">
        <v>3562</v>
      </c>
      <c r="G399" t="s">
        <v>74</v>
      </c>
      <c r="H399" t="s">
        <v>74</v>
      </c>
      <c r="I399" t="s">
        <v>3563</v>
      </c>
      <c r="J399" t="s">
        <v>3564</v>
      </c>
      <c r="K399" t="s">
        <v>74</v>
      </c>
      <c r="L399" t="s">
        <v>74</v>
      </c>
      <c r="M399" t="s">
        <v>74</v>
      </c>
      <c r="N399" t="s">
        <v>74</v>
      </c>
      <c r="O399" t="s">
        <v>74</v>
      </c>
      <c r="P399" t="s">
        <v>74</v>
      </c>
      <c r="Q399" t="s">
        <v>74</v>
      </c>
      <c r="R399" t="s">
        <v>74</v>
      </c>
      <c r="S399" t="s">
        <v>74</v>
      </c>
      <c r="T399" t="s">
        <v>74</v>
      </c>
      <c r="U399" t="s">
        <v>74</v>
      </c>
      <c r="V399" t="s">
        <v>3565</v>
      </c>
      <c r="W399" t="s">
        <v>74</v>
      </c>
      <c r="X399" t="s">
        <v>74</v>
      </c>
      <c r="Y399" t="s">
        <v>74</v>
      </c>
      <c r="Z399" t="s">
        <v>74</v>
      </c>
      <c r="AA399" t="s">
        <v>3566</v>
      </c>
      <c r="AB399" t="s">
        <v>3567</v>
      </c>
      <c r="AC399" t="s">
        <v>74</v>
      </c>
      <c r="AD399" t="s">
        <v>74</v>
      </c>
      <c r="AE399" t="s">
        <v>74</v>
      </c>
      <c r="AF399" t="s">
        <v>74</v>
      </c>
      <c r="AG399" t="s">
        <v>74</v>
      </c>
      <c r="AH399" t="s">
        <v>74</v>
      </c>
      <c r="AI399" t="s">
        <v>74</v>
      </c>
      <c r="AJ399" t="s">
        <v>74</v>
      </c>
      <c r="AK399" t="s">
        <v>74</v>
      </c>
      <c r="AL399" t="s">
        <v>74</v>
      </c>
      <c r="AM399" t="s">
        <v>74</v>
      </c>
      <c r="AN399" t="s">
        <v>74</v>
      </c>
      <c r="AO399" t="s">
        <v>74</v>
      </c>
      <c r="AP399" t="s">
        <v>3568</v>
      </c>
      <c r="AQ399" t="s">
        <v>74</v>
      </c>
      <c r="AR399" t="s">
        <v>74</v>
      </c>
      <c r="AS399" t="s">
        <v>74</v>
      </c>
      <c r="AT399" t="s">
        <v>113</v>
      </c>
      <c r="AU399">
        <v>2022</v>
      </c>
      <c r="AV399">
        <v>12</v>
      </c>
      <c r="AW399">
        <v>10</v>
      </c>
      <c r="AX399" t="s">
        <v>74</v>
      </c>
      <c r="AY399" t="s">
        <v>74</v>
      </c>
      <c r="AZ399" t="s">
        <v>74</v>
      </c>
      <c r="BA399" t="s">
        <v>74</v>
      </c>
      <c r="BB399" t="s">
        <v>74</v>
      </c>
      <c r="BC399" t="s">
        <v>74</v>
      </c>
      <c r="BD399">
        <v>1339</v>
      </c>
      <c r="BE399" t="s">
        <v>3569</v>
      </c>
      <c r="BF399" t="str">
        <f>HYPERLINK("http://dx.doi.org/10.3390/cryst12101339","http://dx.doi.org/10.3390/cryst12101339")</f>
        <v>http://dx.doi.org/10.3390/cryst12101339</v>
      </c>
      <c r="BG399" t="s">
        <v>74</v>
      </c>
      <c r="BH399" t="s">
        <v>74</v>
      </c>
      <c r="BI399" t="s">
        <v>74</v>
      </c>
      <c r="BJ399" t="s">
        <v>74</v>
      </c>
      <c r="BK399" t="s">
        <v>74</v>
      </c>
      <c r="BL399" t="s">
        <v>74</v>
      </c>
      <c r="BM399" t="s">
        <v>74</v>
      </c>
      <c r="BN399" t="s">
        <v>74</v>
      </c>
      <c r="BO399" t="s">
        <v>74</v>
      </c>
      <c r="BP399" t="s">
        <v>74</v>
      </c>
      <c r="BQ399" t="s">
        <v>74</v>
      </c>
      <c r="BR399" t="s">
        <v>74</v>
      </c>
      <c r="BS399" t="s">
        <v>3570</v>
      </c>
      <c r="BT399" t="str">
        <f>HYPERLINK("https%3A%2F%2Fwww.webofscience.com%2Fwos%2Fwoscc%2Ffull-record%2FWOS:000872777800001","View Full Record in Web of Science")</f>
        <v>View Full Record in Web of Science</v>
      </c>
    </row>
    <row r="400" spans="1:72" x14ac:dyDescent="0.2">
      <c r="A400" t="s">
        <v>72</v>
      </c>
      <c r="B400" t="s">
        <v>3571</v>
      </c>
      <c r="C400" t="s">
        <v>74</v>
      </c>
      <c r="D400" t="s">
        <v>74</v>
      </c>
      <c r="E400" t="s">
        <v>74</v>
      </c>
      <c r="F400" t="s">
        <v>3572</v>
      </c>
      <c r="G400" t="s">
        <v>74</v>
      </c>
      <c r="H400" t="s">
        <v>74</v>
      </c>
      <c r="I400" t="s">
        <v>3573</v>
      </c>
      <c r="J400" t="s">
        <v>2444</v>
      </c>
      <c r="K400" t="s">
        <v>74</v>
      </c>
      <c r="L400" t="s">
        <v>74</v>
      </c>
      <c r="M400" t="s">
        <v>74</v>
      </c>
      <c r="N400" t="s">
        <v>74</v>
      </c>
      <c r="O400" t="s">
        <v>74</v>
      </c>
      <c r="P400" t="s">
        <v>74</v>
      </c>
      <c r="Q400" t="s">
        <v>74</v>
      </c>
      <c r="R400" t="s">
        <v>74</v>
      </c>
      <c r="S400" t="s">
        <v>74</v>
      </c>
      <c r="T400" t="s">
        <v>74</v>
      </c>
      <c r="U400" t="s">
        <v>74</v>
      </c>
      <c r="V400" t="s">
        <v>3574</v>
      </c>
      <c r="W400" t="s">
        <v>74</v>
      </c>
      <c r="X400" t="s">
        <v>74</v>
      </c>
      <c r="Y400" t="s">
        <v>74</v>
      </c>
      <c r="Z400" t="s">
        <v>74</v>
      </c>
      <c r="AA400" t="s">
        <v>74</v>
      </c>
      <c r="AB400" t="s">
        <v>3575</v>
      </c>
      <c r="AC400" t="s">
        <v>74</v>
      </c>
      <c r="AD400" t="s">
        <v>74</v>
      </c>
      <c r="AE400" t="s">
        <v>74</v>
      </c>
      <c r="AF400" t="s">
        <v>74</v>
      </c>
      <c r="AG400" t="s">
        <v>74</v>
      </c>
      <c r="AH400" t="s">
        <v>74</v>
      </c>
      <c r="AI400" t="s">
        <v>74</v>
      </c>
      <c r="AJ400" t="s">
        <v>74</v>
      </c>
      <c r="AK400" t="s">
        <v>74</v>
      </c>
      <c r="AL400" t="s">
        <v>74</v>
      </c>
      <c r="AM400" t="s">
        <v>74</v>
      </c>
      <c r="AN400" t="s">
        <v>74</v>
      </c>
      <c r="AO400" t="s">
        <v>74</v>
      </c>
      <c r="AP400" t="s">
        <v>2447</v>
      </c>
      <c r="AQ400" t="s">
        <v>74</v>
      </c>
      <c r="AR400" t="s">
        <v>74</v>
      </c>
      <c r="AS400" t="s">
        <v>74</v>
      </c>
      <c r="AT400" t="s">
        <v>113</v>
      </c>
      <c r="AU400">
        <v>2022</v>
      </c>
      <c r="AV400">
        <v>8</v>
      </c>
      <c r="AW400">
        <v>10</v>
      </c>
      <c r="AX400" t="s">
        <v>74</v>
      </c>
      <c r="AY400" t="s">
        <v>74</v>
      </c>
      <c r="AZ400" t="s">
        <v>74</v>
      </c>
      <c r="BA400" t="s">
        <v>74</v>
      </c>
      <c r="BB400" t="s">
        <v>74</v>
      </c>
      <c r="BC400" t="s">
        <v>74</v>
      </c>
      <c r="BD400">
        <v>187</v>
      </c>
      <c r="BE400" t="s">
        <v>3576</v>
      </c>
      <c r="BF400" t="str">
        <f>HYPERLINK("http://dx.doi.org/10.3390/batteries8100187","http://dx.doi.org/10.3390/batteries8100187")</f>
        <v>http://dx.doi.org/10.3390/batteries8100187</v>
      </c>
      <c r="BG400" t="s">
        <v>74</v>
      </c>
      <c r="BH400" t="s">
        <v>74</v>
      </c>
      <c r="BI400" t="s">
        <v>74</v>
      </c>
      <c r="BJ400" t="s">
        <v>74</v>
      </c>
      <c r="BK400" t="s">
        <v>74</v>
      </c>
      <c r="BL400" t="s">
        <v>74</v>
      </c>
      <c r="BM400" t="s">
        <v>74</v>
      </c>
      <c r="BN400" t="s">
        <v>74</v>
      </c>
      <c r="BO400" t="s">
        <v>74</v>
      </c>
      <c r="BP400" t="s">
        <v>74</v>
      </c>
      <c r="BQ400" t="s">
        <v>74</v>
      </c>
      <c r="BR400" t="s">
        <v>74</v>
      </c>
      <c r="BS400" t="s">
        <v>3577</v>
      </c>
      <c r="BT400" t="str">
        <f>HYPERLINK("https%3A%2F%2Fwww.webofscience.com%2Fwos%2Fwoscc%2Ffull-record%2FWOS:000872262400001","View Full Record in Web of Science")</f>
        <v>View Full Record in Web of Science</v>
      </c>
    </row>
    <row r="401" spans="1:72" x14ac:dyDescent="0.2">
      <c r="A401" t="s">
        <v>72</v>
      </c>
      <c r="B401" t="s">
        <v>3578</v>
      </c>
      <c r="C401" t="s">
        <v>74</v>
      </c>
      <c r="D401" t="s">
        <v>74</v>
      </c>
      <c r="E401" t="s">
        <v>74</v>
      </c>
      <c r="F401" t="s">
        <v>3579</v>
      </c>
      <c r="G401" t="s">
        <v>74</v>
      </c>
      <c r="H401" t="s">
        <v>74</v>
      </c>
      <c r="I401" t="s">
        <v>3580</v>
      </c>
      <c r="J401" t="s">
        <v>3581</v>
      </c>
      <c r="K401" t="s">
        <v>74</v>
      </c>
      <c r="L401" t="s">
        <v>74</v>
      </c>
      <c r="M401" t="s">
        <v>74</v>
      </c>
      <c r="N401" t="s">
        <v>74</v>
      </c>
      <c r="O401" t="s">
        <v>74</v>
      </c>
      <c r="P401" t="s">
        <v>74</v>
      </c>
      <c r="Q401" t="s">
        <v>74</v>
      </c>
      <c r="R401" t="s">
        <v>74</v>
      </c>
      <c r="S401" t="s">
        <v>74</v>
      </c>
      <c r="T401" t="s">
        <v>74</v>
      </c>
      <c r="U401" t="s">
        <v>74</v>
      </c>
      <c r="V401" t="s">
        <v>3582</v>
      </c>
      <c r="W401" t="s">
        <v>74</v>
      </c>
      <c r="X401" t="s">
        <v>74</v>
      </c>
      <c r="Y401" t="s">
        <v>74</v>
      </c>
      <c r="Z401" t="s">
        <v>74</v>
      </c>
      <c r="AA401" t="s">
        <v>3583</v>
      </c>
      <c r="AB401" t="s">
        <v>3584</v>
      </c>
      <c r="AC401" t="s">
        <v>74</v>
      </c>
      <c r="AD401" t="s">
        <v>74</v>
      </c>
      <c r="AE401" t="s">
        <v>74</v>
      </c>
      <c r="AF401" t="s">
        <v>74</v>
      </c>
      <c r="AG401" t="s">
        <v>74</v>
      </c>
      <c r="AH401" t="s">
        <v>74</v>
      </c>
      <c r="AI401" t="s">
        <v>74</v>
      </c>
      <c r="AJ401" t="s">
        <v>74</v>
      </c>
      <c r="AK401" t="s">
        <v>74</v>
      </c>
      <c r="AL401" t="s">
        <v>74</v>
      </c>
      <c r="AM401" t="s">
        <v>74</v>
      </c>
      <c r="AN401" t="s">
        <v>74</v>
      </c>
      <c r="AO401" t="s">
        <v>3585</v>
      </c>
      <c r="AP401" t="s">
        <v>3586</v>
      </c>
      <c r="AQ401" t="s">
        <v>74</v>
      </c>
      <c r="AR401" t="s">
        <v>74</v>
      </c>
      <c r="AS401" t="s">
        <v>74</v>
      </c>
      <c r="AT401" t="s">
        <v>3587</v>
      </c>
      <c r="AU401">
        <v>2022</v>
      </c>
      <c r="AV401">
        <v>58</v>
      </c>
      <c r="AW401">
        <v>85</v>
      </c>
      <c r="AX401" t="s">
        <v>74</v>
      </c>
      <c r="AY401" t="s">
        <v>74</v>
      </c>
      <c r="AZ401" t="s">
        <v>74</v>
      </c>
      <c r="BA401" t="s">
        <v>74</v>
      </c>
      <c r="BB401">
        <v>11969</v>
      </c>
      <c r="BC401">
        <v>11972</v>
      </c>
      <c r="BD401" t="s">
        <v>74</v>
      </c>
      <c r="BE401" t="s">
        <v>3588</v>
      </c>
      <c r="BF401" t="str">
        <f>HYPERLINK("http://dx.doi.org/10.1039/d2cc04357b","http://dx.doi.org/10.1039/d2cc04357b")</f>
        <v>http://dx.doi.org/10.1039/d2cc04357b</v>
      </c>
      <c r="BG401" t="s">
        <v>74</v>
      </c>
      <c r="BH401" t="s">
        <v>3589</v>
      </c>
      <c r="BI401" t="s">
        <v>74</v>
      </c>
      <c r="BJ401" t="s">
        <v>74</v>
      </c>
      <c r="BK401" t="s">
        <v>74</v>
      </c>
      <c r="BL401" t="s">
        <v>74</v>
      </c>
      <c r="BM401" t="s">
        <v>74</v>
      </c>
      <c r="BN401">
        <v>36205536</v>
      </c>
      <c r="BO401" t="s">
        <v>74</v>
      </c>
      <c r="BP401" t="s">
        <v>74</v>
      </c>
      <c r="BQ401" t="s">
        <v>74</v>
      </c>
      <c r="BR401" t="s">
        <v>74</v>
      </c>
      <c r="BS401" t="s">
        <v>3590</v>
      </c>
      <c r="BT401" t="str">
        <f>HYPERLINK("https%3A%2F%2Fwww.webofscience.com%2Fwos%2Fwoscc%2Ffull-record%2FWOS:000864822100001","View Full Record in Web of Science")</f>
        <v>View Full Record in Web of Science</v>
      </c>
    </row>
    <row r="402" spans="1:72" x14ac:dyDescent="0.2">
      <c r="A402" t="s">
        <v>72</v>
      </c>
      <c r="B402" t="s">
        <v>3591</v>
      </c>
      <c r="C402" t="s">
        <v>74</v>
      </c>
      <c r="D402" t="s">
        <v>74</v>
      </c>
      <c r="E402" t="s">
        <v>74</v>
      </c>
      <c r="F402" t="s">
        <v>3592</v>
      </c>
      <c r="G402" t="s">
        <v>74</v>
      </c>
      <c r="H402" t="s">
        <v>74</v>
      </c>
      <c r="I402" t="s">
        <v>3593</v>
      </c>
      <c r="J402" t="s">
        <v>598</v>
      </c>
      <c r="K402" t="s">
        <v>74</v>
      </c>
      <c r="L402" t="s">
        <v>74</v>
      </c>
      <c r="M402" t="s">
        <v>74</v>
      </c>
      <c r="N402" t="s">
        <v>74</v>
      </c>
      <c r="O402" t="s">
        <v>74</v>
      </c>
      <c r="P402" t="s">
        <v>74</v>
      </c>
      <c r="Q402" t="s">
        <v>74</v>
      </c>
      <c r="R402" t="s">
        <v>74</v>
      </c>
      <c r="S402" t="s">
        <v>74</v>
      </c>
      <c r="T402" t="s">
        <v>74</v>
      </c>
      <c r="U402" t="s">
        <v>74</v>
      </c>
      <c r="V402" t="s">
        <v>3594</v>
      </c>
      <c r="W402" t="s">
        <v>74</v>
      </c>
      <c r="X402" t="s">
        <v>74</v>
      </c>
      <c r="Y402" t="s">
        <v>74</v>
      </c>
      <c r="Z402" t="s">
        <v>74</v>
      </c>
      <c r="AA402" t="s">
        <v>3595</v>
      </c>
      <c r="AB402" t="s">
        <v>74</v>
      </c>
      <c r="AC402" t="s">
        <v>74</v>
      </c>
      <c r="AD402" t="s">
        <v>74</v>
      </c>
      <c r="AE402" t="s">
        <v>74</v>
      </c>
      <c r="AF402" t="s">
        <v>74</v>
      </c>
      <c r="AG402" t="s">
        <v>74</v>
      </c>
      <c r="AH402" t="s">
        <v>74</v>
      </c>
      <c r="AI402" t="s">
        <v>74</v>
      </c>
      <c r="AJ402" t="s">
        <v>74</v>
      </c>
      <c r="AK402" t="s">
        <v>74</v>
      </c>
      <c r="AL402" t="s">
        <v>74</v>
      </c>
      <c r="AM402" t="s">
        <v>74</v>
      </c>
      <c r="AN402" t="s">
        <v>74</v>
      </c>
      <c r="AO402" t="s">
        <v>601</v>
      </c>
      <c r="AP402" t="s">
        <v>602</v>
      </c>
      <c r="AQ402" t="s">
        <v>74</v>
      </c>
      <c r="AR402" t="s">
        <v>74</v>
      </c>
      <c r="AS402" t="s">
        <v>74</v>
      </c>
      <c r="AT402" t="s">
        <v>3596</v>
      </c>
      <c r="AU402">
        <v>2022</v>
      </c>
      <c r="AV402" t="s">
        <v>74</v>
      </c>
      <c r="AW402" t="s">
        <v>74</v>
      </c>
      <c r="AX402" t="s">
        <v>74</v>
      </c>
      <c r="AY402" t="s">
        <v>74</v>
      </c>
      <c r="AZ402" t="s">
        <v>74</v>
      </c>
      <c r="BA402" t="s">
        <v>74</v>
      </c>
      <c r="BB402" t="s">
        <v>74</v>
      </c>
      <c r="BC402" t="s">
        <v>74</v>
      </c>
      <c r="BD402" t="s">
        <v>74</v>
      </c>
      <c r="BE402" t="s">
        <v>3597</v>
      </c>
      <c r="BF402" t="str">
        <f>HYPERLINK("http://dx.doi.org/10.1002/cssc.202201561","http://dx.doi.org/10.1002/cssc.202201561")</f>
        <v>http://dx.doi.org/10.1002/cssc.202201561</v>
      </c>
      <c r="BG402" t="s">
        <v>74</v>
      </c>
      <c r="BH402" t="s">
        <v>3589</v>
      </c>
      <c r="BI402" t="s">
        <v>74</v>
      </c>
      <c r="BJ402" t="s">
        <v>74</v>
      </c>
      <c r="BK402" t="s">
        <v>74</v>
      </c>
      <c r="BL402" t="s">
        <v>74</v>
      </c>
      <c r="BM402" t="s">
        <v>74</v>
      </c>
      <c r="BN402">
        <v>36098496</v>
      </c>
      <c r="BO402" t="s">
        <v>74</v>
      </c>
      <c r="BP402" t="s">
        <v>74</v>
      </c>
      <c r="BQ402" t="s">
        <v>74</v>
      </c>
      <c r="BR402" t="s">
        <v>74</v>
      </c>
      <c r="BS402" t="s">
        <v>3598</v>
      </c>
      <c r="BT402" t="str">
        <f>HYPERLINK("https%3A%2F%2Fwww.webofscience.com%2Fwos%2Fwoscc%2Ffull-record%2FWOS:000861450700001","View Full Record in Web of Science")</f>
        <v>View Full Record in Web of Science</v>
      </c>
    </row>
    <row r="403" spans="1:72" x14ac:dyDescent="0.2">
      <c r="A403" t="s">
        <v>72</v>
      </c>
      <c r="B403" t="s">
        <v>3599</v>
      </c>
      <c r="C403" t="s">
        <v>74</v>
      </c>
      <c r="D403" t="s">
        <v>74</v>
      </c>
      <c r="E403" t="s">
        <v>74</v>
      </c>
      <c r="F403" t="s">
        <v>3600</v>
      </c>
      <c r="G403" t="s">
        <v>74</v>
      </c>
      <c r="H403" t="s">
        <v>74</v>
      </c>
      <c r="I403" t="s">
        <v>3601</v>
      </c>
      <c r="J403" t="s">
        <v>498</v>
      </c>
      <c r="K403" t="s">
        <v>74</v>
      </c>
      <c r="L403" t="s">
        <v>74</v>
      </c>
      <c r="M403" t="s">
        <v>74</v>
      </c>
      <c r="N403" t="s">
        <v>74</v>
      </c>
      <c r="O403" t="s">
        <v>74</v>
      </c>
      <c r="P403" t="s">
        <v>74</v>
      </c>
      <c r="Q403" t="s">
        <v>74</v>
      </c>
      <c r="R403" t="s">
        <v>74</v>
      </c>
      <c r="S403" t="s">
        <v>74</v>
      </c>
      <c r="T403" t="s">
        <v>74</v>
      </c>
      <c r="U403" t="s">
        <v>74</v>
      </c>
      <c r="V403" t="s">
        <v>3602</v>
      </c>
      <c r="W403" t="s">
        <v>74</v>
      </c>
      <c r="X403" t="s">
        <v>74</v>
      </c>
      <c r="Y403" t="s">
        <v>74</v>
      </c>
      <c r="Z403" t="s">
        <v>74</v>
      </c>
      <c r="AA403" t="s">
        <v>3603</v>
      </c>
      <c r="AB403" t="s">
        <v>3604</v>
      </c>
      <c r="AC403" t="s">
        <v>74</v>
      </c>
      <c r="AD403" t="s">
        <v>74</v>
      </c>
      <c r="AE403" t="s">
        <v>74</v>
      </c>
      <c r="AF403" t="s">
        <v>74</v>
      </c>
      <c r="AG403" t="s">
        <v>74</v>
      </c>
      <c r="AH403" t="s">
        <v>74</v>
      </c>
      <c r="AI403" t="s">
        <v>74</v>
      </c>
      <c r="AJ403" t="s">
        <v>74</v>
      </c>
      <c r="AK403" t="s">
        <v>74</v>
      </c>
      <c r="AL403" t="s">
        <v>74</v>
      </c>
      <c r="AM403" t="s">
        <v>74</v>
      </c>
      <c r="AN403" t="s">
        <v>74</v>
      </c>
      <c r="AO403" t="s">
        <v>502</v>
      </c>
      <c r="AP403" t="s">
        <v>503</v>
      </c>
      <c r="AQ403" t="s">
        <v>74</v>
      </c>
      <c r="AR403" t="s">
        <v>74</v>
      </c>
      <c r="AS403" t="s">
        <v>74</v>
      </c>
      <c r="AT403" t="s">
        <v>3605</v>
      </c>
      <c r="AU403">
        <v>2022</v>
      </c>
      <c r="AV403">
        <v>126</v>
      </c>
      <c r="AW403">
        <v>40</v>
      </c>
      <c r="AX403" t="s">
        <v>74</v>
      </c>
      <c r="AY403" t="s">
        <v>74</v>
      </c>
      <c r="AZ403" t="s">
        <v>74</v>
      </c>
      <c r="BA403" t="s">
        <v>74</v>
      </c>
      <c r="BB403">
        <v>16993</v>
      </c>
      <c r="BC403">
        <v>17001</v>
      </c>
      <c r="BD403" t="s">
        <v>74</v>
      </c>
      <c r="BE403" t="s">
        <v>3606</v>
      </c>
      <c r="BF403" t="str">
        <f>HYPERLINK("http://dx.doi.org/10.1021/acs.jpcc.2c05354","http://dx.doi.org/10.1021/acs.jpcc.2c05354")</f>
        <v>http://dx.doi.org/10.1021/acs.jpcc.2c05354</v>
      </c>
      <c r="BG403" t="s">
        <v>74</v>
      </c>
      <c r="BH403" t="s">
        <v>3589</v>
      </c>
      <c r="BI403" t="s">
        <v>74</v>
      </c>
      <c r="BJ403" t="s">
        <v>74</v>
      </c>
      <c r="BK403" t="s">
        <v>74</v>
      </c>
      <c r="BL403" t="s">
        <v>74</v>
      </c>
      <c r="BM403" t="s">
        <v>74</v>
      </c>
      <c r="BN403" t="s">
        <v>74</v>
      </c>
      <c r="BO403" t="s">
        <v>74</v>
      </c>
      <c r="BP403" t="s">
        <v>74</v>
      </c>
      <c r="BQ403" t="s">
        <v>74</v>
      </c>
      <c r="BR403" t="s">
        <v>74</v>
      </c>
      <c r="BS403" t="s">
        <v>3607</v>
      </c>
      <c r="BT403" t="str">
        <f>HYPERLINK("https%3A%2F%2Fwww.webofscience.com%2Fwos%2Fwoscc%2Ffull-record%2FWOS:000868881300001","View Full Record in Web of Science")</f>
        <v>View Full Record in Web of Science</v>
      </c>
    </row>
    <row r="404" spans="1:72" x14ac:dyDescent="0.2">
      <c r="A404" t="s">
        <v>72</v>
      </c>
      <c r="B404" t="s">
        <v>3608</v>
      </c>
      <c r="C404" t="s">
        <v>74</v>
      </c>
      <c r="D404" t="s">
        <v>74</v>
      </c>
      <c r="E404" t="s">
        <v>74</v>
      </c>
      <c r="F404" t="s">
        <v>3609</v>
      </c>
      <c r="G404" t="s">
        <v>74</v>
      </c>
      <c r="H404" t="s">
        <v>74</v>
      </c>
      <c r="I404" t="s">
        <v>3610</v>
      </c>
      <c r="J404" t="s">
        <v>98</v>
      </c>
      <c r="K404" t="s">
        <v>74</v>
      </c>
      <c r="L404" t="s">
        <v>74</v>
      </c>
      <c r="M404" t="s">
        <v>74</v>
      </c>
      <c r="N404" t="s">
        <v>74</v>
      </c>
      <c r="O404" t="s">
        <v>74</v>
      </c>
      <c r="P404" t="s">
        <v>74</v>
      </c>
      <c r="Q404" t="s">
        <v>74</v>
      </c>
      <c r="R404" t="s">
        <v>74</v>
      </c>
      <c r="S404" t="s">
        <v>74</v>
      </c>
      <c r="T404" t="s">
        <v>74</v>
      </c>
      <c r="U404" t="s">
        <v>74</v>
      </c>
      <c r="V404" t="s">
        <v>3611</v>
      </c>
      <c r="W404" t="s">
        <v>74</v>
      </c>
      <c r="X404" t="s">
        <v>74</v>
      </c>
      <c r="Y404" t="s">
        <v>74</v>
      </c>
      <c r="Z404" t="s">
        <v>74</v>
      </c>
      <c r="AA404" t="s">
        <v>3612</v>
      </c>
      <c r="AB404" t="s">
        <v>3613</v>
      </c>
      <c r="AC404" t="s">
        <v>74</v>
      </c>
      <c r="AD404" t="s">
        <v>74</v>
      </c>
      <c r="AE404" t="s">
        <v>74</v>
      </c>
      <c r="AF404" t="s">
        <v>74</v>
      </c>
      <c r="AG404" t="s">
        <v>74</v>
      </c>
      <c r="AH404" t="s">
        <v>74</v>
      </c>
      <c r="AI404" t="s">
        <v>74</v>
      </c>
      <c r="AJ404" t="s">
        <v>74</v>
      </c>
      <c r="AK404" t="s">
        <v>74</v>
      </c>
      <c r="AL404" t="s">
        <v>74</v>
      </c>
      <c r="AM404" t="s">
        <v>74</v>
      </c>
      <c r="AN404" t="s">
        <v>74</v>
      </c>
      <c r="AO404" t="s">
        <v>101</v>
      </c>
      <c r="AP404" t="s">
        <v>102</v>
      </c>
      <c r="AQ404" t="s">
        <v>74</v>
      </c>
      <c r="AR404" t="s">
        <v>74</v>
      </c>
      <c r="AS404" t="s">
        <v>74</v>
      </c>
      <c r="AT404" t="s">
        <v>2571</v>
      </c>
      <c r="AU404">
        <v>2022</v>
      </c>
      <c r="AV404">
        <v>550</v>
      </c>
      <c r="AW404" t="s">
        <v>74</v>
      </c>
      <c r="AX404" t="s">
        <v>74</v>
      </c>
      <c r="AY404" t="s">
        <v>74</v>
      </c>
      <c r="AZ404" t="s">
        <v>74</v>
      </c>
      <c r="BA404" t="s">
        <v>74</v>
      </c>
      <c r="BB404" t="s">
        <v>74</v>
      </c>
      <c r="BC404" t="s">
        <v>74</v>
      </c>
      <c r="BD404">
        <v>232139</v>
      </c>
      <c r="BE404" t="s">
        <v>3614</v>
      </c>
      <c r="BF404" t="str">
        <f>HYPERLINK("http://dx.doi.org/10.1016/j.jpowsour.2022.232139","http://dx.doi.org/10.1016/j.jpowsour.2022.232139")</f>
        <v>http://dx.doi.org/10.1016/j.jpowsour.2022.232139</v>
      </c>
      <c r="BG404" t="s">
        <v>74</v>
      </c>
      <c r="BH404" t="s">
        <v>3589</v>
      </c>
      <c r="BI404" t="s">
        <v>74</v>
      </c>
      <c r="BJ404" t="s">
        <v>74</v>
      </c>
      <c r="BK404" t="s">
        <v>74</v>
      </c>
      <c r="BL404" t="s">
        <v>74</v>
      </c>
      <c r="BM404" t="s">
        <v>74</v>
      </c>
      <c r="BN404" t="s">
        <v>74</v>
      </c>
      <c r="BO404" t="s">
        <v>74</v>
      </c>
      <c r="BP404" t="s">
        <v>74</v>
      </c>
      <c r="BQ404" t="s">
        <v>74</v>
      </c>
      <c r="BR404" t="s">
        <v>74</v>
      </c>
      <c r="BS404" t="s">
        <v>3615</v>
      </c>
      <c r="BT404" t="str">
        <f>HYPERLINK("https%3A%2F%2Fwww.webofscience.com%2Fwos%2Fwoscc%2Ffull-record%2FWOS:000869404500002","View Full Record in Web of Science")</f>
        <v>View Full Record in Web of Science</v>
      </c>
    </row>
    <row r="405" spans="1:72" x14ac:dyDescent="0.2">
      <c r="A405" t="s">
        <v>72</v>
      </c>
      <c r="B405" t="s">
        <v>3616</v>
      </c>
      <c r="C405" t="s">
        <v>74</v>
      </c>
      <c r="D405" t="s">
        <v>74</v>
      </c>
      <c r="E405" t="s">
        <v>74</v>
      </c>
      <c r="F405" t="s">
        <v>3617</v>
      </c>
      <c r="G405" t="s">
        <v>74</v>
      </c>
      <c r="H405" t="s">
        <v>74</v>
      </c>
      <c r="I405" t="s">
        <v>3618</v>
      </c>
      <c r="J405" t="s">
        <v>3619</v>
      </c>
      <c r="K405" t="s">
        <v>74</v>
      </c>
      <c r="L405" t="s">
        <v>74</v>
      </c>
      <c r="M405" t="s">
        <v>74</v>
      </c>
      <c r="N405" t="s">
        <v>74</v>
      </c>
      <c r="O405" t="s">
        <v>74</v>
      </c>
      <c r="P405" t="s">
        <v>74</v>
      </c>
      <c r="Q405" t="s">
        <v>74</v>
      </c>
      <c r="R405" t="s">
        <v>74</v>
      </c>
      <c r="S405" t="s">
        <v>74</v>
      </c>
      <c r="T405" t="s">
        <v>74</v>
      </c>
      <c r="U405" t="s">
        <v>74</v>
      </c>
      <c r="V405" t="s">
        <v>3620</v>
      </c>
      <c r="W405" t="s">
        <v>74</v>
      </c>
      <c r="X405" t="s">
        <v>74</v>
      </c>
      <c r="Y405" t="s">
        <v>74</v>
      </c>
      <c r="Z405" t="s">
        <v>74</v>
      </c>
      <c r="AA405" t="s">
        <v>3621</v>
      </c>
      <c r="AB405" t="s">
        <v>3622</v>
      </c>
      <c r="AC405" t="s">
        <v>74</v>
      </c>
      <c r="AD405" t="s">
        <v>74</v>
      </c>
      <c r="AE405" t="s">
        <v>74</v>
      </c>
      <c r="AF405" t="s">
        <v>74</v>
      </c>
      <c r="AG405" t="s">
        <v>74</v>
      </c>
      <c r="AH405" t="s">
        <v>74</v>
      </c>
      <c r="AI405" t="s">
        <v>74</v>
      </c>
      <c r="AJ405" t="s">
        <v>74</v>
      </c>
      <c r="AK405" t="s">
        <v>74</v>
      </c>
      <c r="AL405" t="s">
        <v>74</v>
      </c>
      <c r="AM405" t="s">
        <v>74</v>
      </c>
      <c r="AN405" t="s">
        <v>74</v>
      </c>
      <c r="AO405" t="s">
        <v>3623</v>
      </c>
      <c r="AP405" t="s">
        <v>3624</v>
      </c>
      <c r="AQ405" t="s">
        <v>74</v>
      </c>
      <c r="AR405" t="s">
        <v>74</v>
      </c>
      <c r="AS405" t="s">
        <v>74</v>
      </c>
      <c r="AT405" t="s">
        <v>1764</v>
      </c>
      <c r="AU405">
        <v>2022</v>
      </c>
      <c r="AV405">
        <v>121</v>
      </c>
      <c r="AW405">
        <v>13</v>
      </c>
      <c r="AX405" t="s">
        <v>74</v>
      </c>
      <c r="AY405" t="s">
        <v>74</v>
      </c>
      <c r="AZ405" t="s">
        <v>74</v>
      </c>
      <c r="BA405" t="s">
        <v>74</v>
      </c>
      <c r="BB405" t="s">
        <v>74</v>
      </c>
      <c r="BC405" t="s">
        <v>74</v>
      </c>
      <c r="BD405">
        <v>133903</v>
      </c>
      <c r="BE405" t="s">
        <v>3625</v>
      </c>
      <c r="BF405" t="str">
        <f>HYPERLINK("http://dx.doi.org/10.1063/5.0101447","http://dx.doi.org/10.1063/5.0101447")</f>
        <v>http://dx.doi.org/10.1063/5.0101447</v>
      </c>
      <c r="BG405" t="s">
        <v>74</v>
      </c>
      <c r="BH405" t="s">
        <v>74</v>
      </c>
      <c r="BI405" t="s">
        <v>74</v>
      </c>
      <c r="BJ405" t="s">
        <v>74</v>
      </c>
      <c r="BK405" t="s">
        <v>74</v>
      </c>
      <c r="BL405" t="s">
        <v>74</v>
      </c>
      <c r="BM405" t="s">
        <v>74</v>
      </c>
      <c r="BN405" t="s">
        <v>74</v>
      </c>
      <c r="BO405" t="s">
        <v>74</v>
      </c>
      <c r="BP405" t="s">
        <v>74</v>
      </c>
      <c r="BQ405" t="s">
        <v>74</v>
      </c>
      <c r="BR405" t="s">
        <v>74</v>
      </c>
      <c r="BS405" t="s">
        <v>3626</v>
      </c>
      <c r="BT405" t="str">
        <f>HYPERLINK("https%3A%2F%2Fwww.webofscience.com%2Fwos%2Fwoscc%2Ffull-record%2FWOS:000864460600013","View Full Record in Web of Science")</f>
        <v>View Full Record in Web of Science</v>
      </c>
    </row>
    <row r="406" spans="1:72" x14ac:dyDescent="0.2">
      <c r="A406" t="s">
        <v>72</v>
      </c>
      <c r="B406" t="s">
        <v>3627</v>
      </c>
      <c r="C406" t="s">
        <v>74</v>
      </c>
      <c r="D406" t="s">
        <v>74</v>
      </c>
      <c r="E406" t="s">
        <v>74</v>
      </c>
      <c r="F406" t="s">
        <v>3628</v>
      </c>
      <c r="G406" t="s">
        <v>74</v>
      </c>
      <c r="H406" t="s">
        <v>74</v>
      </c>
      <c r="I406" t="s">
        <v>3629</v>
      </c>
      <c r="J406" t="s">
        <v>331</v>
      </c>
      <c r="K406" t="s">
        <v>74</v>
      </c>
      <c r="L406" t="s">
        <v>74</v>
      </c>
      <c r="M406" t="s">
        <v>74</v>
      </c>
      <c r="N406" t="s">
        <v>74</v>
      </c>
      <c r="O406" t="s">
        <v>74</v>
      </c>
      <c r="P406" t="s">
        <v>74</v>
      </c>
      <c r="Q406" t="s">
        <v>74</v>
      </c>
      <c r="R406" t="s">
        <v>74</v>
      </c>
      <c r="S406" t="s">
        <v>74</v>
      </c>
      <c r="T406" t="s">
        <v>74</v>
      </c>
      <c r="U406" t="s">
        <v>74</v>
      </c>
      <c r="V406" t="s">
        <v>3630</v>
      </c>
      <c r="W406" t="s">
        <v>74</v>
      </c>
      <c r="X406" t="s">
        <v>74</v>
      </c>
      <c r="Y406" t="s">
        <v>74</v>
      </c>
      <c r="Z406" t="s">
        <v>74</v>
      </c>
      <c r="AA406" t="s">
        <v>3631</v>
      </c>
      <c r="AB406" t="s">
        <v>74</v>
      </c>
      <c r="AC406" t="s">
        <v>74</v>
      </c>
      <c r="AD406" t="s">
        <v>74</v>
      </c>
      <c r="AE406" t="s">
        <v>74</v>
      </c>
      <c r="AF406" t="s">
        <v>74</v>
      </c>
      <c r="AG406" t="s">
        <v>74</v>
      </c>
      <c r="AH406" t="s">
        <v>74</v>
      </c>
      <c r="AI406" t="s">
        <v>74</v>
      </c>
      <c r="AJ406" t="s">
        <v>74</v>
      </c>
      <c r="AK406" t="s">
        <v>74</v>
      </c>
      <c r="AL406" t="s">
        <v>74</v>
      </c>
      <c r="AM406" t="s">
        <v>74</v>
      </c>
      <c r="AN406" t="s">
        <v>74</v>
      </c>
      <c r="AO406" t="s">
        <v>333</v>
      </c>
      <c r="AP406" t="s">
        <v>334</v>
      </c>
      <c r="AQ406" t="s">
        <v>74</v>
      </c>
      <c r="AR406" t="s">
        <v>74</v>
      </c>
      <c r="AS406" t="s">
        <v>74</v>
      </c>
      <c r="AT406" t="s">
        <v>1318</v>
      </c>
      <c r="AU406">
        <v>2022</v>
      </c>
      <c r="AV406">
        <v>41</v>
      </c>
      <c r="AW406">
        <v>12</v>
      </c>
      <c r="AX406" t="s">
        <v>74</v>
      </c>
      <c r="AY406" t="s">
        <v>74</v>
      </c>
      <c r="AZ406" t="s">
        <v>74</v>
      </c>
      <c r="BA406" t="s">
        <v>74</v>
      </c>
      <c r="BB406">
        <v>4055</v>
      </c>
      <c r="BC406">
        <v>4064</v>
      </c>
      <c r="BD406" t="s">
        <v>74</v>
      </c>
      <c r="BE406" t="s">
        <v>3632</v>
      </c>
      <c r="BF406" t="str">
        <f>HYPERLINK("http://dx.doi.org/10.1007/s12598-022-02077-z","http://dx.doi.org/10.1007/s12598-022-02077-z")</f>
        <v>http://dx.doi.org/10.1007/s12598-022-02077-z</v>
      </c>
      <c r="BG406" t="s">
        <v>74</v>
      </c>
      <c r="BH406" t="s">
        <v>3589</v>
      </c>
      <c r="BI406" t="s">
        <v>74</v>
      </c>
      <c r="BJ406" t="s">
        <v>74</v>
      </c>
      <c r="BK406" t="s">
        <v>74</v>
      </c>
      <c r="BL406" t="s">
        <v>74</v>
      </c>
      <c r="BM406" t="s">
        <v>74</v>
      </c>
      <c r="BN406" t="s">
        <v>74</v>
      </c>
      <c r="BO406" t="s">
        <v>74</v>
      </c>
      <c r="BP406" t="s">
        <v>74</v>
      </c>
      <c r="BQ406" t="s">
        <v>74</v>
      </c>
      <c r="BR406" t="s">
        <v>74</v>
      </c>
      <c r="BS406" t="s">
        <v>3633</v>
      </c>
      <c r="BT406" t="str">
        <f>HYPERLINK("https%3A%2F%2Fwww.webofscience.com%2Fwos%2Fwoscc%2Ffull-record%2FWOS:000859732000002","View Full Record in Web of Science")</f>
        <v>View Full Record in Web of Science</v>
      </c>
    </row>
    <row r="407" spans="1:72" x14ac:dyDescent="0.2">
      <c r="A407" t="s">
        <v>72</v>
      </c>
      <c r="B407" t="s">
        <v>3634</v>
      </c>
      <c r="C407" t="s">
        <v>74</v>
      </c>
      <c r="D407" t="s">
        <v>74</v>
      </c>
      <c r="E407" t="s">
        <v>74</v>
      </c>
      <c r="F407" t="s">
        <v>3635</v>
      </c>
      <c r="G407" t="s">
        <v>74</v>
      </c>
      <c r="H407" t="s">
        <v>74</v>
      </c>
      <c r="I407" t="s">
        <v>3636</v>
      </c>
      <c r="J407" t="s">
        <v>3637</v>
      </c>
      <c r="K407" t="s">
        <v>74</v>
      </c>
      <c r="L407" t="s">
        <v>74</v>
      </c>
      <c r="M407" t="s">
        <v>74</v>
      </c>
      <c r="N407" t="s">
        <v>74</v>
      </c>
      <c r="O407" t="s">
        <v>74</v>
      </c>
      <c r="P407" t="s">
        <v>74</v>
      </c>
      <c r="Q407" t="s">
        <v>74</v>
      </c>
      <c r="R407" t="s">
        <v>74</v>
      </c>
      <c r="S407" t="s">
        <v>74</v>
      </c>
      <c r="T407" t="s">
        <v>74</v>
      </c>
      <c r="U407" t="s">
        <v>74</v>
      </c>
      <c r="V407" t="s">
        <v>3638</v>
      </c>
      <c r="W407" t="s">
        <v>74</v>
      </c>
      <c r="X407" t="s">
        <v>74</v>
      </c>
      <c r="Y407" t="s">
        <v>74</v>
      </c>
      <c r="Z407" t="s">
        <v>74</v>
      </c>
      <c r="AA407" t="s">
        <v>3639</v>
      </c>
      <c r="AB407" t="s">
        <v>3640</v>
      </c>
      <c r="AC407" t="s">
        <v>74</v>
      </c>
      <c r="AD407" t="s">
        <v>74</v>
      </c>
      <c r="AE407" t="s">
        <v>74</v>
      </c>
      <c r="AF407" t="s">
        <v>74</v>
      </c>
      <c r="AG407" t="s">
        <v>74</v>
      </c>
      <c r="AH407" t="s">
        <v>74</v>
      </c>
      <c r="AI407" t="s">
        <v>74</v>
      </c>
      <c r="AJ407" t="s">
        <v>74</v>
      </c>
      <c r="AK407" t="s">
        <v>74</v>
      </c>
      <c r="AL407" t="s">
        <v>74</v>
      </c>
      <c r="AM407" t="s">
        <v>74</v>
      </c>
      <c r="AN407" t="s">
        <v>74</v>
      </c>
      <c r="AO407" t="s">
        <v>3641</v>
      </c>
      <c r="AP407" t="s">
        <v>3642</v>
      </c>
      <c r="AQ407" t="s">
        <v>74</v>
      </c>
      <c r="AR407" t="s">
        <v>74</v>
      </c>
      <c r="AS407" t="s">
        <v>74</v>
      </c>
      <c r="AT407" t="s">
        <v>3643</v>
      </c>
      <c r="AU407">
        <v>2022</v>
      </c>
      <c r="AV407">
        <v>37</v>
      </c>
      <c r="AW407">
        <v>20</v>
      </c>
      <c r="AX407" t="s">
        <v>74</v>
      </c>
      <c r="AY407" t="s">
        <v>74</v>
      </c>
      <c r="AZ407" t="s">
        <v>2280</v>
      </c>
      <c r="BA407" t="s">
        <v>74</v>
      </c>
      <c r="BB407">
        <v>3384</v>
      </c>
      <c r="BC407">
        <v>3393</v>
      </c>
      <c r="BD407" t="s">
        <v>74</v>
      </c>
      <c r="BE407" t="s">
        <v>3644</v>
      </c>
      <c r="BF407" t="str">
        <f>HYPERLINK("http://dx.doi.org/10.1557/s43578-022-00734-8","http://dx.doi.org/10.1557/s43578-022-00734-8")</f>
        <v>http://dx.doi.org/10.1557/s43578-022-00734-8</v>
      </c>
      <c r="BG407" t="s">
        <v>74</v>
      </c>
      <c r="BH407" t="s">
        <v>3589</v>
      </c>
      <c r="BI407" t="s">
        <v>74</v>
      </c>
      <c r="BJ407" t="s">
        <v>74</v>
      </c>
      <c r="BK407" t="s">
        <v>74</v>
      </c>
      <c r="BL407" t="s">
        <v>74</v>
      </c>
      <c r="BM407" t="s">
        <v>74</v>
      </c>
      <c r="BN407" t="s">
        <v>74</v>
      </c>
      <c r="BO407" t="s">
        <v>74</v>
      </c>
      <c r="BP407" t="s">
        <v>74</v>
      </c>
      <c r="BQ407" t="s">
        <v>74</v>
      </c>
      <c r="BR407" t="s">
        <v>74</v>
      </c>
      <c r="BS407" t="s">
        <v>3645</v>
      </c>
      <c r="BT407" t="str">
        <f>HYPERLINK("https%3A%2F%2Fwww.webofscience.com%2Fwos%2Fwoscc%2Ffull-record%2FWOS:000859702400002","View Full Record in Web of Science")</f>
        <v>View Full Record in Web of Science</v>
      </c>
    </row>
    <row r="408" spans="1:72" x14ac:dyDescent="0.2">
      <c r="A408" t="s">
        <v>72</v>
      </c>
      <c r="B408" t="s">
        <v>3646</v>
      </c>
      <c r="C408" t="s">
        <v>74</v>
      </c>
      <c r="D408" t="s">
        <v>74</v>
      </c>
      <c r="E408" t="s">
        <v>74</v>
      </c>
      <c r="F408" t="s">
        <v>3647</v>
      </c>
      <c r="G408" t="s">
        <v>74</v>
      </c>
      <c r="H408" t="s">
        <v>74</v>
      </c>
      <c r="I408" t="s">
        <v>3648</v>
      </c>
      <c r="J408" t="s">
        <v>98</v>
      </c>
      <c r="K408" t="s">
        <v>74</v>
      </c>
      <c r="L408" t="s">
        <v>74</v>
      </c>
      <c r="M408" t="s">
        <v>74</v>
      </c>
      <c r="N408" t="s">
        <v>74</v>
      </c>
      <c r="O408" t="s">
        <v>74</v>
      </c>
      <c r="P408" t="s">
        <v>74</v>
      </c>
      <c r="Q408" t="s">
        <v>74</v>
      </c>
      <c r="R408" t="s">
        <v>74</v>
      </c>
      <c r="S408" t="s">
        <v>74</v>
      </c>
      <c r="T408" t="s">
        <v>74</v>
      </c>
      <c r="U408" t="s">
        <v>74</v>
      </c>
      <c r="V408" t="s">
        <v>3649</v>
      </c>
      <c r="W408" t="s">
        <v>74</v>
      </c>
      <c r="X408" t="s">
        <v>74</v>
      </c>
      <c r="Y408" t="s">
        <v>74</v>
      </c>
      <c r="Z408" t="s">
        <v>74</v>
      </c>
      <c r="AA408" t="s">
        <v>3650</v>
      </c>
      <c r="AB408" t="s">
        <v>3651</v>
      </c>
      <c r="AC408" t="s">
        <v>74</v>
      </c>
      <c r="AD408" t="s">
        <v>74</v>
      </c>
      <c r="AE408" t="s">
        <v>74</v>
      </c>
      <c r="AF408" t="s">
        <v>74</v>
      </c>
      <c r="AG408" t="s">
        <v>74</v>
      </c>
      <c r="AH408" t="s">
        <v>74</v>
      </c>
      <c r="AI408" t="s">
        <v>74</v>
      </c>
      <c r="AJ408" t="s">
        <v>74</v>
      </c>
      <c r="AK408" t="s">
        <v>74</v>
      </c>
      <c r="AL408" t="s">
        <v>74</v>
      </c>
      <c r="AM408" t="s">
        <v>74</v>
      </c>
      <c r="AN408" t="s">
        <v>74</v>
      </c>
      <c r="AO408" t="s">
        <v>101</v>
      </c>
      <c r="AP408" t="s">
        <v>102</v>
      </c>
      <c r="AQ408" t="s">
        <v>74</v>
      </c>
      <c r="AR408" t="s">
        <v>74</v>
      </c>
      <c r="AS408" t="s">
        <v>74</v>
      </c>
      <c r="AT408" t="s">
        <v>1391</v>
      </c>
      <c r="AU408">
        <v>2022</v>
      </c>
      <c r="AV408">
        <v>548</v>
      </c>
      <c r="AW408" t="s">
        <v>74</v>
      </c>
      <c r="AX408" t="s">
        <v>74</v>
      </c>
      <c r="AY408" t="s">
        <v>74</v>
      </c>
      <c r="AZ408" t="s">
        <v>74</v>
      </c>
      <c r="BA408" t="s">
        <v>74</v>
      </c>
      <c r="BB408" t="s">
        <v>74</v>
      </c>
      <c r="BC408" t="s">
        <v>74</v>
      </c>
      <c r="BD408">
        <v>232074</v>
      </c>
      <c r="BE408" t="s">
        <v>3652</v>
      </c>
      <c r="BF408" t="str">
        <f>HYPERLINK("http://dx.doi.org/10.1016/j.jpowsour.2022.232074","http://dx.doi.org/10.1016/j.jpowsour.2022.232074")</f>
        <v>http://dx.doi.org/10.1016/j.jpowsour.2022.232074</v>
      </c>
      <c r="BG408" t="s">
        <v>74</v>
      </c>
      <c r="BH408" t="s">
        <v>3589</v>
      </c>
      <c r="BI408" t="s">
        <v>74</v>
      </c>
      <c r="BJ408" t="s">
        <v>74</v>
      </c>
      <c r="BK408" t="s">
        <v>74</v>
      </c>
      <c r="BL408" t="s">
        <v>74</v>
      </c>
      <c r="BM408" t="s">
        <v>74</v>
      </c>
      <c r="BN408" t="s">
        <v>74</v>
      </c>
      <c r="BO408" t="s">
        <v>74</v>
      </c>
      <c r="BP408" t="s">
        <v>74</v>
      </c>
      <c r="BQ408" t="s">
        <v>74</v>
      </c>
      <c r="BR408" t="s">
        <v>74</v>
      </c>
      <c r="BS408" t="s">
        <v>3653</v>
      </c>
      <c r="BT408" t="str">
        <f>HYPERLINK("https%3A%2F%2Fwww.webofscience.com%2Fwos%2Fwoscc%2Ffull-record%2FWOS:000863224900001","View Full Record in Web of Science")</f>
        <v>View Full Record in Web of Science</v>
      </c>
    </row>
    <row r="409" spans="1:72" x14ac:dyDescent="0.2">
      <c r="A409" t="s">
        <v>72</v>
      </c>
      <c r="B409" t="s">
        <v>3654</v>
      </c>
      <c r="C409" t="s">
        <v>74</v>
      </c>
      <c r="D409" t="s">
        <v>74</v>
      </c>
      <c r="E409" t="s">
        <v>74</v>
      </c>
      <c r="F409" t="s">
        <v>3655</v>
      </c>
      <c r="G409" t="s">
        <v>74</v>
      </c>
      <c r="H409" t="s">
        <v>74</v>
      </c>
      <c r="I409" t="s">
        <v>3656</v>
      </c>
      <c r="J409" t="s">
        <v>433</v>
      </c>
      <c r="K409" t="s">
        <v>74</v>
      </c>
      <c r="L409" t="s">
        <v>74</v>
      </c>
      <c r="M409" t="s">
        <v>74</v>
      </c>
      <c r="N409" t="s">
        <v>74</v>
      </c>
      <c r="O409" t="s">
        <v>74</v>
      </c>
      <c r="P409" t="s">
        <v>74</v>
      </c>
      <c r="Q409" t="s">
        <v>74</v>
      </c>
      <c r="R409" t="s">
        <v>74</v>
      </c>
      <c r="S409" t="s">
        <v>74</v>
      </c>
      <c r="T409" t="s">
        <v>74</v>
      </c>
      <c r="U409" t="s">
        <v>74</v>
      </c>
      <c r="V409" t="s">
        <v>3657</v>
      </c>
      <c r="W409" t="s">
        <v>74</v>
      </c>
      <c r="X409" t="s">
        <v>74</v>
      </c>
      <c r="Y409" t="s">
        <v>74</v>
      </c>
      <c r="Z409" t="s">
        <v>74</v>
      </c>
      <c r="AA409" t="s">
        <v>3658</v>
      </c>
      <c r="AB409" t="s">
        <v>74</v>
      </c>
      <c r="AC409" t="s">
        <v>74</v>
      </c>
      <c r="AD409" t="s">
        <v>74</v>
      </c>
      <c r="AE409" t="s">
        <v>74</v>
      </c>
      <c r="AF409" t="s">
        <v>74</v>
      </c>
      <c r="AG409" t="s">
        <v>74</v>
      </c>
      <c r="AH409" t="s">
        <v>74</v>
      </c>
      <c r="AI409" t="s">
        <v>74</v>
      </c>
      <c r="AJ409" t="s">
        <v>74</v>
      </c>
      <c r="AK409" t="s">
        <v>74</v>
      </c>
      <c r="AL409" t="s">
        <v>74</v>
      </c>
      <c r="AM409" t="s">
        <v>74</v>
      </c>
      <c r="AN409" t="s">
        <v>74</v>
      </c>
      <c r="AO409" t="s">
        <v>435</v>
      </c>
      <c r="AP409" t="s">
        <v>436</v>
      </c>
      <c r="AQ409" t="s">
        <v>74</v>
      </c>
      <c r="AR409" t="s">
        <v>74</v>
      </c>
      <c r="AS409" t="s">
        <v>74</v>
      </c>
      <c r="AT409" t="s">
        <v>1364</v>
      </c>
      <c r="AU409">
        <v>2022</v>
      </c>
      <c r="AV409">
        <v>928</v>
      </c>
      <c r="AW409" t="s">
        <v>74</v>
      </c>
      <c r="AX409" t="s">
        <v>74</v>
      </c>
      <c r="AY409" t="s">
        <v>74</v>
      </c>
      <c r="AZ409" t="s">
        <v>74</v>
      </c>
      <c r="BA409" t="s">
        <v>74</v>
      </c>
      <c r="BB409" t="s">
        <v>74</v>
      </c>
      <c r="BC409" t="s">
        <v>74</v>
      </c>
      <c r="BD409">
        <v>167056</v>
      </c>
      <c r="BE409" t="s">
        <v>3659</v>
      </c>
      <c r="BF409" t="str">
        <f>HYPERLINK("http://dx.doi.org/10.1016/j.jallcom.2022.167056","http://dx.doi.org/10.1016/j.jallcom.2022.167056")</f>
        <v>http://dx.doi.org/10.1016/j.jallcom.2022.167056</v>
      </c>
      <c r="BG409" t="s">
        <v>74</v>
      </c>
      <c r="BH409" t="s">
        <v>3589</v>
      </c>
      <c r="BI409" t="s">
        <v>74</v>
      </c>
      <c r="BJ409" t="s">
        <v>74</v>
      </c>
      <c r="BK409" t="s">
        <v>74</v>
      </c>
      <c r="BL409" t="s">
        <v>74</v>
      </c>
      <c r="BM409" t="s">
        <v>74</v>
      </c>
      <c r="BN409" t="s">
        <v>74</v>
      </c>
      <c r="BO409" t="s">
        <v>74</v>
      </c>
      <c r="BP409" t="s">
        <v>74</v>
      </c>
      <c r="BQ409" t="s">
        <v>74</v>
      </c>
      <c r="BR409" t="s">
        <v>74</v>
      </c>
      <c r="BS409" t="s">
        <v>3660</v>
      </c>
      <c r="BT409" t="str">
        <f>HYPERLINK("https%3A%2F%2Fwww.webofscience.com%2Fwos%2Fwoscc%2Ffull-record%2FWOS:000861314700002","View Full Record in Web of Science")</f>
        <v>View Full Record in Web of Science</v>
      </c>
    </row>
    <row r="410" spans="1:72" x14ac:dyDescent="0.2">
      <c r="A410" t="s">
        <v>72</v>
      </c>
      <c r="B410" t="s">
        <v>3661</v>
      </c>
      <c r="C410" t="s">
        <v>74</v>
      </c>
      <c r="D410" t="s">
        <v>74</v>
      </c>
      <c r="E410" t="s">
        <v>74</v>
      </c>
      <c r="F410" t="s">
        <v>3662</v>
      </c>
      <c r="G410" t="s">
        <v>74</v>
      </c>
      <c r="H410" t="s">
        <v>74</v>
      </c>
      <c r="I410" t="s">
        <v>3663</v>
      </c>
      <c r="J410" t="s">
        <v>411</v>
      </c>
      <c r="K410" t="s">
        <v>74</v>
      </c>
      <c r="L410" t="s">
        <v>74</v>
      </c>
      <c r="M410" t="s">
        <v>74</v>
      </c>
      <c r="N410" t="s">
        <v>74</v>
      </c>
      <c r="O410" t="s">
        <v>74</v>
      </c>
      <c r="P410" t="s">
        <v>74</v>
      </c>
      <c r="Q410" t="s">
        <v>74</v>
      </c>
      <c r="R410" t="s">
        <v>74</v>
      </c>
      <c r="S410" t="s">
        <v>74</v>
      </c>
      <c r="T410" t="s">
        <v>74</v>
      </c>
      <c r="U410" t="s">
        <v>74</v>
      </c>
      <c r="V410" t="s">
        <v>3664</v>
      </c>
      <c r="W410" t="s">
        <v>74</v>
      </c>
      <c r="X410" t="s">
        <v>74</v>
      </c>
      <c r="Y410" t="s">
        <v>74</v>
      </c>
      <c r="Z410" t="s">
        <v>74</v>
      </c>
      <c r="AA410" t="s">
        <v>3665</v>
      </c>
      <c r="AB410" t="s">
        <v>3666</v>
      </c>
      <c r="AC410" t="s">
        <v>74</v>
      </c>
      <c r="AD410" t="s">
        <v>74</v>
      </c>
      <c r="AE410" t="s">
        <v>74</v>
      </c>
      <c r="AF410" t="s">
        <v>74</v>
      </c>
      <c r="AG410" t="s">
        <v>74</v>
      </c>
      <c r="AH410" t="s">
        <v>74</v>
      </c>
      <c r="AI410" t="s">
        <v>74</v>
      </c>
      <c r="AJ410" t="s">
        <v>74</v>
      </c>
      <c r="AK410" t="s">
        <v>74</v>
      </c>
      <c r="AL410" t="s">
        <v>74</v>
      </c>
      <c r="AM410" t="s">
        <v>74</v>
      </c>
      <c r="AN410" t="s">
        <v>74</v>
      </c>
      <c r="AO410" t="s">
        <v>414</v>
      </c>
      <c r="AP410" t="s">
        <v>415</v>
      </c>
      <c r="AQ410" t="s">
        <v>74</v>
      </c>
      <c r="AR410" t="s">
        <v>74</v>
      </c>
      <c r="AS410" t="s">
        <v>74</v>
      </c>
      <c r="AT410" t="s">
        <v>113</v>
      </c>
      <c r="AU410">
        <v>2022</v>
      </c>
      <c r="AV410">
        <v>18</v>
      </c>
      <c r="AW410">
        <v>41</v>
      </c>
      <c r="AX410" t="s">
        <v>74</v>
      </c>
      <c r="AY410" t="s">
        <v>74</v>
      </c>
      <c r="AZ410" t="s">
        <v>74</v>
      </c>
      <c r="BA410" t="s">
        <v>74</v>
      </c>
      <c r="BB410" t="s">
        <v>74</v>
      </c>
      <c r="BC410" t="s">
        <v>74</v>
      </c>
      <c r="BD410">
        <v>2203222</v>
      </c>
      <c r="BE410" t="s">
        <v>3667</v>
      </c>
      <c r="BF410" t="str">
        <f>HYPERLINK("http://dx.doi.org/10.1002/smll.202203222","http://dx.doi.org/10.1002/smll.202203222")</f>
        <v>http://dx.doi.org/10.1002/smll.202203222</v>
      </c>
      <c r="BG410" t="s">
        <v>74</v>
      </c>
      <c r="BH410" t="s">
        <v>3589</v>
      </c>
      <c r="BI410" t="s">
        <v>74</v>
      </c>
      <c r="BJ410" t="s">
        <v>74</v>
      </c>
      <c r="BK410" t="s">
        <v>74</v>
      </c>
      <c r="BL410" t="s">
        <v>74</v>
      </c>
      <c r="BM410" t="s">
        <v>74</v>
      </c>
      <c r="BN410">
        <v>36094791</v>
      </c>
      <c r="BO410" t="s">
        <v>74</v>
      </c>
      <c r="BP410" t="s">
        <v>74</v>
      </c>
      <c r="BQ410" t="s">
        <v>74</v>
      </c>
      <c r="BR410" t="s">
        <v>74</v>
      </c>
      <c r="BS410" t="s">
        <v>3668</v>
      </c>
      <c r="BT410" t="str">
        <f>HYPERLINK("https%3A%2F%2Fwww.webofscience.com%2Fwos%2Fwoscc%2Ffull-record%2FWOS:000852765700001","View Full Record in Web of Science")</f>
        <v>View Full Record in Web of Science</v>
      </c>
    </row>
    <row r="411" spans="1:72" x14ac:dyDescent="0.2">
      <c r="A411" t="s">
        <v>72</v>
      </c>
      <c r="B411" t="s">
        <v>3669</v>
      </c>
      <c r="C411" t="s">
        <v>74</v>
      </c>
      <c r="D411" t="s">
        <v>74</v>
      </c>
      <c r="E411" t="s">
        <v>74</v>
      </c>
      <c r="F411" t="s">
        <v>3670</v>
      </c>
      <c r="G411" t="s">
        <v>74</v>
      </c>
      <c r="H411" t="s">
        <v>74</v>
      </c>
      <c r="I411" t="s">
        <v>3671</v>
      </c>
      <c r="J411" t="s">
        <v>598</v>
      </c>
      <c r="K411" t="s">
        <v>74</v>
      </c>
      <c r="L411" t="s">
        <v>74</v>
      </c>
      <c r="M411" t="s">
        <v>74</v>
      </c>
      <c r="N411" t="s">
        <v>74</v>
      </c>
      <c r="O411" t="s">
        <v>74</v>
      </c>
      <c r="P411" t="s">
        <v>74</v>
      </c>
      <c r="Q411" t="s">
        <v>74</v>
      </c>
      <c r="R411" t="s">
        <v>74</v>
      </c>
      <c r="S411" t="s">
        <v>74</v>
      </c>
      <c r="T411" t="s">
        <v>74</v>
      </c>
      <c r="U411" t="s">
        <v>74</v>
      </c>
      <c r="V411" t="s">
        <v>3672</v>
      </c>
      <c r="W411" t="s">
        <v>74</v>
      </c>
      <c r="X411" t="s">
        <v>74</v>
      </c>
      <c r="Y411" t="s">
        <v>74</v>
      </c>
      <c r="Z411" t="s">
        <v>74</v>
      </c>
      <c r="AA411" t="s">
        <v>3673</v>
      </c>
      <c r="AB411" t="s">
        <v>3674</v>
      </c>
      <c r="AC411" t="s">
        <v>74</v>
      </c>
      <c r="AD411" t="s">
        <v>74</v>
      </c>
      <c r="AE411" t="s">
        <v>74</v>
      </c>
      <c r="AF411" t="s">
        <v>74</v>
      </c>
      <c r="AG411" t="s">
        <v>74</v>
      </c>
      <c r="AH411" t="s">
        <v>74</v>
      </c>
      <c r="AI411" t="s">
        <v>74</v>
      </c>
      <c r="AJ411" t="s">
        <v>74</v>
      </c>
      <c r="AK411" t="s">
        <v>74</v>
      </c>
      <c r="AL411" t="s">
        <v>74</v>
      </c>
      <c r="AM411" t="s">
        <v>74</v>
      </c>
      <c r="AN411" t="s">
        <v>74</v>
      </c>
      <c r="AO411" t="s">
        <v>601</v>
      </c>
      <c r="AP411" t="s">
        <v>602</v>
      </c>
      <c r="AQ411" t="s">
        <v>74</v>
      </c>
      <c r="AR411" t="s">
        <v>74</v>
      </c>
      <c r="AS411" t="s">
        <v>74</v>
      </c>
      <c r="AT411" t="s">
        <v>1092</v>
      </c>
      <c r="AU411">
        <v>2023</v>
      </c>
      <c r="AV411">
        <v>16</v>
      </c>
      <c r="AW411">
        <v>4</v>
      </c>
      <c r="AX411" t="s">
        <v>74</v>
      </c>
      <c r="AY411" t="s">
        <v>74</v>
      </c>
      <c r="AZ411" t="s">
        <v>2280</v>
      </c>
      <c r="BA411" t="s">
        <v>74</v>
      </c>
      <c r="BB411" t="s">
        <v>74</v>
      </c>
      <c r="BC411" t="s">
        <v>74</v>
      </c>
      <c r="BD411" t="s">
        <v>3675</v>
      </c>
      <c r="BE411" t="s">
        <v>3676</v>
      </c>
      <c r="BF411" t="str">
        <f>HYPERLINK("http://dx.doi.org/10.1002/cssc.202201375","http://dx.doi.org/10.1002/cssc.202201375")</f>
        <v>http://dx.doi.org/10.1002/cssc.202201375</v>
      </c>
      <c r="BG411" t="s">
        <v>74</v>
      </c>
      <c r="BH411" t="s">
        <v>3589</v>
      </c>
      <c r="BI411" t="s">
        <v>74</v>
      </c>
      <c r="BJ411" t="s">
        <v>74</v>
      </c>
      <c r="BK411" t="s">
        <v>74</v>
      </c>
      <c r="BL411" t="s">
        <v>74</v>
      </c>
      <c r="BM411" t="s">
        <v>74</v>
      </c>
      <c r="BN411">
        <v>35997662</v>
      </c>
      <c r="BO411" t="s">
        <v>74</v>
      </c>
      <c r="BP411" t="s">
        <v>74</v>
      </c>
      <c r="BQ411" t="s">
        <v>74</v>
      </c>
      <c r="BR411" t="s">
        <v>74</v>
      </c>
      <c r="BS411" t="s">
        <v>3677</v>
      </c>
      <c r="BT411" t="str">
        <f>HYPERLINK("https%3A%2F%2Fwww.webofscience.com%2Fwos%2Fwoscc%2Ffull-record%2FWOS:000851236800001","View Full Record in Web of Science")</f>
        <v>View Full Record in Web of Science</v>
      </c>
    </row>
    <row r="412" spans="1:72" x14ac:dyDescent="0.2">
      <c r="A412" t="s">
        <v>72</v>
      </c>
      <c r="B412" t="s">
        <v>3678</v>
      </c>
      <c r="C412" t="s">
        <v>74</v>
      </c>
      <c r="D412" t="s">
        <v>74</v>
      </c>
      <c r="E412" t="s">
        <v>74</v>
      </c>
      <c r="F412" t="s">
        <v>3679</v>
      </c>
      <c r="G412" t="s">
        <v>74</v>
      </c>
      <c r="H412" t="s">
        <v>74</v>
      </c>
      <c r="I412" t="s">
        <v>3680</v>
      </c>
      <c r="J412" t="s">
        <v>3217</v>
      </c>
      <c r="K412" t="s">
        <v>74</v>
      </c>
      <c r="L412" t="s">
        <v>74</v>
      </c>
      <c r="M412" t="s">
        <v>74</v>
      </c>
      <c r="N412" t="s">
        <v>74</v>
      </c>
      <c r="O412" t="s">
        <v>74</v>
      </c>
      <c r="P412" t="s">
        <v>74</v>
      </c>
      <c r="Q412" t="s">
        <v>74</v>
      </c>
      <c r="R412" t="s">
        <v>74</v>
      </c>
      <c r="S412" t="s">
        <v>74</v>
      </c>
      <c r="T412" t="s">
        <v>74</v>
      </c>
      <c r="U412" t="s">
        <v>74</v>
      </c>
      <c r="V412" t="s">
        <v>3681</v>
      </c>
      <c r="W412" t="s">
        <v>74</v>
      </c>
      <c r="X412" t="s">
        <v>74</v>
      </c>
      <c r="Y412" t="s">
        <v>74</v>
      </c>
      <c r="Z412" t="s">
        <v>74</v>
      </c>
      <c r="AA412" t="s">
        <v>3682</v>
      </c>
      <c r="AB412" t="s">
        <v>3683</v>
      </c>
      <c r="AC412" t="s">
        <v>74</v>
      </c>
      <c r="AD412" t="s">
        <v>74</v>
      </c>
      <c r="AE412" t="s">
        <v>74</v>
      </c>
      <c r="AF412" t="s">
        <v>74</v>
      </c>
      <c r="AG412" t="s">
        <v>74</v>
      </c>
      <c r="AH412" t="s">
        <v>74</v>
      </c>
      <c r="AI412" t="s">
        <v>74</v>
      </c>
      <c r="AJ412" t="s">
        <v>74</v>
      </c>
      <c r="AK412" t="s">
        <v>74</v>
      </c>
      <c r="AL412" t="s">
        <v>74</v>
      </c>
      <c r="AM412" t="s">
        <v>74</v>
      </c>
      <c r="AN412" t="s">
        <v>74</v>
      </c>
      <c r="AO412" t="s">
        <v>74</v>
      </c>
      <c r="AP412" t="s">
        <v>3221</v>
      </c>
      <c r="AQ412" t="s">
        <v>74</v>
      </c>
      <c r="AR412" t="s">
        <v>74</v>
      </c>
      <c r="AS412" t="s">
        <v>74</v>
      </c>
      <c r="AT412" t="s">
        <v>155</v>
      </c>
      <c r="AU412">
        <v>2022</v>
      </c>
      <c r="AV412">
        <v>2</v>
      </c>
      <c r="AW412">
        <v>5</v>
      </c>
      <c r="AX412" t="s">
        <v>74</v>
      </c>
      <c r="AY412" t="s">
        <v>74</v>
      </c>
      <c r="AZ412" t="s">
        <v>74</v>
      </c>
      <c r="BA412" t="s">
        <v>74</v>
      </c>
      <c r="BB412">
        <v>557</v>
      </c>
      <c r="BC412">
        <v>565</v>
      </c>
      <c r="BD412" t="s">
        <v>74</v>
      </c>
      <c r="BE412" t="s">
        <v>3684</v>
      </c>
      <c r="BF412" t="str">
        <f>HYPERLINK("http://dx.doi.org/10.1016/j.esci.2022.06.005","http://dx.doi.org/10.1016/j.esci.2022.06.005")</f>
        <v>http://dx.doi.org/10.1016/j.esci.2022.06.005</v>
      </c>
      <c r="BG412" t="s">
        <v>74</v>
      </c>
      <c r="BH412" t="s">
        <v>74</v>
      </c>
      <c r="BI412" t="s">
        <v>74</v>
      </c>
      <c r="BJ412" t="s">
        <v>74</v>
      </c>
      <c r="BK412" t="s">
        <v>74</v>
      </c>
      <c r="BL412" t="s">
        <v>74</v>
      </c>
      <c r="BM412" t="s">
        <v>74</v>
      </c>
      <c r="BN412" t="s">
        <v>74</v>
      </c>
      <c r="BO412" t="s">
        <v>74</v>
      </c>
      <c r="BP412" t="s">
        <v>74</v>
      </c>
      <c r="BQ412" t="s">
        <v>74</v>
      </c>
      <c r="BR412" t="s">
        <v>74</v>
      </c>
      <c r="BS412" t="s">
        <v>3685</v>
      </c>
      <c r="BT412" t="str">
        <f>HYPERLINK("https%3A%2F%2Fwww.webofscience.com%2Fwos%2Fwoscc%2Ffull-record%2FWOS:001083082300001","View Full Record in Web of Science")</f>
        <v>View Full Record in Web of Science</v>
      </c>
    </row>
    <row r="413" spans="1:72" x14ac:dyDescent="0.2">
      <c r="A413" t="s">
        <v>72</v>
      </c>
      <c r="B413" t="s">
        <v>3686</v>
      </c>
      <c r="C413" t="s">
        <v>74</v>
      </c>
      <c r="D413" t="s">
        <v>74</v>
      </c>
      <c r="E413" t="s">
        <v>74</v>
      </c>
      <c r="F413" t="s">
        <v>3687</v>
      </c>
      <c r="G413" t="s">
        <v>74</v>
      </c>
      <c r="H413" t="s">
        <v>74</v>
      </c>
      <c r="I413" t="s">
        <v>3688</v>
      </c>
      <c r="J413" t="s">
        <v>278</v>
      </c>
      <c r="K413" t="s">
        <v>74</v>
      </c>
      <c r="L413" t="s">
        <v>74</v>
      </c>
      <c r="M413" t="s">
        <v>74</v>
      </c>
      <c r="N413" t="s">
        <v>74</v>
      </c>
      <c r="O413" t="s">
        <v>74</v>
      </c>
      <c r="P413" t="s">
        <v>74</v>
      </c>
      <c r="Q413" t="s">
        <v>74</v>
      </c>
      <c r="R413" t="s">
        <v>74</v>
      </c>
      <c r="S413" t="s">
        <v>74</v>
      </c>
      <c r="T413" t="s">
        <v>74</v>
      </c>
      <c r="U413" t="s">
        <v>74</v>
      </c>
      <c r="V413" t="s">
        <v>3689</v>
      </c>
      <c r="W413" t="s">
        <v>74</v>
      </c>
      <c r="X413" t="s">
        <v>74</v>
      </c>
      <c r="Y413" t="s">
        <v>74</v>
      </c>
      <c r="Z413" t="s">
        <v>74</v>
      </c>
      <c r="AA413" t="s">
        <v>3690</v>
      </c>
      <c r="AB413" t="s">
        <v>3691</v>
      </c>
      <c r="AC413" t="s">
        <v>74</v>
      </c>
      <c r="AD413" t="s">
        <v>74</v>
      </c>
      <c r="AE413" t="s">
        <v>74</v>
      </c>
      <c r="AF413" t="s">
        <v>74</v>
      </c>
      <c r="AG413" t="s">
        <v>74</v>
      </c>
      <c r="AH413" t="s">
        <v>74</v>
      </c>
      <c r="AI413" t="s">
        <v>74</v>
      </c>
      <c r="AJ413" t="s">
        <v>74</v>
      </c>
      <c r="AK413" t="s">
        <v>74</v>
      </c>
      <c r="AL413" t="s">
        <v>74</v>
      </c>
      <c r="AM413" t="s">
        <v>74</v>
      </c>
      <c r="AN413" t="s">
        <v>74</v>
      </c>
      <c r="AO413" t="s">
        <v>281</v>
      </c>
      <c r="AP413" t="s">
        <v>282</v>
      </c>
      <c r="AQ413" t="s">
        <v>74</v>
      </c>
      <c r="AR413" t="s">
        <v>74</v>
      </c>
      <c r="AS413" t="s">
        <v>74</v>
      </c>
      <c r="AT413" t="s">
        <v>3692</v>
      </c>
      <c r="AU413">
        <v>2022</v>
      </c>
      <c r="AV413">
        <v>10</v>
      </c>
      <c r="AW413">
        <v>38</v>
      </c>
      <c r="AX413" t="s">
        <v>74</v>
      </c>
      <c r="AY413" t="s">
        <v>74</v>
      </c>
      <c r="AZ413" t="s">
        <v>74</v>
      </c>
      <c r="BA413" t="s">
        <v>74</v>
      </c>
      <c r="BB413">
        <v>20265</v>
      </c>
      <c r="BC413">
        <v>20272</v>
      </c>
      <c r="BD413" t="s">
        <v>74</v>
      </c>
      <c r="BE413" t="s">
        <v>3693</v>
      </c>
      <c r="BF413" t="str">
        <f>HYPERLINK("http://dx.doi.org/10.1039/d2ta05511b","http://dx.doi.org/10.1039/d2ta05511b")</f>
        <v>http://dx.doi.org/10.1039/d2ta05511b</v>
      </c>
      <c r="BG413" t="s">
        <v>74</v>
      </c>
      <c r="BH413" t="s">
        <v>3694</v>
      </c>
      <c r="BI413" t="s">
        <v>74</v>
      </c>
      <c r="BJ413" t="s">
        <v>74</v>
      </c>
      <c r="BK413" t="s">
        <v>74</v>
      </c>
      <c r="BL413" t="s">
        <v>74</v>
      </c>
      <c r="BM413" t="s">
        <v>74</v>
      </c>
      <c r="BN413" t="s">
        <v>74</v>
      </c>
      <c r="BO413" t="s">
        <v>74</v>
      </c>
      <c r="BP413" t="s">
        <v>74</v>
      </c>
      <c r="BQ413" t="s">
        <v>74</v>
      </c>
      <c r="BR413" t="s">
        <v>74</v>
      </c>
      <c r="BS413" t="s">
        <v>3695</v>
      </c>
      <c r="BT413" t="str">
        <f>HYPERLINK("https%3A%2F%2Fwww.webofscience.com%2Fwos%2Fwoscc%2Ffull-record%2FWOS:000842648100001","View Full Record in Web of Science")</f>
        <v>View Full Record in Web of Science</v>
      </c>
    </row>
    <row r="414" spans="1:72" x14ac:dyDescent="0.2">
      <c r="A414" t="s">
        <v>72</v>
      </c>
      <c r="B414" t="s">
        <v>3696</v>
      </c>
      <c r="C414" t="s">
        <v>74</v>
      </c>
      <c r="D414" t="s">
        <v>74</v>
      </c>
      <c r="E414" t="s">
        <v>74</v>
      </c>
      <c r="F414" t="s">
        <v>3697</v>
      </c>
      <c r="G414" t="s">
        <v>74</v>
      </c>
      <c r="H414" t="s">
        <v>74</v>
      </c>
      <c r="I414" t="s">
        <v>3698</v>
      </c>
      <c r="J414" t="s">
        <v>307</v>
      </c>
      <c r="K414" t="s">
        <v>74</v>
      </c>
      <c r="L414" t="s">
        <v>74</v>
      </c>
      <c r="M414" t="s">
        <v>74</v>
      </c>
      <c r="N414" t="s">
        <v>74</v>
      </c>
      <c r="O414" t="s">
        <v>74</v>
      </c>
      <c r="P414" t="s">
        <v>74</v>
      </c>
      <c r="Q414" t="s">
        <v>74</v>
      </c>
      <c r="R414" t="s">
        <v>74</v>
      </c>
      <c r="S414" t="s">
        <v>74</v>
      </c>
      <c r="T414" t="s">
        <v>74</v>
      </c>
      <c r="U414" t="s">
        <v>74</v>
      </c>
      <c r="V414" t="s">
        <v>3699</v>
      </c>
      <c r="W414" t="s">
        <v>74</v>
      </c>
      <c r="X414" t="s">
        <v>74</v>
      </c>
      <c r="Y414" t="s">
        <v>74</v>
      </c>
      <c r="Z414" t="s">
        <v>74</v>
      </c>
      <c r="AA414" t="s">
        <v>3700</v>
      </c>
      <c r="AB414" t="s">
        <v>3701</v>
      </c>
      <c r="AC414" t="s">
        <v>74</v>
      </c>
      <c r="AD414" t="s">
        <v>74</v>
      </c>
      <c r="AE414" t="s">
        <v>74</v>
      </c>
      <c r="AF414" t="s">
        <v>74</v>
      </c>
      <c r="AG414" t="s">
        <v>74</v>
      </c>
      <c r="AH414" t="s">
        <v>74</v>
      </c>
      <c r="AI414" t="s">
        <v>74</v>
      </c>
      <c r="AJ414" t="s">
        <v>74</v>
      </c>
      <c r="AK414" t="s">
        <v>74</v>
      </c>
      <c r="AL414" t="s">
        <v>74</v>
      </c>
      <c r="AM414" t="s">
        <v>74</v>
      </c>
      <c r="AN414" t="s">
        <v>74</v>
      </c>
      <c r="AO414" t="s">
        <v>74</v>
      </c>
      <c r="AP414" t="s">
        <v>309</v>
      </c>
      <c r="AQ414" t="s">
        <v>74</v>
      </c>
      <c r="AR414" t="s">
        <v>74</v>
      </c>
      <c r="AS414" t="s">
        <v>74</v>
      </c>
      <c r="AT414" t="s">
        <v>155</v>
      </c>
      <c r="AU414">
        <v>2022</v>
      </c>
      <c r="AV414">
        <v>5</v>
      </c>
      <c r="AW414">
        <v>9</v>
      </c>
      <c r="AX414" t="s">
        <v>74</v>
      </c>
      <c r="AY414" t="s">
        <v>74</v>
      </c>
      <c r="AZ414" t="s">
        <v>74</v>
      </c>
      <c r="BA414" t="s">
        <v>74</v>
      </c>
      <c r="BB414" t="s">
        <v>74</v>
      </c>
      <c r="BC414" t="s">
        <v>74</v>
      </c>
      <c r="BD414" t="s">
        <v>3702</v>
      </c>
      <c r="BE414" t="s">
        <v>3703</v>
      </c>
      <c r="BF414" t="str">
        <f>HYPERLINK("http://dx.doi.org/10.1002/batt.202200263","http://dx.doi.org/10.1002/batt.202200263")</f>
        <v>http://dx.doi.org/10.1002/batt.202200263</v>
      </c>
      <c r="BG414" t="s">
        <v>74</v>
      </c>
      <c r="BH414" t="s">
        <v>3694</v>
      </c>
      <c r="BI414" t="s">
        <v>74</v>
      </c>
      <c r="BJ414" t="s">
        <v>74</v>
      </c>
      <c r="BK414" t="s">
        <v>74</v>
      </c>
      <c r="BL414" t="s">
        <v>74</v>
      </c>
      <c r="BM414" t="s">
        <v>74</v>
      </c>
      <c r="BN414" t="s">
        <v>74</v>
      </c>
      <c r="BO414" t="s">
        <v>74</v>
      </c>
      <c r="BP414" t="s">
        <v>74</v>
      </c>
      <c r="BQ414" t="s">
        <v>74</v>
      </c>
      <c r="BR414" t="s">
        <v>74</v>
      </c>
      <c r="BS414" t="s">
        <v>3704</v>
      </c>
      <c r="BT414" t="str">
        <f>HYPERLINK("https%3A%2F%2Fwww.webofscience.com%2Fwos%2Fwoscc%2Ffull-record%2FWOS:000842247700001","View Full Record in Web of Science")</f>
        <v>View Full Record in Web of Science</v>
      </c>
    </row>
    <row r="415" spans="1:72" x14ac:dyDescent="0.2">
      <c r="A415" t="s">
        <v>72</v>
      </c>
      <c r="B415" t="s">
        <v>3705</v>
      </c>
      <c r="C415" t="s">
        <v>74</v>
      </c>
      <c r="D415" t="s">
        <v>74</v>
      </c>
      <c r="E415" t="s">
        <v>74</v>
      </c>
      <c r="F415" t="s">
        <v>3706</v>
      </c>
      <c r="G415" t="s">
        <v>74</v>
      </c>
      <c r="H415" t="s">
        <v>74</v>
      </c>
      <c r="I415" t="s">
        <v>3707</v>
      </c>
      <c r="J415" t="s">
        <v>267</v>
      </c>
      <c r="K415" t="s">
        <v>74</v>
      </c>
      <c r="L415" t="s">
        <v>74</v>
      </c>
      <c r="M415" t="s">
        <v>74</v>
      </c>
      <c r="N415" t="s">
        <v>74</v>
      </c>
      <c r="O415" t="s">
        <v>74</v>
      </c>
      <c r="P415" t="s">
        <v>74</v>
      </c>
      <c r="Q415" t="s">
        <v>74</v>
      </c>
      <c r="R415" t="s">
        <v>74</v>
      </c>
      <c r="S415" t="s">
        <v>74</v>
      </c>
      <c r="T415" t="s">
        <v>74</v>
      </c>
      <c r="U415" t="s">
        <v>74</v>
      </c>
      <c r="V415" t="s">
        <v>3708</v>
      </c>
      <c r="W415" t="s">
        <v>74</v>
      </c>
      <c r="X415" t="s">
        <v>74</v>
      </c>
      <c r="Y415" t="s">
        <v>74</v>
      </c>
      <c r="Z415" t="s">
        <v>74</v>
      </c>
      <c r="AA415" t="s">
        <v>3709</v>
      </c>
      <c r="AB415" t="s">
        <v>3710</v>
      </c>
      <c r="AC415" t="s">
        <v>74</v>
      </c>
      <c r="AD415" t="s">
        <v>74</v>
      </c>
      <c r="AE415" t="s">
        <v>74</v>
      </c>
      <c r="AF415" t="s">
        <v>74</v>
      </c>
      <c r="AG415" t="s">
        <v>74</v>
      </c>
      <c r="AH415" t="s">
        <v>74</v>
      </c>
      <c r="AI415" t="s">
        <v>74</v>
      </c>
      <c r="AJ415" t="s">
        <v>74</v>
      </c>
      <c r="AK415" t="s">
        <v>74</v>
      </c>
      <c r="AL415" t="s">
        <v>74</v>
      </c>
      <c r="AM415" t="s">
        <v>74</v>
      </c>
      <c r="AN415" t="s">
        <v>74</v>
      </c>
      <c r="AO415" t="s">
        <v>270</v>
      </c>
      <c r="AP415" t="s">
        <v>271</v>
      </c>
      <c r="AQ415" t="s">
        <v>74</v>
      </c>
      <c r="AR415" t="s">
        <v>74</v>
      </c>
      <c r="AS415" t="s">
        <v>74</v>
      </c>
      <c r="AT415" t="s">
        <v>113</v>
      </c>
      <c r="AU415">
        <v>2022</v>
      </c>
      <c r="AV415">
        <v>32</v>
      </c>
      <c r="AW415">
        <v>43</v>
      </c>
      <c r="AX415" t="s">
        <v>74</v>
      </c>
      <c r="AY415" t="s">
        <v>74</v>
      </c>
      <c r="AZ415" t="s">
        <v>74</v>
      </c>
      <c r="BA415" t="s">
        <v>74</v>
      </c>
      <c r="BB415" t="s">
        <v>74</v>
      </c>
      <c r="BC415" t="s">
        <v>74</v>
      </c>
      <c r="BD415">
        <v>2205677</v>
      </c>
      <c r="BE415" t="s">
        <v>3711</v>
      </c>
      <c r="BF415" t="str">
        <f>HYPERLINK("http://dx.doi.org/10.1002/adfm.202205677","http://dx.doi.org/10.1002/adfm.202205677")</f>
        <v>http://dx.doi.org/10.1002/adfm.202205677</v>
      </c>
      <c r="BG415" t="s">
        <v>74</v>
      </c>
      <c r="BH415" t="s">
        <v>3694</v>
      </c>
      <c r="BI415" t="s">
        <v>74</v>
      </c>
      <c r="BJ415" t="s">
        <v>74</v>
      </c>
      <c r="BK415" t="s">
        <v>74</v>
      </c>
      <c r="BL415" t="s">
        <v>74</v>
      </c>
      <c r="BM415" t="s">
        <v>74</v>
      </c>
      <c r="BN415" t="s">
        <v>74</v>
      </c>
      <c r="BO415" t="s">
        <v>74</v>
      </c>
      <c r="BP415" t="s">
        <v>74</v>
      </c>
      <c r="BQ415" t="s">
        <v>74</v>
      </c>
      <c r="BR415" t="s">
        <v>74</v>
      </c>
      <c r="BS415" t="s">
        <v>3712</v>
      </c>
      <c r="BT415" t="str">
        <f>HYPERLINK("https%3A%2F%2Fwww.webofscience.com%2Fwos%2Fwoscc%2Ffull-record%2FWOS:000840669000001","View Full Record in Web of Science")</f>
        <v>View Full Record in Web of Science</v>
      </c>
    </row>
    <row r="416" spans="1:72" x14ac:dyDescent="0.2">
      <c r="A416" t="s">
        <v>72</v>
      </c>
      <c r="B416" t="s">
        <v>3713</v>
      </c>
      <c r="C416" t="s">
        <v>74</v>
      </c>
      <c r="D416" t="s">
        <v>74</v>
      </c>
      <c r="E416" t="s">
        <v>74</v>
      </c>
      <c r="F416" t="s">
        <v>3714</v>
      </c>
      <c r="G416" t="s">
        <v>74</v>
      </c>
      <c r="H416" t="s">
        <v>74</v>
      </c>
      <c r="I416" t="s">
        <v>3715</v>
      </c>
      <c r="J416" t="s">
        <v>624</v>
      </c>
      <c r="K416" t="s">
        <v>74</v>
      </c>
      <c r="L416" t="s">
        <v>74</v>
      </c>
      <c r="M416" t="s">
        <v>74</v>
      </c>
      <c r="N416" t="s">
        <v>74</v>
      </c>
      <c r="O416" t="s">
        <v>74</v>
      </c>
      <c r="P416" t="s">
        <v>74</v>
      </c>
      <c r="Q416" t="s">
        <v>74</v>
      </c>
      <c r="R416" t="s">
        <v>74</v>
      </c>
      <c r="S416" t="s">
        <v>74</v>
      </c>
      <c r="T416" t="s">
        <v>74</v>
      </c>
      <c r="U416" t="s">
        <v>74</v>
      </c>
      <c r="V416" t="s">
        <v>3716</v>
      </c>
      <c r="W416" t="s">
        <v>74</v>
      </c>
      <c r="X416" t="s">
        <v>74</v>
      </c>
      <c r="Y416" t="s">
        <v>74</v>
      </c>
      <c r="Z416" t="s">
        <v>74</v>
      </c>
      <c r="AA416" t="s">
        <v>74</v>
      </c>
      <c r="AB416" t="s">
        <v>3717</v>
      </c>
      <c r="AC416" t="s">
        <v>74</v>
      </c>
      <c r="AD416" t="s">
        <v>74</v>
      </c>
      <c r="AE416" t="s">
        <v>74</v>
      </c>
      <c r="AF416" t="s">
        <v>74</v>
      </c>
      <c r="AG416" t="s">
        <v>74</v>
      </c>
      <c r="AH416" t="s">
        <v>74</v>
      </c>
      <c r="AI416" t="s">
        <v>74</v>
      </c>
      <c r="AJ416" t="s">
        <v>74</v>
      </c>
      <c r="AK416" t="s">
        <v>74</v>
      </c>
      <c r="AL416" t="s">
        <v>74</v>
      </c>
      <c r="AM416" t="s">
        <v>74</v>
      </c>
      <c r="AN416" t="s">
        <v>74</v>
      </c>
      <c r="AO416" t="s">
        <v>627</v>
      </c>
      <c r="AP416" t="s">
        <v>628</v>
      </c>
      <c r="AQ416" t="s">
        <v>74</v>
      </c>
      <c r="AR416" t="s">
        <v>74</v>
      </c>
      <c r="AS416" t="s">
        <v>74</v>
      </c>
      <c r="AT416" t="s">
        <v>92</v>
      </c>
      <c r="AU416">
        <v>2022</v>
      </c>
      <c r="AV416">
        <v>102</v>
      </c>
      <c r="AW416" t="s">
        <v>74</v>
      </c>
      <c r="AX416" t="s">
        <v>74</v>
      </c>
      <c r="AY416" t="s">
        <v>74</v>
      </c>
      <c r="AZ416" t="s">
        <v>74</v>
      </c>
      <c r="BA416" t="s">
        <v>74</v>
      </c>
      <c r="BB416" t="s">
        <v>74</v>
      </c>
      <c r="BC416" t="s">
        <v>74</v>
      </c>
      <c r="BD416">
        <v>107688</v>
      </c>
      <c r="BE416" t="s">
        <v>3718</v>
      </c>
      <c r="BF416" t="str">
        <f>HYPERLINK("http://dx.doi.org/10.1016/j.nanoen.2022.107688","http://dx.doi.org/10.1016/j.nanoen.2022.107688")</f>
        <v>http://dx.doi.org/10.1016/j.nanoen.2022.107688</v>
      </c>
      <c r="BG416" t="s">
        <v>74</v>
      </c>
      <c r="BH416" t="s">
        <v>3694</v>
      </c>
      <c r="BI416" t="s">
        <v>74</v>
      </c>
      <c r="BJ416" t="s">
        <v>74</v>
      </c>
      <c r="BK416" t="s">
        <v>74</v>
      </c>
      <c r="BL416" t="s">
        <v>74</v>
      </c>
      <c r="BM416" t="s">
        <v>74</v>
      </c>
      <c r="BN416" t="s">
        <v>74</v>
      </c>
      <c r="BO416" t="s">
        <v>74</v>
      </c>
      <c r="BP416" t="s">
        <v>74</v>
      </c>
      <c r="BQ416" t="s">
        <v>74</v>
      </c>
      <c r="BR416" t="s">
        <v>74</v>
      </c>
      <c r="BS416" t="s">
        <v>3719</v>
      </c>
      <c r="BT416" t="str">
        <f>HYPERLINK("https%3A%2F%2Fwww.webofscience.com%2Fwos%2Fwoscc%2Ffull-record%2FWOS:000844092700003","View Full Record in Web of Science")</f>
        <v>View Full Record in Web of Science</v>
      </c>
    </row>
    <row r="417" spans="1:72" x14ac:dyDescent="0.2">
      <c r="A417" t="s">
        <v>72</v>
      </c>
      <c r="B417" t="s">
        <v>3720</v>
      </c>
      <c r="C417" t="s">
        <v>74</v>
      </c>
      <c r="D417" t="s">
        <v>74</v>
      </c>
      <c r="E417" t="s">
        <v>74</v>
      </c>
      <c r="F417" t="s">
        <v>3721</v>
      </c>
      <c r="G417" t="s">
        <v>74</v>
      </c>
      <c r="H417" t="s">
        <v>74</v>
      </c>
      <c r="I417" t="s">
        <v>3722</v>
      </c>
      <c r="J417" t="s">
        <v>1332</v>
      </c>
      <c r="K417" t="s">
        <v>74</v>
      </c>
      <c r="L417" t="s">
        <v>74</v>
      </c>
      <c r="M417" t="s">
        <v>74</v>
      </c>
      <c r="N417" t="s">
        <v>74</v>
      </c>
      <c r="O417" t="s">
        <v>74</v>
      </c>
      <c r="P417" t="s">
        <v>74</v>
      </c>
      <c r="Q417" t="s">
        <v>74</v>
      </c>
      <c r="R417" t="s">
        <v>74</v>
      </c>
      <c r="S417" t="s">
        <v>74</v>
      </c>
      <c r="T417" t="s">
        <v>74</v>
      </c>
      <c r="U417" t="s">
        <v>74</v>
      </c>
      <c r="V417" t="s">
        <v>3723</v>
      </c>
      <c r="W417" t="s">
        <v>74</v>
      </c>
      <c r="X417" t="s">
        <v>74</v>
      </c>
      <c r="Y417" t="s">
        <v>74</v>
      </c>
      <c r="Z417" t="s">
        <v>74</v>
      </c>
      <c r="AA417" t="s">
        <v>3724</v>
      </c>
      <c r="AB417" t="s">
        <v>3725</v>
      </c>
      <c r="AC417" t="s">
        <v>74</v>
      </c>
      <c r="AD417" t="s">
        <v>74</v>
      </c>
      <c r="AE417" t="s">
        <v>74</v>
      </c>
      <c r="AF417" t="s">
        <v>74</v>
      </c>
      <c r="AG417" t="s">
        <v>74</v>
      </c>
      <c r="AH417" t="s">
        <v>74</v>
      </c>
      <c r="AI417" t="s">
        <v>74</v>
      </c>
      <c r="AJ417" t="s">
        <v>74</v>
      </c>
      <c r="AK417" t="s">
        <v>74</v>
      </c>
      <c r="AL417" t="s">
        <v>74</v>
      </c>
      <c r="AM417" t="s">
        <v>74</v>
      </c>
      <c r="AN417" t="s">
        <v>74</v>
      </c>
      <c r="AO417" t="s">
        <v>1336</v>
      </c>
      <c r="AP417" t="s">
        <v>1337</v>
      </c>
      <c r="AQ417" t="s">
        <v>74</v>
      </c>
      <c r="AR417" t="s">
        <v>74</v>
      </c>
      <c r="AS417" t="s">
        <v>74</v>
      </c>
      <c r="AT417" t="s">
        <v>1781</v>
      </c>
      <c r="AU417">
        <v>2022</v>
      </c>
      <c r="AV417">
        <v>51</v>
      </c>
      <c r="AW417">
        <v>36</v>
      </c>
      <c r="AX417" t="s">
        <v>74</v>
      </c>
      <c r="AY417" t="s">
        <v>74</v>
      </c>
      <c r="AZ417" t="s">
        <v>74</v>
      </c>
      <c r="BA417" t="s">
        <v>74</v>
      </c>
      <c r="BB417">
        <v>13848</v>
      </c>
      <c r="BC417">
        <v>13857</v>
      </c>
      <c r="BD417" t="s">
        <v>74</v>
      </c>
      <c r="BE417" t="s">
        <v>3726</v>
      </c>
      <c r="BF417" t="str">
        <f>HYPERLINK("http://dx.doi.org/10.1039/d2dt01943d","http://dx.doi.org/10.1039/d2dt01943d")</f>
        <v>http://dx.doi.org/10.1039/d2dt01943d</v>
      </c>
      <c r="BG417" t="s">
        <v>74</v>
      </c>
      <c r="BH417" t="s">
        <v>3694</v>
      </c>
      <c r="BI417" t="s">
        <v>74</v>
      </c>
      <c r="BJ417" t="s">
        <v>74</v>
      </c>
      <c r="BK417" t="s">
        <v>74</v>
      </c>
      <c r="BL417" t="s">
        <v>74</v>
      </c>
      <c r="BM417" t="s">
        <v>74</v>
      </c>
      <c r="BN417">
        <v>36039870</v>
      </c>
      <c r="BO417" t="s">
        <v>74</v>
      </c>
      <c r="BP417" t="s">
        <v>74</v>
      </c>
      <c r="BQ417" t="s">
        <v>74</v>
      </c>
      <c r="BR417" t="s">
        <v>74</v>
      </c>
      <c r="BS417" t="s">
        <v>3727</v>
      </c>
      <c r="BT417" t="str">
        <f>HYPERLINK("https%3A%2F%2Fwww.webofscience.com%2Fwos%2Fwoscc%2Ffull-record%2FWOS:000847481100001","View Full Record in Web of Science")</f>
        <v>View Full Record in Web of Science</v>
      </c>
    </row>
    <row r="418" spans="1:72" x14ac:dyDescent="0.2">
      <c r="A418" t="s">
        <v>72</v>
      </c>
      <c r="B418" t="s">
        <v>3728</v>
      </c>
      <c r="C418" t="s">
        <v>74</v>
      </c>
      <c r="D418" t="s">
        <v>74</v>
      </c>
      <c r="E418" t="s">
        <v>74</v>
      </c>
      <c r="F418" t="s">
        <v>3729</v>
      </c>
      <c r="G418" t="s">
        <v>74</v>
      </c>
      <c r="H418" t="s">
        <v>74</v>
      </c>
      <c r="I418" t="s">
        <v>3730</v>
      </c>
      <c r="J418" t="s">
        <v>1256</v>
      </c>
      <c r="K418" t="s">
        <v>74</v>
      </c>
      <c r="L418" t="s">
        <v>74</v>
      </c>
      <c r="M418" t="s">
        <v>74</v>
      </c>
      <c r="N418" t="s">
        <v>74</v>
      </c>
      <c r="O418" t="s">
        <v>74</v>
      </c>
      <c r="P418" t="s">
        <v>74</v>
      </c>
      <c r="Q418" t="s">
        <v>74</v>
      </c>
      <c r="R418" t="s">
        <v>74</v>
      </c>
      <c r="S418" t="s">
        <v>74</v>
      </c>
      <c r="T418" t="s">
        <v>74</v>
      </c>
      <c r="U418" t="s">
        <v>74</v>
      </c>
      <c r="V418" t="s">
        <v>3731</v>
      </c>
      <c r="W418" t="s">
        <v>74</v>
      </c>
      <c r="X418" t="s">
        <v>74</v>
      </c>
      <c r="Y418" t="s">
        <v>74</v>
      </c>
      <c r="Z418" t="s">
        <v>74</v>
      </c>
      <c r="AA418" t="s">
        <v>74</v>
      </c>
      <c r="AB418" t="s">
        <v>74</v>
      </c>
      <c r="AC418" t="s">
        <v>74</v>
      </c>
      <c r="AD418" t="s">
        <v>74</v>
      </c>
      <c r="AE418" t="s">
        <v>74</v>
      </c>
      <c r="AF418" t="s">
        <v>74</v>
      </c>
      <c r="AG418" t="s">
        <v>74</v>
      </c>
      <c r="AH418" t="s">
        <v>74</v>
      </c>
      <c r="AI418" t="s">
        <v>74</v>
      </c>
      <c r="AJ418" t="s">
        <v>74</v>
      </c>
      <c r="AK418" t="s">
        <v>74</v>
      </c>
      <c r="AL418" t="s">
        <v>74</v>
      </c>
      <c r="AM418" t="s">
        <v>74</v>
      </c>
      <c r="AN418" t="s">
        <v>74</v>
      </c>
      <c r="AO418" t="s">
        <v>1258</v>
      </c>
      <c r="AP418" t="s">
        <v>1259</v>
      </c>
      <c r="AQ418" t="s">
        <v>74</v>
      </c>
      <c r="AR418" t="s">
        <v>74</v>
      </c>
      <c r="AS418" t="s">
        <v>74</v>
      </c>
      <c r="AT418" t="s">
        <v>134</v>
      </c>
      <c r="AU418">
        <v>2022</v>
      </c>
      <c r="AV418">
        <v>428</v>
      </c>
      <c r="AW418" t="s">
        <v>74</v>
      </c>
      <c r="AX418" t="s">
        <v>74</v>
      </c>
      <c r="AY418" t="s">
        <v>74</v>
      </c>
      <c r="AZ418" t="s">
        <v>74</v>
      </c>
      <c r="BA418" t="s">
        <v>74</v>
      </c>
      <c r="BB418" t="s">
        <v>74</v>
      </c>
      <c r="BC418" t="s">
        <v>74</v>
      </c>
      <c r="BD418">
        <v>140958</v>
      </c>
      <c r="BE418" t="s">
        <v>3732</v>
      </c>
      <c r="BF418" t="str">
        <f>HYPERLINK("http://dx.doi.org/10.1016/j.electacta.2022.140958","http://dx.doi.org/10.1016/j.electacta.2022.140958")</f>
        <v>http://dx.doi.org/10.1016/j.electacta.2022.140958</v>
      </c>
      <c r="BG418" t="s">
        <v>74</v>
      </c>
      <c r="BH418" t="s">
        <v>3694</v>
      </c>
      <c r="BI418" t="s">
        <v>74</v>
      </c>
      <c r="BJ418" t="s">
        <v>74</v>
      </c>
      <c r="BK418" t="s">
        <v>74</v>
      </c>
      <c r="BL418" t="s">
        <v>74</v>
      </c>
      <c r="BM418" t="s">
        <v>74</v>
      </c>
      <c r="BN418" t="s">
        <v>74</v>
      </c>
      <c r="BO418" t="s">
        <v>74</v>
      </c>
      <c r="BP418" t="s">
        <v>74</v>
      </c>
      <c r="BQ418" t="s">
        <v>74</v>
      </c>
      <c r="BR418" t="s">
        <v>74</v>
      </c>
      <c r="BS418" t="s">
        <v>3733</v>
      </c>
      <c r="BT418" t="str">
        <f>HYPERLINK("https%3A%2F%2Fwww.webofscience.com%2Fwos%2Fwoscc%2Ffull-record%2FWOS:000848143700003","View Full Record in Web of Science")</f>
        <v>View Full Record in Web of Science</v>
      </c>
    </row>
    <row r="419" spans="1:72" x14ac:dyDescent="0.2">
      <c r="A419" t="s">
        <v>72</v>
      </c>
      <c r="B419" t="s">
        <v>3734</v>
      </c>
      <c r="C419" t="s">
        <v>74</v>
      </c>
      <c r="D419" t="s">
        <v>74</v>
      </c>
      <c r="E419" t="s">
        <v>74</v>
      </c>
      <c r="F419" t="s">
        <v>3735</v>
      </c>
      <c r="G419" t="s">
        <v>74</v>
      </c>
      <c r="H419" t="s">
        <v>74</v>
      </c>
      <c r="I419" t="s">
        <v>3736</v>
      </c>
      <c r="J419" t="s">
        <v>665</v>
      </c>
      <c r="K419" t="s">
        <v>74</v>
      </c>
      <c r="L419" t="s">
        <v>74</v>
      </c>
      <c r="M419" t="s">
        <v>74</v>
      </c>
      <c r="N419" t="s">
        <v>74</v>
      </c>
      <c r="O419" t="s">
        <v>74</v>
      </c>
      <c r="P419" t="s">
        <v>74</v>
      </c>
      <c r="Q419" t="s">
        <v>74</v>
      </c>
      <c r="R419" t="s">
        <v>74</v>
      </c>
      <c r="S419" t="s">
        <v>74</v>
      </c>
      <c r="T419" t="s">
        <v>74</v>
      </c>
      <c r="U419" t="s">
        <v>74</v>
      </c>
      <c r="V419" t="s">
        <v>3737</v>
      </c>
      <c r="W419" t="s">
        <v>74</v>
      </c>
      <c r="X419" t="s">
        <v>74</v>
      </c>
      <c r="Y419" t="s">
        <v>74</v>
      </c>
      <c r="Z419" t="s">
        <v>74</v>
      </c>
      <c r="AA419" t="s">
        <v>3738</v>
      </c>
      <c r="AB419" t="s">
        <v>74</v>
      </c>
      <c r="AC419" t="s">
        <v>74</v>
      </c>
      <c r="AD419" t="s">
        <v>74</v>
      </c>
      <c r="AE419" t="s">
        <v>74</v>
      </c>
      <c r="AF419" t="s">
        <v>74</v>
      </c>
      <c r="AG419" t="s">
        <v>74</v>
      </c>
      <c r="AH419" t="s">
        <v>74</v>
      </c>
      <c r="AI419" t="s">
        <v>74</v>
      </c>
      <c r="AJ419" t="s">
        <v>74</v>
      </c>
      <c r="AK419" t="s">
        <v>74</v>
      </c>
      <c r="AL419" t="s">
        <v>74</v>
      </c>
      <c r="AM419" t="s">
        <v>74</v>
      </c>
      <c r="AN419" t="s">
        <v>74</v>
      </c>
      <c r="AO419" t="s">
        <v>668</v>
      </c>
      <c r="AP419" t="s">
        <v>669</v>
      </c>
      <c r="AQ419" t="s">
        <v>74</v>
      </c>
      <c r="AR419" t="s">
        <v>74</v>
      </c>
      <c r="AS419" t="s">
        <v>74</v>
      </c>
      <c r="AT419" t="s">
        <v>134</v>
      </c>
      <c r="AU419">
        <v>2022</v>
      </c>
      <c r="AV419">
        <v>383</v>
      </c>
      <c r="AW419" t="s">
        <v>74</v>
      </c>
      <c r="AX419" t="s">
        <v>74</v>
      </c>
      <c r="AY419" t="s">
        <v>74</v>
      </c>
      <c r="AZ419" t="s">
        <v>74</v>
      </c>
      <c r="BA419" t="s">
        <v>74</v>
      </c>
      <c r="BB419" t="s">
        <v>74</v>
      </c>
      <c r="BC419" t="s">
        <v>74</v>
      </c>
      <c r="BD419">
        <v>115990</v>
      </c>
      <c r="BE419" t="s">
        <v>3739</v>
      </c>
      <c r="BF419" t="str">
        <f>HYPERLINK("http://dx.doi.org/10.1016/j.ssi.2022.115990","http://dx.doi.org/10.1016/j.ssi.2022.115990")</f>
        <v>http://dx.doi.org/10.1016/j.ssi.2022.115990</v>
      </c>
      <c r="BG419" t="s">
        <v>74</v>
      </c>
      <c r="BH419" t="s">
        <v>3694</v>
      </c>
      <c r="BI419" t="s">
        <v>74</v>
      </c>
      <c r="BJ419" t="s">
        <v>74</v>
      </c>
      <c r="BK419" t="s">
        <v>74</v>
      </c>
      <c r="BL419" t="s">
        <v>74</v>
      </c>
      <c r="BM419" t="s">
        <v>74</v>
      </c>
      <c r="BN419" t="s">
        <v>74</v>
      </c>
      <c r="BO419" t="s">
        <v>74</v>
      </c>
      <c r="BP419" t="s">
        <v>74</v>
      </c>
      <c r="BQ419" t="s">
        <v>74</v>
      </c>
      <c r="BR419" t="s">
        <v>74</v>
      </c>
      <c r="BS419" t="s">
        <v>3740</v>
      </c>
      <c r="BT419" t="str">
        <f>HYPERLINK("https%3A%2F%2Fwww.webofscience.com%2Fwos%2Fwoscc%2Ffull-record%2FWOS:000874872300004","View Full Record in Web of Science")</f>
        <v>View Full Record in Web of Science</v>
      </c>
    </row>
    <row r="420" spans="1:72" x14ac:dyDescent="0.2">
      <c r="A420" t="s">
        <v>72</v>
      </c>
      <c r="B420" t="s">
        <v>3741</v>
      </c>
      <c r="C420" t="s">
        <v>74</v>
      </c>
      <c r="D420" t="s">
        <v>74</v>
      </c>
      <c r="E420" t="s">
        <v>74</v>
      </c>
      <c r="F420" t="s">
        <v>3742</v>
      </c>
      <c r="G420" t="s">
        <v>74</v>
      </c>
      <c r="H420" t="s">
        <v>74</v>
      </c>
      <c r="I420" t="s">
        <v>3743</v>
      </c>
      <c r="J420" t="s">
        <v>3744</v>
      </c>
      <c r="K420" t="s">
        <v>74</v>
      </c>
      <c r="L420" t="s">
        <v>74</v>
      </c>
      <c r="M420" t="s">
        <v>74</v>
      </c>
      <c r="N420" t="s">
        <v>74</v>
      </c>
      <c r="O420" t="s">
        <v>74</v>
      </c>
      <c r="P420" t="s">
        <v>74</v>
      </c>
      <c r="Q420" t="s">
        <v>74</v>
      </c>
      <c r="R420" t="s">
        <v>74</v>
      </c>
      <c r="S420" t="s">
        <v>74</v>
      </c>
      <c r="T420" t="s">
        <v>74</v>
      </c>
      <c r="U420" t="s">
        <v>74</v>
      </c>
      <c r="V420" t="s">
        <v>74</v>
      </c>
      <c r="W420" t="s">
        <v>74</v>
      </c>
      <c r="X420" t="s">
        <v>74</v>
      </c>
      <c r="Y420" t="s">
        <v>74</v>
      </c>
      <c r="Z420" t="s">
        <v>74</v>
      </c>
      <c r="AA420" t="s">
        <v>3745</v>
      </c>
      <c r="AB420" t="s">
        <v>74</v>
      </c>
      <c r="AC420" t="s">
        <v>74</v>
      </c>
      <c r="AD420" t="s">
        <v>74</v>
      </c>
      <c r="AE420" t="s">
        <v>74</v>
      </c>
      <c r="AF420" t="s">
        <v>74</v>
      </c>
      <c r="AG420" t="s">
        <v>74</v>
      </c>
      <c r="AH420" t="s">
        <v>74</v>
      </c>
      <c r="AI420" t="s">
        <v>74</v>
      </c>
      <c r="AJ420" t="s">
        <v>74</v>
      </c>
      <c r="AK420" t="s">
        <v>74</v>
      </c>
      <c r="AL420" t="s">
        <v>74</v>
      </c>
      <c r="AM420" t="s">
        <v>74</v>
      </c>
      <c r="AN420" t="s">
        <v>74</v>
      </c>
      <c r="AO420" t="s">
        <v>3746</v>
      </c>
      <c r="AP420" t="s">
        <v>74</v>
      </c>
      <c r="AQ420" t="s">
        <v>74</v>
      </c>
      <c r="AR420" t="s">
        <v>74</v>
      </c>
      <c r="AS420" t="s">
        <v>74</v>
      </c>
      <c r="AT420" t="s">
        <v>629</v>
      </c>
      <c r="AU420">
        <v>2022</v>
      </c>
      <c r="AV420">
        <v>78</v>
      </c>
      <c r="AW420" t="s">
        <v>74</v>
      </c>
      <c r="AX420" t="s">
        <v>74</v>
      </c>
      <c r="AY420" t="s">
        <v>3747</v>
      </c>
      <c r="AZ420" t="s">
        <v>74</v>
      </c>
      <c r="BA420" t="s">
        <v>3748</v>
      </c>
      <c r="BB420" t="s">
        <v>3749</v>
      </c>
      <c r="BC420" t="s">
        <v>3749</v>
      </c>
      <c r="BD420" t="s">
        <v>74</v>
      </c>
      <c r="BE420" t="s">
        <v>3750</v>
      </c>
      <c r="BF420" t="str">
        <f>HYPERLINK("http://dx.doi.org/10.1107/S2053273322092488","http://dx.doi.org/10.1107/S2053273322092488")</f>
        <v>http://dx.doi.org/10.1107/S2053273322092488</v>
      </c>
      <c r="BG420" t="s">
        <v>74</v>
      </c>
      <c r="BH420" t="s">
        <v>74</v>
      </c>
      <c r="BI420" t="s">
        <v>74</v>
      </c>
      <c r="BJ420" t="s">
        <v>74</v>
      </c>
      <c r="BK420" t="s">
        <v>74</v>
      </c>
      <c r="BL420" t="s">
        <v>74</v>
      </c>
      <c r="BM420" t="s">
        <v>74</v>
      </c>
      <c r="BN420" t="s">
        <v>74</v>
      </c>
      <c r="BO420" t="s">
        <v>74</v>
      </c>
      <c r="BP420" t="s">
        <v>74</v>
      </c>
      <c r="BQ420" t="s">
        <v>74</v>
      </c>
      <c r="BR420" t="s">
        <v>74</v>
      </c>
      <c r="BS420" t="s">
        <v>3751</v>
      </c>
      <c r="BT420" t="str">
        <f>HYPERLINK("https%3A%2F%2Fwww.webofscience.com%2Fwos%2Fwoscc%2Ffull-record%2FWOS:001048207700423","View Full Record in Web of Science")</f>
        <v>View Full Record in Web of Science</v>
      </c>
    </row>
    <row r="421" spans="1:72" x14ac:dyDescent="0.2">
      <c r="A421" t="s">
        <v>72</v>
      </c>
      <c r="B421" t="s">
        <v>3752</v>
      </c>
      <c r="C421" t="s">
        <v>74</v>
      </c>
      <c r="D421" t="s">
        <v>74</v>
      </c>
      <c r="E421" t="s">
        <v>74</v>
      </c>
      <c r="F421" t="s">
        <v>3753</v>
      </c>
      <c r="G421" t="s">
        <v>74</v>
      </c>
      <c r="H421" t="s">
        <v>74</v>
      </c>
      <c r="I421" t="s">
        <v>3754</v>
      </c>
      <c r="J421" t="s">
        <v>995</v>
      </c>
      <c r="K421" t="s">
        <v>74</v>
      </c>
      <c r="L421" t="s">
        <v>74</v>
      </c>
      <c r="M421" t="s">
        <v>74</v>
      </c>
      <c r="N421" t="s">
        <v>74</v>
      </c>
      <c r="O421" t="s">
        <v>74</v>
      </c>
      <c r="P421" t="s">
        <v>74</v>
      </c>
      <c r="Q421" t="s">
        <v>74</v>
      </c>
      <c r="R421" t="s">
        <v>74</v>
      </c>
      <c r="S421" t="s">
        <v>74</v>
      </c>
      <c r="T421" t="s">
        <v>74</v>
      </c>
      <c r="U421" t="s">
        <v>74</v>
      </c>
      <c r="V421" t="s">
        <v>3755</v>
      </c>
      <c r="W421" t="s">
        <v>74</v>
      </c>
      <c r="X421" t="s">
        <v>74</v>
      </c>
      <c r="Y421" t="s">
        <v>74</v>
      </c>
      <c r="Z421" t="s">
        <v>74</v>
      </c>
      <c r="AA421" t="s">
        <v>3756</v>
      </c>
      <c r="AB421" t="s">
        <v>1671</v>
      </c>
      <c r="AC421" t="s">
        <v>74</v>
      </c>
      <c r="AD421" t="s">
        <v>74</v>
      </c>
      <c r="AE421" t="s">
        <v>74</v>
      </c>
      <c r="AF421" t="s">
        <v>74</v>
      </c>
      <c r="AG421" t="s">
        <v>74</v>
      </c>
      <c r="AH421" t="s">
        <v>74</v>
      </c>
      <c r="AI421" t="s">
        <v>74</v>
      </c>
      <c r="AJ421" t="s">
        <v>74</v>
      </c>
      <c r="AK421" t="s">
        <v>74</v>
      </c>
      <c r="AL421" t="s">
        <v>74</v>
      </c>
      <c r="AM421" t="s">
        <v>74</v>
      </c>
      <c r="AN421" t="s">
        <v>74</v>
      </c>
      <c r="AO421" t="s">
        <v>74</v>
      </c>
      <c r="AP421" t="s">
        <v>998</v>
      </c>
      <c r="AQ421" t="s">
        <v>74</v>
      </c>
      <c r="AR421" t="s">
        <v>74</v>
      </c>
      <c r="AS421" t="s">
        <v>74</v>
      </c>
      <c r="AT421" t="s">
        <v>1803</v>
      </c>
      <c r="AU421">
        <v>2022</v>
      </c>
      <c r="AV421">
        <v>4</v>
      </c>
      <c r="AW421">
        <v>8</v>
      </c>
      <c r="AX421" t="s">
        <v>74</v>
      </c>
      <c r="AY421" t="s">
        <v>74</v>
      </c>
      <c r="AZ421" t="s">
        <v>74</v>
      </c>
      <c r="BA421" t="s">
        <v>74</v>
      </c>
      <c r="BB421">
        <v>1516</v>
      </c>
      <c r="BC421">
        <v>1522</v>
      </c>
      <c r="BD421" t="s">
        <v>74</v>
      </c>
      <c r="BE421" t="s">
        <v>3757</v>
      </c>
      <c r="BF421" t="str">
        <f>HYPERLINK("http://dx.doi.org/10.1021/acsmaterialslett.2c00443","http://dx.doi.org/10.1021/acsmaterialslett.2c00443")</f>
        <v>http://dx.doi.org/10.1021/acsmaterialslett.2c00443</v>
      </c>
      <c r="BG421" t="s">
        <v>74</v>
      </c>
      <c r="BH421" t="s">
        <v>74</v>
      </c>
      <c r="BI421" t="s">
        <v>74</v>
      </c>
      <c r="BJ421" t="s">
        <v>74</v>
      </c>
      <c r="BK421" t="s">
        <v>74</v>
      </c>
      <c r="BL421" t="s">
        <v>74</v>
      </c>
      <c r="BM421" t="s">
        <v>74</v>
      </c>
      <c r="BN421" t="s">
        <v>74</v>
      </c>
      <c r="BO421" t="s">
        <v>74</v>
      </c>
      <c r="BP421" t="s">
        <v>74</v>
      </c>
      <c r="BQ421" t="s">
        <v>74</v>
      </c>
      <c r="BR421" t="s">
        <v>74</v>
      </c>
      <c r="BS421" t="s">
        <v>3758</v>
      </c>
      <c r="BT421" t="str">
        <f>HYPERLINK("https%3A%2F%2Fwww.webofscience.com%2Fwos%2Fwoscc%2Ffull-record%2FWOS:000863616900001","View Full Record in Web of Science")</f>
        <v>View Full Record in Web of Science</v>
      </c>
    </row>
    <row r="422" spans="1:72" x14ac:dyDescent="0.2">
      <c r="A422" t="s">
        <v>72</v>
      </c>
      <c r="B422" t="s">
        <v>3759</v>
      </c>
      <c r="C422" t="s">
        <v>74</v>
      </c>
      <c r="D422" t="s">
        <v>74</v>
      </c>
      <c r="E422" t="s">
        <v>74</v>
      </c>
      <c r="F422" t="s">
        <v>3760</v>
      </c>
      <c r="G422" t="s">
        <v>74</v>
      </c>
      <c r="H422" t="s">
        <v>74</v>
      </c>
      <c r="I422" t="s">
        <v>3761</v>
      </c>
      <c r="J422" t="s">
        <v>754</v>
      </c>
      <c r="K422" t="s">
        <v>74</v>
      </c>
      <c r="L422" t="s">
        <v>74</v>
      </c>
      <c r="M422" t="s">
        <v>74</v>
      </c>
      <c r="N422" t="s">
        <v>74</v>
      </c>
      <c r="O422" t="s">
        <v>74</v>
      </c>
      <c r="P422" t="s">
        <v>74</v>
      </c>
      <c r="Q422" t="s">
        <v>74</v>
      </c>
      <c r="R422" t="s">
        <v>74</v>
      </c>
      <c r="S422" t="s">
        <v>74</v>
      </c>
      <c r="T422" t="s">
        <v>74</v>
      </c>
      <c r="U422" t="s">
        <v>74</v>
      </c>
      <c r="V422" t="s">
        <v>3762</v>
      </c>
      <c r="W422" t="s">
        <v>74</v>
      </c>
      <c r="X422" t="s">
        <v>74</v>
      </c>
      <c r="Y422" t="s">
        <v>74</v>
      </c>
      <c r="Z422" t="s">
        <v>74</v>
      </c>
      <c r="AA422" t="s">
        <v>3763</v>
      </c>
      <c r="AB422" t="s">
        <v>74</v>
      </c>
      <c r="AC422" t="s">
        <v>74</v>
      </c>
      <c r="AD422" t="s">
        <v>74</v>
      </c>
      <c r="AE422" t="s">
        <v>74</v>
      </c>
      <c r="AF422" t="s">
        <v>74</v>
      </c>
      <c r="AG422" t="s">
        <v>74</v>
      </c>
      <c r="AH422" t="s">
        <v>74</v>
      </c>
      <c r="AI422" t="s">
        <v>74</v>
      </c>
      <c r="AJ422" t="s">
        <v>74</v>
      </c>
      <c r="AK422" t="s">
        <v>74</v>
      </c>
      <c r="AL422" t="s">
        <v>74</v>
      </c>
      <c r="AM422" t="s">
        <v>74</v>
      </c>
      <c r="AN422" t="s">
        <v>74</v>
      </c>
      <c r="AO422" t="s">
        <v>757</v>
      </c>
      <c r="AP422" t="s">
        <v>758</v>
      </c>
      <c r="AQ422" t="s">
        <v>74</v>
      </c>
      <c r="AR422" t="s">
        <v>74</v>
      </c>
      <c r="AS422" t="s">
        <v>74</v>
      </c>
      <c r="AT422" t="s">
        <v>243</v>
      </c>
      <c r="AU422">
        <v>2022</v>
      </c>
      <c r="AV422">
        <v>921</v>
      </c>
      <c r="AW422" t="s">
        <v>74</v>
      </c>
      <c r="AX422" t="s">
        <v>74</v>
      </c>
      <c r="AY422" t="s">
        <v>74</v>
      </c>
      <c r="AZ422" t="s">
        <v>74</v>
      </c>
      <c r="BA422" t="s">
        <v>74</v>
      </c>
      <c r="BB422" t="s">
        <v>74</v>
      </c>
      <c r="BC422" t="s">
        <v>74</v>
      </c>
      <c r="BD422">
        <v>116560</v>
      </c>
      <c r="BE422" t="s">
        <v>3764</v>
      </c>
      <c r="BF422" t="str">
        <f>HYPERLINK("http://dx.doi.org/10.1016/j.jelechem.2022.116560","http://dx.doi.org/10.1016/j.jelechem.2022.116560")</f>
        <v>http://dx.doi.org/10.1016/j.jelechem.2022.116560</v>
      </c>
      <c r="BG422" t="s">
        <v>74</v>
      </c>
      <c r="BH422" t="s">
        <v>3765</v>
      </c>
      <c r="BI422" t="s">
        <v>74</v>
      </c>
      <c r="BJ422" t="s">
        <v>74</v>
      </c>
      <c r="BK422" t="s">
        <v>74</v>
      </c>
      <c r="BL422" t="s">
        <v>74</v>
      </c>
      <c r="BM422" t="s">
        <v>74</v>
      </c>
      <c r="BN422" t="s">
        <v>74</v>
      </c>
      <c r="BO422" t="s">
        <v>74</v>
      </c>
      <c r="BP422" t="s">
        <v>74</v>
      </c>
      <c r="BQ422" t="s">
        <v>74</v>
      </c>
      <c r="BR422" t="s">
        <v>74</v>
      </c>
      <c r="BS422" t="s">
        <v>3766</v>
      </c>
      <c r="BT422" t="str">
        <f>HYPERLINK("https%3A%2F%2Fwww.webofscience.com%2Fwos%2Fwoscc%2Ffull-record%2FWOS:000850444400001","View Full Record in Web of Science")</f>
        <v>View Full Record in Web of Science</v>
      </c>
    </row>
    <row r="423" spans="1:72" x14ac:dyDescent="0.2">
      <c r="A423" t="s">
        <v>72</v>
      </c>
      <c r="B423" t="s">
        <v>3767</v>
      </c>
      <c r="C423" t="s">
        <v>74</v>
      </c>
      <c r="D423" t="s">
        <v>74</v>
      </c>
      <c r="E423" t="s">
        <v>74</v>
      </c>
      <c r="F423" t="s">
        <v>3768</v>
      </c>
      <c r="G423" t="s">
        <v>74</v>
      </c>
      <c r="H423" t="s">
        <v>74</v>
      </c>
      <c r="I423" t="s">
        <v>3769</v>
      </c>
      <c r="J423" t="s">
        <v>374</v>
      </c>
      <c r="K423" t="s">
        <v>74</v>
      </c>
      <c r="L423" t="s">
        <v>74</v>
      </c>
      <c r="M423" t="s">
        <v>74</v>
      </c>
      <c r="N423" t="s">
        <v>74</v>
      </c>
      <c r="O423" t="s">
        <v>74</v>
      </c>
      <c r="P423" t="s">
        <v>74</v>
      </c>
      <c r="Q423" t="s">
        <v>74</v>
      </c>
      <c r="R423" t="s">
        <v>74</v>
      </c>
      <c r="S423" t="s">
        <v>74</v>
      </c>
      <c r="T423" t="s">
        <v>74</v>
      </c>
      <c r="U423" t="s">
        <v>74</v>
      </c>
      <c r="V423" t="s">
        <v>3770</v>
      </c>
      <c r="W423" t="s">
        <v>74</v>
      </c>
      <c r="X423" t="s">
        <v>74</v>
      </c>
      <c r="Y423" t="s">
        <v>74</v>
      </c>
      <c r="Z423" t="s">
        <v>74</v>
      </c>
      <c r="AA423" t="s">
        <v>3771</v>
      </c>
      <c r="AB423" t="s">
        <v>3772</v>
      </c>
      <c r="AC423" t="s">
        <v>74</v>
      </c>
      <c r="AD423" t="s">
        <v>74</v>
      </c>
      <c r="AE423" t="s">
        <v>74</v>
      </c>
      <c r="AF423" t="s">
        <v>74</v>
      </c>
      <c r="AG423" t="s">
        <v>74</v>
      </c>
      <c r="AH423" t="s">
        <v>74</v>
      </c>
      <c r="AI423" t="s">
        <v>74</v>
      </c>
      <c r="AJ423" t="s">
        <v>74</v>
      </c>
      <c r="AK423" t="s">
        <v>74</v>
      </c>
      <c r="AL423" t="s">
        <v>74</v>
      </c>
      <c r="AM423" t="s">
        <v>74</v>
      </c>
      <c r="AN423" t="s">
        <v>74</v>
      </c>
      <c r="AO423" t="s">
        <v>377</v>
      </c>
      <c r="AP423" t="s">
        <v>74</v>
      </c>
      <c r="AQ423" t="s">
        <v>74</v>
      </c>
      <c r="AR423" t="s">
        <v>74</v>
      </c>
      <c r="AS423" t="s">
        <v>74</v>
      </c>
      <c r="AT423" t="s">
        <v>3773</v>
      </c>
      <c r="AU423">
        <v>2022</v>
      </c>
      <c r="AV423">
        <v>7</v>
      </c>
      <c r="AW423">
        <v>8</v>
      </c>
      <c r="AX423" t="s">
        <v>74</v>
      </c>
      <c r="AY423" t="s">
        <v>74</v>
      </c>
      <c r="AZ423" t="s">
        <v>74</v>
      </c>
      <c r="BA423" t="s">
        <v>74</v>
      </c>
      <c r="BB423">
        <v>2761</v>
      </c>
      <c r="BC423">
        <v>2770</v>
      </c>
      <c r="BD423" t="s">
        <v>74</v>
      </c>
      <c r="BE423" t="s">
        <v>3774</v>
      </c>
      <c r="BF423" t="str">
        <f>HYPERLINK("http://dx.doi.org/10.1021/acsenergylett.2c01334","http://dx.doi.org/10.1021/acsenergylett.2c01334")</f>
        <v>http://dx.doi.org/10.1021/acsenergylett.2c01334</v>
      </c>
      <c r="BG423" t="s">
        <v>74</v>
      </c>
      <c r="BH423" t="s">
        <v>3765</v>
      </c>
      <c r="BI423" t="s">
        <v>74</v>
      </c>
      <c r="BJ423" t="s">
        <v>74</v>
      </c>
      <c r="BK423" t="s">
        <v>74</v>
      </c>
      <c r="BL423" t="s">
        <v>74</v>
      </c>
      <c r="BM423" t="s">
        <v>74</v>
      </c>
      <c r="BN423" t="s">
        <v>74</v>
      </c>
      <c r="BO423" t="s">
        <v>74</v>
      </c>
      <c r="BP423" t="s">
        <v>74</v>
      </c>
      <c r="BQ423" t="s">
        <v>74</v>
      </c>
      <c r="BR423" t="s">
        <v>74</v>
      </c>
      <c r="BS423" t="s">
        <v>3775</v>
      </c>
      <c r="BT423" t="str">
        <f>HYPERLINK("https%3A%2F%2Fwww.webofscience.com%2Fwos%2Fwoscc%2Ffull-record%2FWOS:000834290800001","View Full Record in Web of Science")</f>
        <v>View Full Record in Web of Science</v>
      </c>
    </row>
    <row r="424" spans="1:72" x14ac:dyDescent="0.2">
      <c r="A424" t="s">
        <v>72</v>
      </c>
      <c r="B424" t="s">
        <v>3776</v>
      </c>
      <c r="C424" t="s">
        <v>74</v>
      </c>
      <c r="D424" t="s">
        <v>74</v>
      </c>
      <c r="E424" t="s">
        <v>74</v>
      </c>
      <c r="F424" t="s">
        <v>3777</v>
      </c>
      <c r="G424" t="s">
        <v>74</v>
      </c>
      <c r="H424" t="s">
        <v>74</v>
      </c>
      <c r="I424" t="s">
        <v>3778</v>
      </c>
      <c r="J424" t="s">
        <v>422</v>
      </c>
      <c r="K424" t="s">
        <v>74</v>
      </c>
      <c r="L424" t="s">
        <v>74</v>
      </c>
      <c r="M424" t="s">
        <v>74</v>
      </c>
      <c r="N424" t="s">
        <v>74</v>
      </c>
      <c r="O424" t="s">
        <v>74</v>
      </c>
      <c r="P424" t="s">
        <v>74</v>
      </c>
      <c r="Q424" t="s">
        <v>74</v>
      </c>
      <c r="R424" t="s">
        <v>74</v>
      </c>
      <c r="S424" t="s">
        <v>74</v>
      </c>
      <c r="T424" t="s">
        <v>74</v>
      </c>
      <c r="U424" t="s">
        <v>74</v>
      </c>
      <c r="V424" t="s">
        <v>3779</v>
      </c>
      <c r="W424" t="s">
        <v>74</v>
      </c>
      <c r="X424" t="s">
        <v>74</v>
      </c>
      <c r="Y424" t="s">
        <v>74</v>
      </c>
      <c r="Z424" t="s">
        <v>74</v>
      </c>
      <c r="AA424" t="s">
        <v>74</v>
      </c>
      <c r="AB424" t="s">
        <v>3780</v>
      </c>
      <c r="AC424" t="s">
        <v>74</v>
      </c>
      <c r="AD424" t="s">
        <v>74</v>
      </c>
      <c r="AE424" t="s">
        <v>74</v>
      </c>
      <c r="AF424" t="s">
        <v>74</v>
      </c>
      <c r="AG424" t="s">
        <v>74</v>
      </c>
      <c r="AH424" t="s">
        <v>74</v>
      </c>
      <c r="AI424" t="s">
        <v>74</v>
      </c>
      <c r="AJ424" t="s">
        <v>74</v>
      </c>
      <c r="AK424" t="s">
        <v>74</v>
      </c>
      <c r="AL424" t="s">
        <v>74</v>
      </c>
      <c r="AM424" t="s">
        <v>74</v>
      </c>
      <c r="AN424" t="s">
        <v>74</v>
      </c>
      <c r="AO424" t="s">
        <v>426</v>
      </c>
      <c r="AP424" t="s">
        <v>74</v>
      </c>
      <c r="AQ424" t="s">
        <v>74</v>
      </c>
      <c r="AR424" t="s">
        <v>74</v>
      </c>
      <c r="AS424" t="s">
        <v>74</v>
      </c>
      <c r="AT424" t="s">
        <v>2830</v>
      </c>
      <c r="AU424">
        <v>2022</v>
      </c>
      <c r="AV424">
        <v>5</v>
      </c>
      <c r="AW424">
        <v>8</v>
      </c>
      <c r="AX424" t="s">
        <v>74</v>
      </c>
      <c r="AY424" t="s">
        <v>74</v>
      </c>
      <c r="AZ424" t="s">
        <v>74</v>
      </c>
      <c r="BA424" t="s">
        <v>74</v>
      </c>
      <c r="BB424">
        <v>10098</v>
      </c>
      <c r="BC424">
        <v>10107</v>
      </c>
      <c r="BD424" t="s">
        <v>74</v>
      </c>
      <c r="BE424" t="s">
        <v>3781</v>
      </c>
      <c r="BF424" t="str">
        <f>HYPERLINK("http://dx.doi.org/10.1021/acsaem.2c01789","http://dx.doi.org/10.1021/acsaem.2c01789")</f>
        <v>http://dx.doi.org/10.1021/acsaem.2c01789</v>
      </c>
      <c r="BG424" t="s">
        <v>74</v>
      </c>
      <c r="BH424" t="s">
        <v>3765</v>
      </c>
      <c r="BI424" t="s">
        <v>74</v>
      </c>
      <c r="BJ424" t="s">
        <v>74</v>
      </c>
      <c r="BK424" t="s">
        <v>74</v>
      </c>
      <c r="BL424" t="s">
        <v>74</v>
      </c>
      <c r="BM424" t="s">
        <v>74</v>
      </c>
      <c r="BN424" t="s">
        <v>74</v>
      </c>
      <c r="BO424" t="s">
        <v>74</v>
      </c>
      <c r="BP424" t="s">
        <v>74</v>
      </c>
      <c r="BQ424" t="s">
        <v>74</v>
      </c>
      <c r="BR424" t="s">
        <v>74</v>
      </c>
      <c r="BS424" t="s">
        <v>3782</v>
      </c>
      <c r="BT424" t="str">
        <f>HYPERLINK("https%3A%2F%2Fwww.webofscience.com%2Fwos%2Fwoscc%2Ffull-record%2FWOS:000834180600001","View Full Record in Web of Science")</f>
        <v>View Full Record in Web of Science</v>
      </c>
    </row>
    <row r="425" spans="1:72" x14ac:dyDescent="0.2">
      <c r="A425" t="s">
        <v>72</v>
      </c>
      <c r="B425" t="s">
        <v>3783</v>
      </c>
      <c r="C425" t="s">
        <v>74</v>
      </c>
      <c r="D425" t="s">
        <v>74</v>
      </c>
      <c r="E425" t="s">
        <v>74</v>
      </c>
      <c r="F425" t="s">
        <v>3784</v>
      </c>
      <c r="G425" t="s">
        <v>74</v>
      </c>
      <c r="H425" t="s">
        <v>74</v>
      </c>
      <c r="I425" t="s">
        <v>3785</v>
      </c>
      <c r="J425" t="s">
        <v>151</v>
      </c>
      <c r="K425" t="s">
        <v>74</v>
      </c>
      <c r="L425" t="s">
        <v>74</v>
      </c>
      <c r="M425" t="s">
        <v>74</v>
      </c>
      <c r="N425" t="s">
        <v>74</v>
      </c>
      <c r="O425" t="s">
        <v>74</v>
      </c>
      <c r="P425" t="s">
        <v>74</v>
      </c>
      <c r="Q425" t="s">
        <v>74</v>
      </c>
      <c r="R425" t="s">
        <v>74</v>
      </c>
      <c r="S425" t="s">
        <v>74</v>
      </c>
      <c r="T425" t="s">
        <v>74</v>
      </c>
      <c r="U425" t="s">
        <v>74</v>
      </c>
      <c r="V425" t="s">
        <v>3786</v>
      </c>
      <c r="W425" t="s">
        <v>74</v>
      </c>
      <c r="X425" t="s">
        <v>74</v>
      </c>
      <c r="Y425" t="s">
        <v>74</v>
      </c>
      <c r="Z425" t="s">
        <v>74</v>
      </c>
      <c r="AA425" t="s">
        <v>3787</v>
      </c>
      <c r="AB425" t="s">
        <v>3701</v>
      </c>
      <c r="AC425" t="s">
        <v>74</v>
      </c>
      <c r="AD425" t="s">
        <v>74</v>
      </c>
      <c r="AE425" t="s">
        <v>74</v>
      </c>
      <c r="AF425" t="s">
        <v>74</v>
      </c>
      <c r="AG425" t="s">
        <v>74</v>
      </c>
      <c r="AH425" t="s">
        <v>74</v>
      </c>
      <c r="AI425" t="s">
        <v>74</v>
      </c>
      <c r="AJ425" t="s">
        <v>74</v>
      </c>
      <c r="AK425" t="s">
        <v>74</v>
      </c>
      <c r="AL425" t="s">
        <v>74</v>
      </c>
      <c r="AM425" t="s">
        <v>74</v>
      </c>
      <c r="AN425" t="s">
        <v>74</v>
      </c>
      <c r="AO425" t="s">
        <v>153</v>
      </c>
      <c r="AP425" t="s">
        <v>154</v>
      </c>
      <c r="AQ425" t="s">
        <v>74</v>
      </c>
      <c r="AR425" t="s">
        <v>74</v>
      </c>
      <c r="AS425" t="s">
        <v>74</v>
      </c>
      <c r="AT425" t="s">
        <v>113</v>
      </c>
      <c r="AU425">
        <v>2022</v>
      </c>
      <c r="AV425">
        <v>51</v>
      </c>
      <c r="AW425" t="s">
        <v>74</v>
      </c>
      <c r="AX425" t="s">
        <v>74</v>
      </c>
      <c r="AY425" t="s">
        <v>74</v>
      </c>
      <c r="AZ425" t="s">
        <v>74</v>
      </c>
      <c r="BA425" t="s">
        <v>74</v>
      </c>
      <c r="BB425">
        <v>764</v>
      </c>
      <c r="BC425">
        <v>776</v>
      </c>
      <c r="BD425" t="s">
        <v>74</v>
      </c>
      <c r="BE425" t="s">
        <v>3788</v>
      </c>
      <c r="BF425" t="str">
        <f>HYPERLINK("http://dx.doi.org/10.1016/j.ensm.2022.07.021","http://dx.doi.org/10.1016/j.ensm.2022.07.021")</f>
        <v>http://dx.doi.org/10.1016/j.ensm.2022.07.021</v>
      </c>
      <c r="BG425" t="s">
        <v>74</v>
      </c>
      <c r="BH425" t="s">
        <v>3765</v>
      </c>
      <c r="BI425" t="s">
        <v>74</v>
      </c>
      <c r="BJ425" t="s">
        <v>74</v>
      </c>
      <c r="BK425" t="s">
        <v>74</v>
      </c>
      <c r="BL425" t="s">
        <v>74</v>
      </c>
      <c r="BM425" t="s">
        <v>74</v>
      </c>
      <c r="BN425" t="s">
        <v>74</v>
      </c>
      <c r="BO425" t="s">
        <v>74</v>
      </c>
      <c r="BP425" t="s">
        <v>74</v>
      </c>
      <c r="BQ425" t="s">
        <v>74</v>
      </c>
      <c r="BR425" t="s">
        <v>74</v>
      </c>
      <c r="BS425" t="s">
        <v>3789</v>
      </c>
      <c r="BT425" t="str">
        <f>HYPERLINK("https%3A%2F%2Fwww.webofscience.com%2Fwos%2Fwoscc%2Ffull-record%2FWOS:000880815600002","View Full Record in Web of Science")</f>
        <v>View Full Record in Web of Science</v>
      </c>
    </row>
    <row r="426" spans="1:72" x14ac:dyDescent="0.2">
      <c r="A426" t="s">
        <v>72</v>
      </c>
      <c r="B426" t="s">
        <v>3790</v>
      </c>
      <c r="C426" t="s">
        <v>74</v>
      </c>
      <c r="D426" t="s">
        <v>74</v>
      </c>
      <c r="E426" t="s">
        <v>74</v>
      </c>
      <c r="F426" t="s">
        <v>3791</v>
      </c>
      <c r="G426" t="s">
        <v>74</v>
      </c>
      <c r="H426" t="s">
        <v>74</v>
      </c>
      <c r="I426" t="s">
        <v>3792</v>
      </c>
      <c r="J426" t="s">
        <v>3793</v>
      </c>
      <c r="K426" t="s">
        <v>74</v>
      </c>
      <c r="L426" t="s">
        <v>74</v>
      </c>
      <c r="M426" t="s">
        <v>74</v>
      </c>
      <c r="N426" t="s">
        <v>74</v>
      </c>
      <c r="O426" t="s">
        <v>74</v>
      </c>
      <c r="P426" t="s">
        <v>74</v>
      </c>
      <c r="Q426" t="s">
        <v>74</v>
      </c>
      <c r="R426" t="s">
        <v>74</v>
      </c>
      <c r="S426" t="s">
        <v>74</v>
      </c>
      <c r="T426" t="s">
        <v>74</v>
      </c>
      <c r="U426" t="s">
        <v>74</v>
      </c>
      <c r="V426" t="s">
        <v>3794</v>
      </c>
      <c r="W426" t="s">
        <v>74</v>
      </c>
      <c r="X426" t="s">
        <v>74</v>
      </c>
      <c r="Y426" t="s">
        <v>74</v>
      </c>
      <c r="Z426" t="s">
        <v>74</v>
      </c>
      <c r="AA426" t="s">
        <v>74</v>
      </c>
      <c r="AB426" t="s">
        <v>3795</v>
      </c>
      <c r="AC426" t="s">
        <v>74</v>
      </c>
      <c r="AD426" t="s">
        <v>74</v>
      </c>
      <c r="AE426" t="s">
        <v>74</v>
      </c>
      <c r="AF426" t="s">
        <v>74</v>
      </c>
      <c r="AG426" t="s">
        <v>74</v>
      </c>
      <c r="AH426" t="s">
        <v>74</v>
      </c>
      <c r="AI426" t="s">
        <v>74</v>
      </c>
      <c r="AJ426" t="s">
        <v>74</v>
      </c>
      <c r="AK426" t="s">
        <v>74</v>
      </c>
      <c r="AL426" t="s">
        <v>74</v>
      </c>
      <c r="AM426" t="s">
        <v>74</v>
      </c>
      <c r="AN426" t="s">
        <v>74</v>
      </c>
      <c r="AO426" t="s">
        <v>3796</v>
      </c>
      <c r="AP426" t="s">
        <v>3797</v>
      </c>
      <c r="AQ426" t="s">
        <v>74</v>
      </c>
      <c r="AR426" t="s">
        <v>74</v>
      </c>
      <c r="AS426" t="s">
        <v>74</v>
      </c>
      <c r="AT426" t="s">
        <v>3798</v>
      </c>
      <c r="AU426">
        <v>2022</v>
      </c>
      <c r="AV426">
        <v>61</v>
      </c>
      <c r="AW426">
        <v>30</v>
      </c>
      <c r="AX426" t="s">
        <v>74</v>
      </c>
      <c r="AY426" t="s">
        <v>74</v>
      </c>
      <c r="AZ426" t="s">
        <v>74</v>
      </c>
      <c r="BA426" t="s">
        <v>74</v>
      </c>
      <c r="BB426">
        <v>10969</v>
      </c>
      <c r="BC426">
        <v>10981</v>
      </c>
      <c r="BD426" t="s">
        <v>74</v>
      </c>
      <c r="BE426" t="s">
        <v>3799</v>
      </c>
      <c r="BF426" t="str">
        <f>HYPERLINK("http://dx.doi.org/10.1021/acs.iecr.2c01350","http://dx.doi.org/10.1021/acs.iecr.2c01350")</f>
        <v>http://dx.doi.org/10.1021/acs.iecr.2c01350</v>
      </c>
      <c r="BG426" t="s">
        <v>74</v>
      </c>
      <c r="BH426" t="s">
        <v>3765</v>
      </c>
      <c r="BI426" t="s">
        <v>74</v>
      </c>
      <c r="BJ426" t="s">
        <v>74</v>
      </c>
      <c r="BK426" t="s">
        <v>74</v>
      </c>
      <c r="BL426" t="s">
        <v>74</v>
      </c>
      <c r="BM426" t="s">
        <v>74</v>
      </c>
      <c r="BN426" t="s">
        <v>74</v>
      </c>
      <c r="BO426" t="s">
        <v>74</v>
      </c>
      <c r="BP426" t="s">
        <v>74</v>
      </c>
      <c r="BQ426" t="s">
        <v>74</v>
      </c>
      <c r="BR426" t="s">
        <v>74</v>
      </c>
      <c r="BS426" t="s">
        <v>3800</v>
      </c>
      <c r="BT426" t="str">
        <f>HYPERLINK("https%3A%2F%2Fwww.webofscience.com%2Fwos%2Fwoscc%2Ffull-record%2FWOS:000830479300001","View Full Record in Web of Science")</f>
        <v>View Full Record in Web of Science</v>
      </c>
    </row>
    <row r="427" spans="1:72" x14ac:dyDescent="0.2">
      <c r="A427" t="s">
        <v>72</v>
      </c>
      <c r="B427" t="s">
        <v>3801</v>
      </c>
      <c r="C427" t="s">
        <v>74</v>
      </c>
      <c r="D427" t="s">
        <v>74</v>
      </c>
      <c r="E427" t="s">
        <v>74</v>
      </c>
      <c r="F427" t="s">
        <v>3802</v>
      </c>
      <c r="G427" t="s">
        <v>74</v>
      </c>
      <c r="H427" t="s">
        <v>74</v>
      </c>
      <c r="I427" t="s">
        <v>3803</v>
      </c>
      <c r="J427" t="s">
        <v>422</v>
      </c>
      <c r="K427" t="s">
        <v>74</v>
      </c>
      <c r="L427" t="s">
        <v>74</v>
      </c>
      <c r="M427" t="s">
        <v>74</v>
      </c>
      <c r="N427" t="s">
        <v>74</v>
      </c>
      <c r="O427" t="s">
        <v>74</v>
      </c>
      <c r="P427" t="s">
        <v>74</v>
      </c>
      <c r="Q427" t="s">
        <v>74</v>
      </c>
      <c r="R427" t="s">
        <v>74</v>
      </c>
      <c r="S427" t="s">
        <v>74</v>
      </c>
      <c r="T427" t="s">
        <v>74</v>
      </c>
      <c r="U427" t="s">
        <v>74</v>
      </c>
      <c r="V427" t="s">
        <v>3804</v>
      </c>
      <c r="W427" t="s">
        <v>74</v>
      </c>
      <c r="X427" t="s">
        <v>74</v>
      </c>
      <c r="Y427" t="s">
        <v>74</v>
      </c>
      <c r="Z427" t="s">
        <v>74</v>
      </c>
      <c r="AA427" t="s">
        <v>3805</v>
      </c>
      <c r="AB427" t="s">
        <v>3806</v>
      </c>
      <c r="AC427" t="s">
        <v>74</v>
      </c>
      <c r="AD427" t="s">
        <v>74</v>
      </c>
      <c r="AE427" t="s">
        <v>74</v>
      </c>
      <c r="AF427" t="s">
        <v>74</v>
      </c>
      <c r="AG427" t="s">
        <v>74</v>
      </c>
      <c r="AH427" t="s">
        <v>74</v>
      </c>
      <c r="AI427" t="s">
        <v>74</v>
      </c>
      <c r="AJ427" t="s">
        <v>74</v>
      </c>
      <c r="AK427" t="s">
        <v>74</v>
      </c>
      <c r="AL427" t="s">
        <v>74</v>
      </c>
      <c r="AM427" t="s">
        <v>74</v>
      </c>
      <c r="AN427" t="s">
        <v>74</v>
      </c>
      <c r="AO427" t="s">
        <v>426</v>
      </c>
      <c r="AP427" t="s">
        <v>74</v>
      </c>
      <c r="AQ427" t="s">
        <v>74</v>
      </c>
      <c r="AR427" t="s">
        <v>74</v>
      </c>
      <c r="AS427" t="s">
        <v>74</v>
      </c>
      <c r="AT427" t="s">
        <v>261</v>
      </c>
      <c r="AU427">
        <v>2022</v>
      </c>
      <c r="AV427">
        <v>5</v>
      </c>
      <c r="AW427">
        <v>7</v>
      </c>
      <c r="AX427" t="s">
        <v>74</v>
      </c>
      <c r="AY427" t="s">
        <v>74</v>
      </c>
      <c r="AZ427" t="s">
        <v>74</v>
      </c>
      <c r="BA427" t="s">
        <v>74</v>
      </c>
      <c r="BB427">
        <v>8639</v>
      </c>
      <c r="BC427">
        <v>8649</v>
      </c>
      <c r="BD427" t="s">
        <v>74</v>
      </c>
      <c r="BE427" t="s">
        <v>3807</v>
      </c>
      <c r="BF427" t="str">
        <f>HYPERLINK("http://dx.doi.org/10.1021/acsaem.2c01163","http://dx.doi.org/10.1021/acsaem.2c01163")</f>
        <v>http://dx.doi.org/10.1021/acsaem.2c01163</v>
      </c>
      <c r="BG427" t="s">
        <v>74</v>
      </c>
      <c r="BH427" t="s">
        <v>3765</v>
      </c>
      <c r="BI427" t="s">
        <v>74</v>
      </c>
      <c r="BJ427" t="s">
        <v>74</v>
      </c>
      <c r="BK427" t="s">
        <v>74</v>
      </c>
      <c r="BL427" t="s">
        <v>74</v>
      </c>
      <c r="BM427" t="s">
        <v>74</v>
      </c>
      <c r="BN427" t="s">
        <v>74</v>
      </c>
      <c r="BO427" t="s">
        <v>74</v>
      </c>
      <c r="BP427" t="s">
        <v>74</v>
      </c>
      <c r="BQ427" t="s">
        <v>74</v>
      </c>
      <c r="BR427" t="s">
        <v>74</v>
      </c>
      <c r="BS427" t="s">
        <v>3808</v>
      </c>
      <c r="BT427" t="str">
        <f>HYPERLINK("https%3A%2F%2Fwww.webofscience.com%2Fwos%2Fwoscc%2Ffull-record%2FWOS:000827749600001","View Full Record in Web of Science")</f>
        <v>View Full Record in Web of Science</v>
      </c>
    </row>
    <row r="428" spans="1:72" x14ac:dyDescent="0.2">
      <c r="A428" t="s">
        <v>72</v>
      </c>
      <c r="B428" t="s">
        <v>3809</v>
      </c>
      <c r="C428" t="s">
        <v>74</v>
      </c>
      <c r="D428" t="s">
        <v>74</v>
      </c>
      <c r="E428" t="s">
        <v>74</v>
      </c>
      <c r="F428" t="s">
        <v>3810</v>
      </c>
      <c r="G428" t="s">
        <v>74</v>
      </c>
      <c r="H428" t="s">
        <v>74</v>
      </c>
      <c r="I428" t="s">
        <v>3811</v>
      </c>
      <c r="J428" t="s">
        <v>3812</v>
      </c>
      <c r="K428" t="s">
        <v>74</v>
      </c>
      <c r="L428" t="s">
        <v>74</v>
      </c>
      <c r="M428" t="s">
        <v>74</v>
      </c>
      <c r="N428" t="s">
        <v>74</v>
      </c>
      <c r="O428" t="s">
        <v>74</v>
      </c>
      <c r="P428" t="s">
        <v>74</v>
      </c>
      <c r="Q428" t="s">
        <v>74</v>
      </c>
      <c r="R428" t="s">
        <v>74</v>
      </c>
      <c r="S428" t="s">
        <v>74</v>
      </c>
      <c r="T428" t="s">
        <v>74</v>
      </c>
      <c r="U428" t="s">
        <v>74</v>
      </c>
      <c r="V428" t="s">
        <v>3813</v>
      </c>
      <c r="W428" t="s">
        <v>74</v>
      </c>
      <c r="X428" t="s">
        <v>74</v>
      </c>
      <c r="Y428" t="s">
        <v>74</v>
      </c>
      <c r="Z428" t="s">
        <v>74</v>
      </c>
      <c r="AA428" t="s">
        <v>3814</v>
      </c>
      <c r="AB428" t="s">
        <v>74</v>
      </c>
      <c r="AC428" t="s">
        <v>74</v>
      </c>
      <c r="AD428" t="s">
        <v>74</v>
      </c>
      <c r="AE428" t="s">
        <v>74</v>
      </c>
      <c r="AF428" t="s">
        <v>74</v>
      </c>
      <c r="AG428" t="s">
        <v>74</v>
      </c>
      <c r="AH428" t="s">
        <v>74</v>
      </c>
      <c r="AI428" t="s">
        <v>74</v>
      </c>
      <c r="AJ428" t="s">
        <v>74</v>
      </c>
      <c r="AK428" t="s">
        <v>74</v>
      </c>
      <c r="AL428" t="s">
        <v>74</v>
      </c>
      <c r="AM428" t="s">
        <v>74</v>
      </c>
      <c r="AN428" t="s">
        <v>74</v>
      </c>
      <c r="AO428" t="s">
        <v>3815</v>
      </c>
      <c r="AP428" t="s">
        <v>74</v>
      </c>
      <c r="AQ428" t="s">
        <v>74</v>
      </c>
      <c r="AR428" t="s">
        <v>74</v>
      </c>
      <c r="AS428" t="s">
        <v>74</v>
      </c>
      <c r="AT428" t="s">
        <v>3816</v>
      </c>
      <c r="AU428">
        <v>2022</v>
      </c>
      <c r="AV428">
        <v>10</v>
      </c>
      <c r="AW428" t="s">
        <v>74</v>
      </c>
      <c r="AX428" t="s">
        <v>74</v>
      </c>
      <c r="AY428" t="s">
        <v>74</v>
      </c>
      <c r="AZ428" t="s">
        <v>74</v>
      </c>
      <c r="BA428" t="s">
        <v>74</v>
      </c>
      <c r="BB428" t="s">
        <v>74</v>
      </c>
      <c r="BC428" t="s">
        <v>74</v>
      </c>
      <c r="BD428">
        <v>953782</v>
      </c>
      <c r="BE428" t="s">
        <v>3817</v>
      </c>
      <c r="BF428" t="str">
        <f>HYPERLINK("http://dx.doi.org/10.3389/fchem.2022.953782","http://dx.doi.org/10.3389/fchem.2022.953782")</f>
        <v>http://dx.doi.org/10.3389/fchem.2022.953782</v>
      </c>
      <c r="BG428" t="s">
        <v>74</v>
      </c>
      <c r="BH428" t="s">
        <v>74</v>
      </c>
      <c r="BI428" t="s">
        <v>74</v>
      </c>
      <c r="BJ428" t="s">
        <v>74</v>
      </c>
      <c r="BK428" t="s">
        <v>74</v>
      </c>
      <c r="BL428" t="s">
        <v>74</v>
      </c>
      <c r="BM428" t="s">
        <v>74</v>
      </c>
      <c r="BN428">
        <v>35873058</v>
      </c>
      <c r="BO428" t="s">
        <v>74</v>
      </c>
      <c r="BP428" t="s">
        <v>74</v>
      </c>
      <c r="BQ428" t="s">
        <v>74</v>
      </c>
      <c r="BR428" t="s">
        <v>74</v>
      </c>
      <c r="BS428" t="s">
        <v>3818</v>
      </c>
      <c r="BT428" t="str">
        <f>HYPERLINK("https%3A%2F%2Fwww.webofscience.com%2Fwos%2Fwoscc%2Ffull-record%2FWOS:000829244500001","View Full Record in Web of Science")</f>
        <v>View Full Record in Web of Science</v>
      </c>
    </row>
    <row r="429" spans="1:72" x14ac:dyDescent="0.2">
      <c r="A429" t="s">
        <v>72</v>
      </c>
      <c r="B429" t="s">
        <v>3819</v>
      </c>
      <c r="C429" t="s">
        <v>74</v>
      </c>
      <c r="D429" t="s">
        <v>74</v>
      </c>
      <c r="E429" t="s">
        <v>74</v>
      </c>
      <c r="F429" t="s">
        <v>3820</v>
      </c>
      <c r="G429" t="s">
        <v>74</v>
      </c>
      <c r="H429" t="s">
        <v>74</v>
      </c>
      <c r="I429" t="s">
        <v>3821</v>
      </c>
      <c r="J429" t="s">
        <v>3822</v>
      </c>
      <c r="K429" t="s">
        <v>74</v>
      </c>
      <c r="L429" t="s">
        <v>74</v>
      </c>
      <c r="M429" t="s">
        <v>74</v>
      </c>
      <c r="N429" t="s">
        <v>74</v>
      </c>
      <c r="O429" t="s">
        <v>74</v>
      </c>
      <c r="P429" t="s">
        <v>74</v>
      </c>
      <c r="Q429" t="s">
        <v>74</v>
      </c>
      <c r="R429" t="s">
        <v>74</v>
      </c>
      <c r="S429" t="s">
        <v>74</v>
      </c>
      <c r="T429" t="s">
        <v>74</v>
      </c>
      <c r="U429" t="s">
        <v>74</v>
      </c>
      <c r="V429" t="s">
        <v>3823</v>
      </c>
      <c r="W429" t="s">
        <v>74</v>
      </c>
      <c r="X429" t="s">
        <v>74</v>
      </c>
      <c r="Y429" t="s">
        <v>74</v>
      </c>
      <c r="Z429" t="s">
        <v>74</v>
      </c>
      <c r="AA429" t="s">
        <v>3824</v>
      </c>
      <c r="AB429" t="s">
        <v>3825</v>
      </c>
      <c r="AC429" t="s">
        <v>74</v>
      </c>
      <c r="AD429" t="s">
        <v>74</v>
      </c>
      <c r="AE429" t="s">
        <v>74</v>
      </c>
      <c r="AF429" t="s">
        <v>74</v>
      </c>
      <c r="AG429" t="s">
        <v>74</v>
      </c>
      <c r="AH429" t="s">
        <v>74</v>
      </c>
      <c r="AI429" t="s">
        <v>74</v>
      </c>
      <c r="AJ429" t="s">
        <v>74</v>
      </c>
      <c r="AK429" t="s">
        <v>74</v>
      </c>
      <c r="AL429" t="s">
        <v>74</v>
      </c>
      <c r="AM429" t="s">
        <v>74</v>
      </c>
      <c r="AN429" t="s">
        <v>74</v>
      </c>
      <c r="AO429" t="s">
        <v>3826</v>
      </c>
      <c r="AP429" t="s">
        <v>3827</v>
      </c>
      <c r="AQ429" t="s">
        <v>74</v>
      </c>
      <c r="AR429" t="s">
        <v>74</v>
      </c>
      <c r="AS429" t="s">
        <v>74</v>
      </c>
      <c r="AT429" t="s">
        <v>155</v>
      </c>
      <c r="AU429">
        <v>2022</v>
      </c>
      <c r="AV429">
        <v>197</v>
      </c>
      <c r="AW429" t="s">
        <v>74</v>
      </c>
      <c r="AX429" t="s">
        <v>74</v>
      </c>
      <c r="AY429" t="s">
        <v>74</v>
      </c>
      <c r="AZ429" t="s">
        <v>74</v>
      </c>
      <c r="BA429" t="s">
        <v>74</v>
      </c>
      <c r="BB429">
        <v>400</v>
      </c>
      <c r="BC429">
        <v>407</v>
      </c>
      <c r="BD429" t="s">
        <v>74</v>
      </c>
      <c r="BE429" t="s">
        <v>3828</v>
      </c>
      <c r="BF429" t="str">
        <f>HYPERLINK("http://dx.doi.org/10.1016/j.carbon.2022.06.042","http://dx.doi.org/10.1016/j.carbon.2022.06.042")</f>
        <v>http://dx.doi.org/10.1016/j.carbon.2022.06.042</v>
      </c>
      <c r="BG429" t="s">
        <v>74</v>
      </c>
      <c r="BH429" t="s">
        <v>3765</v>
      </c>
      <c r="BI429" t="s">
        <v>74</v>
      </c>
      <c r="BJ429" t="s">
        <v>74</v>
      </c>
      <c r="BK429" t="s">
        <v>74</v>
      </c>
      <c r="BL429" t="s">
        <v>74</v>
      </c>
      <c r="BM429" t="s">
        <v>74</v>
      </c>
      <c r="BN429" t="s">
        <v>74</v>
      </c>
      <c r="BO429" t="s">
        <v>74</v>
      </c>
      <c r="BP429" t="s">
        <v>74</v>
      </c>
      <c r="BQ429" t="s">
        <v>74</v>
      </c>
      <c r="BR429" t="s">
        <v>74</v>
      </c>
      <c r="BS429" t="s">
        <v>3829</v>
      </c>
      <c r="BT429" t="str">
        <f>HYPERLINK("https%3A%2F%2Fwww.webofscience.com%2Fwos%2Fwoscc%2Ffull-record%2FWOS:000884749000006","View Full Record in Web of Science")</f>
        <v>View Full Record in Web of Science</v>
      </c>
    </row>
    <row r="430" spans="1:72" x14ac:dyDescent="0.2">
      <c r="A430" t="s">
        <v>72</v>
      </c>
      <c r="B430" t="s">
        <v>3830</v>
      </c>
      <c r="C430" t="s">
        <v>74</v>
      </c>
      <c r="D430" t="s">
        <v>74</v>
      </c>
      <c r="E430" t="s">
        <v>74</v>
      </c>
      <c r="F430" t="s">
        <v>3831</v>
      </c>
      <c r="G430" t="s">
        <v>74</v>
      </c>
      <c r="H430" t="s">
        <v>74</v>
      </c>
      <c r="I430" t="s">
        <v>3832</v>
      </c>
      <c r="J430" t="s">
        <v>528</v>
      </c>
      <c r="K430" t="s">
        <v>74</v>
      </c>
      <c r="L430" t="s">
        <v>74</v>
      </c>
      <c r="M430" t="s">
        <v>74</v>
      </c>
      <c r="N430" t="s">
        <v>74</v>
      </c>
      <c r="O430" t="s">
        <v>74</v>
      </c>
      <c r="P430" t="s">
        <v>74</v>
      </c>
      <c r="Q430" t="s">
        <v>74</v>
      </c>
      <c r="R430" t="s">
        <v>74</v>
      </c>
      <c r="S430" t="s">
        <v>74</v>
      </c>
      <c r="T430" t="s">
        <v>74</v>
      </c>
      <c r="U430" t="s">
        <v>74</v>
      </c>
      <c r="V430" t="s">
        <v>3833</v>
      </c>
      <c r="W430" t="s">
        <v>74</v>
      </c>
      <c r="X430" t="s">
        <v>74</v>
      </c>
      <c r="Y430" t="s">
        <v>74</v>
      </c>
      <c r="Z430" t="s">
        <v>74</v>
      </c>
      <c r="AA430" t="s">
        <v>3834</v>
      </c>
      <c r="AB430" t="s">
        <v>3835</v>
      </c>
      <c r="AC430" t="s">
        <v>74</v>
      </c>
      <c r="AD430" t="s">
        <v>74</v>
      </c>
      <c r="AE430" t="s">
        <v>74</v>
      </c>
      <c r="AF430" t="s">
        <v>74</v>
      </c>
      <c r="AG430" t="s">
        <v>74</v>
      </c>
      <c r="AH430" t="s">
        <v>74</v>
      </c>
      <c r="AI430" t="s">
        <v>74</v>
      </c>
      <c r="AJ430" t="s">
        <v>74</v>
      </c>
      <c r="AK430" t="s">
        <v>74</v>
      </c>
      <c r="AL430" t="s">
        <v>74</v>
      </c>
      <c r="AM430" t="s">
        <v>74</v>
      </c>
      <c r="AN430" t="s">
        <v>74</v>
      </c>
      <c r="AO430" t="s">
        <v>532</v>
      </c>
      <c r="AP430" t="s">
        <v>533</v>
      </c>
      <c r="AQ430" t="s">
        <v>74</v>
      </c>
      <c r="AR430" t="s">
        <v>74</v>
      </c>
      <c r="AS430" t="s">
        <v>74</v>
      </c>
      <c r="AT430" t="s">
        <v>3816</v>
      </c>
      <c r="AU430">
        <v>2022</v>
      </c>
      <c r="AV430">
        <v>14</v>
      </c>
      <c r="AW430">
        <v>26</v>
      </c>
      <c r="AX430" t="s">
        <v>74</v>
      </c>
      <c r="AY430" t="s">
        <v>74</v>
      </c>
      <c r="AZ430" t="s">
        <v>74</v>
      </c>
      <c r="BA430" t="s">
        <v>74</v>
      </c>
      <c r="BB430">
        <v>29878</v>
      </c>
      <c r="BC430">
        <v>29885</v>
      </c>
      <c r="BD430" t="s">
        <v>74</v>
      </c>
      <c r="BE430" t="s">
        <v>3836</v>
      </c>
      <c r="BF430" t="str">
        <f>HYPERLINK("http://dx.doi.org/10.1021/acsami.2c06700","http://dx.doi.org/10.1021/acsami.2c06700")</f>
        <v>http://dx.doi.org/10.1021/acsami.2c06700</v>
      </c>
      <c r="BG430" t="s">
        <v>74</v>
      </c>
      <c r="BH430" t="s">
        <v>3837</v>
      </c>
      <c r="BI430" t="s">
        <v>74</v>
      </c>
      <c r="BJ430" t="s">
        <v>74</v>
      </c>
      <c r="BK430" t="s">
        <v>74</v>
      </c>
      <c r="BL430" t="s">
        <v>74</v>
      </c>
      <c r="BM430" t="s">
        <v>74</v>
      </c>
      <c r="BN430">
        <v>35749281</v>
      </c>
      <c r="BO430" t="s">
        <v>74</v>
      </c>
      <c r="BP430" t="s">
        <v>74</v>
      </c>
      <c r="BQ430" t="s">
        <v>74</v>
      </c>
      <c r="BR430" t="s">
        <v>74</v>
      </c>
      <c r="BS430" t="s">
        <v>3838</v>
      </c>
      <c r="BT430" t="str">
        <f>HYPERLINK("https%3A%2F%2Fwww.webofscience.com%2Fwos%2Fwoscc%2Ffull-record%2FWOS:000821573100001","View Full Record in Web of Science")</f>
        <v>View Full Record in Web of Science</v>
      </c>
    </row>
    <row r="431" spans="1:72" x14ac:dyDescent="0.2">
      <c r="A431" t="s">
        <v>72</v>
      </c>
      <c r="B431" t="s">
        <v>3839</v>
      </c>
      <c r="C431" t="s">
        <v>74</v>
      </c>
      <c r="D431" t="s">
        <v>74</v>
      </c>
      <c r="E431" t="s">
        <v>74</v>
      </c>
      <c r="F431" t="s">
        <v>3840</v>
      </c>
      <c r="G431" t="s">
        <v>74</v>
      </c>
      <c r="H431" t="s">
        <v>74</v>
      </c>
      <c r="I431" t="s">
        <v>3841</v>
      </c>
      <c r="J431" t="s">
        <v>231</v>
      </c>
      <c r="K431" t="s">
        <v>74</v>
      </c>
      <c r="L431" t="s">
        <v>74</v>
      </c>
      <c r="M431" t="s">
        <v>74</v>
      </c>
      <c r="N431" t="s">
        <v>74</v>
      </c>
      <c r="O431" t="s">
        <v>74</v>
      </c>
      <c r="P431" t="s">
        <v>74</v>
      </c>
      <c r="Q431" t="s">
        <v>74</v>
      </c>
      <c r="R431" t="s">
        <v>74</v>
      </c>
      <c r="S431" t="s">
        <v>74</v>
      </c>
      <c r="T431" t="s">
        <v>74</v>
      </c>
      <c r="U431" t="s">
        <v>74</v>
      </c>
      <c r="V431" t="s">
        <v>3842</v>
      </c>
      <c r="W431" t="s">
        <v>74</v>
      </c>
      <c r="X431" t="s">
        <v>74</v>
      </c>
      <c r="Y431" t="s">
        <v>74</v>
      </c>
      <c r="Z431" t="s">
        <v>74</v>
      </c>
      <c r="AA431" t="s">
        <v>74</v>
      </c>
      <c r="AB431" t="s">
        <v>3843</v>
      </c>
      <c r="AC431" t="s">
        <v>74</v>
      </c>
      <c r="AD431" t="s">
        <v>74</v>
      </c>
      <c r="AE431" t="s">
        <v>74</v>
      </c>
      <c r="AF431" t="s">
        <v>74</v>
      </c>
      <c r="AG431" t="s">
        <v>74</v>
      </c>
      <c r="AH431" t="s">
        <v>74</v>
      </c>
      <c r="AI431" t="s">
        <v>74</v>
      </c>
      <c r="AJ431" t="s">
        <v>74</v>
      </c>
      <c r="AK431" t="s">
        <v>74</v>
      </c>
      <c r="AL431" t="s">
        <v>74</v>
      </c>
      <c r="AM431" t="s">
        <v>74</v>
      </c>
      <c r="AN431" t="s">
        <v>74</v>
      </c>
      <c r="AO431" t="s">
        <v>74</v>
      </c>
      <c r="AP431" t="s">
        <v>234</v>
      </c>
      <c r="AQ431" t="s">
        <v>74</v>
      </c>
      <c r="AR431" t="s">
        <v>74</v>
      </c>
      <c r="AS431" t="s">
        <v>74</v>
      </c>
      <c r="AT431" t="s">
        <v>3844</v>
      </c>
      <c r="AU431">
        <v>2022</v>
      </c>
      <c r="AV431">
        <v>61</v>
      </c>
      <c r="AW431">
        <v>32</v>
      </c>
      <c r="AX431" t="s">
        <v>74</v>
      </c>
      <c r="AY431" t="s">
        <v>74</v>
      </c>
      <c r="AZ431" t="s">
        <v>74</v>
      </c>
      <c r="BA431" t="s">
        <v>74</v>
      </c>
      <c r="BB431" t="s">
        <v>74</v>
      </c>
      <c r="BC431" t="s">
        <v>74</v>
      </c>
      <c r="BD431" t="s">
        <v>3845</v>
      </c>
      <c r="BE431" t="s">
        <v>3846</v>
      </c>
      <c r="BF431" t="str">
        <f>HYPERLINK("http://dx.doi.org/10.1002/anie.202203484","http://dx.doi.org/10.1002/anie.202203484")</f>
        <v>http://dx.doi.org/10.1002/anie.202203484</v>
      </c>
      <c r="BG431" t="s">
        <v>74</v>
      </c>
      <c r="BH431" t="s">
        <v>3837</v>
      </c>
      <c r="BI431" t="s">
        <v>74</v>
      </c>
      <c r="BJ431" t="s">
        <v>74</v>
      </c>
      <c r="BK431" t="s">
        <v>74</v>
      </c>
      <c r="BL431" t="s">
        <v>74</v>
      </c>
      <c r="BM431" t="s">
        <v>74</v>
      </c>
      <c r="BN431">
        <v>35662368</v>
      </c>
      <c r="BO431" t="s">
        <v>74</v>
      </c>
      <c r="BP431" t="s">
        <v>74</v>
      </c>
      <c r="BQ431" t="s">
        <v>74</v>
      </c>
      <c r="BR431" t="s">
        <v>74</v>
      </c>
      <c r="BS431" t="s">
        <v>3847</v>
      </c>
      <c r="BT431" t="str">
        <f>HYPERLINK("https%3A%2F%2Fwww.webofscience.com%2Fwos%2Fwoscc%2Ffull-record%2FWOS:000813878100001","View Full Record in Web of Science")</f>
        <v>View Full Record in Web of Science</v>
      </c>
    </row>
    <row r="432" spans="1:72" x14ac:dyDescent="0.2">
      <c r="A432" t="s">
        <v>72</v>
      </c>
      <c r="B432" t="s">
        <v>3848</v>
      </c>
      <c r="C432" t="s">
        <v>74</v>
      </c>
      <c r="D432" t="s">
        <v>74</v>
      </c>
      <c r="E432" t="s">
        <v>74</v>
      </c>
      <c r="F432" t="s">
        <v>3849</v>
      </c>
      <c r="G432" t="s">
        <v>74</v>
      </c>
      <c r="H432" t="s">
        <v>74</v>
      </c>
      <c r="I432" t="s">
        <v>3850</v>
      </c>
      <c r="J432" t="s">
        <v>654</v>
      </c>
      <c r="K432" t="s">
        <v>74</v>
      </c>
      <c r="L432" t="s">
        <v>74</v>
      </c>
      <c r="M432" t="s">
        <v>74</v>
      </c>
      <c r="N432" t="s">
        <v>74</v>
      </c>
      <c r="O432" t="s">
        <v>74</v>
      </c>
      <c r="P432" t="s">
        <v>74</v>
      </c>
      <c r="Q432" t="s">
        <v>74</v>
      </c>
      <c r="R432" t="s">
        <v>74</v>
      </c>
      <c r="S432" t="s">
        <v>74</v>
      </c>
      <c r="T432" t="s">
        <v>74</v>
      </c>
      <c r="U432" t="s">
        <v>74</v>
      </c>
      <c r="V432" t="s">
        <v>3851</v>
      </c>
      <c r="W432" t="s">
        <v>74</v>
      </c>
      <c r="X432" t="s">
        <v>74</v>
      </c>
      <c r="Y432" t="s">
        <v>74</v>
      </c>
      <c r="Z432" t="s">
        <v>74</v>
      </c>
      <c r="AA432" t="s">
        <v>3852</v>
      </c>
      <c r="AB432" t="s">
        <v>3853</v>
      </c>
      <c r="AC432" t="s">
        <v>74</v>
      </c>
      <c r="AD432" t="s">
        <v>74</v>
      </c>
      <c r="AE432" t="s">
        <v>74</v>
      </c>
      <c r="AF432" t="s">
        <v>74</v>
      </c>
      <c r="AG432" t="s">
        <v>74</v>
      </c>
      <c r="AH432" t="s">
        <v>74</v>
      </c>
      <c r="AI432" t="s">
        <v>74</v>
      </c>
      <c r="AJ432" t="s">
        <v>74</v>
      </c>
      <c r="AK432" t="s">
        <v>74</v>
      </c>
      <c r="AL432" t="s">
        <v>74</v>
      </c>
      <c r="AM432" t="s">
        <v>74</v>
      </c>
      <c r="AN432" t="s">
        <v>74</v>
      </c>
      <c r="AO432" t="s">
        <v>657</v>
      </c>
      <c r="AP432" t="s">
        <v>658</v>
      </c>
      <c r="AQ432" t="s">
        <v>74</v>
      </c>
      <c r="AR432" t="s">
        <v>74</v>
      </c>
      <c r="AS432" t="s">
        <v>74</v>
      </c>
      <c r="AT432" t="s">
        <v>3854</v>
      </c>
      <c r="AU432">
        <v>2022</v>
      </c>
      <c r="AV432" t="s">
        <v>74</v>
      </c>
      <c r="AW432" t="s">
        <v>74</v>
      </c>
      <c r="AX432" t="s">
        <v>74</v>
      </c>
      <c r="AY432" t="s">
        <v>74</v>
      </c>
      <c r="AZ432" t="s">
        <v>74</v>
      </c>
      <c r="BA432" t="s">
        <v>74</v>
      </c>
      <c r="BB432" t="s">
        <v>74</v>
      </c>
      <c r="BC432" t="s">
        <v>74</v>
      </c>
      <c r="BD432" t="s">
        <v>74</v>
      </c>
      <c r="BE432" t="s">
        <v>3855</v>
      </c>
      <c r="BF432" t="str">
        <f>HYPERLINK("http://dx.doi.org/10.1021/acs.nanolett.2c01364","http://dx.doi.org/10.1021/acs.nanolett.2c01364")</f>
        <v>http://dx.doi.org/10.1021/acs.nanolett.2c01364</v>
      </c>
      <c r="BG432" t="s">
        <v>74</v>
      </c>
      <c r="BH432" t="s">
        <v>3837</v>
      </c>
      <c r="BI432" t="s">
        <v>74</v>
      </c>
      <c r="BJ432" t="s">
        <v>74</v>
      </c>
      <c r="BK432" t="s">
        <v>74</v>
      </c>
      <c r="BL432" t="s">
        <v>74</v>
      </c>
      <c r="BM432" t="s">
        <v>74</v>
      </c>
      <c r="BN432">
        <v>35727221</v>
      </c>
      <c r="BO432" t="s">
        <v>74</v>
      </c>
      <c r="BP432" t="s">
        <v>74</v>
      </c>
      <c r="BQ432" t="s">
        <v>74</v>
      </c>
      <c r="BR432" t="s">
        <v>74</v>
      </c>
      <c r="BS432" t="s">
        <v>3856</v>
      </c>
      <c r="BT432" t="str">
        <f>HYPERLINK("https%3A%2F%2Fwww.webofscience.com%2Fwos%2Fwoscc%2Ffull-record%2FWOS:000820324700001","View Full Record in Web of Science")</f>
        <v>View Full Record in Web of Science</v>
      </c>
    </row>
    <row r="433" spans="1:72" x14ac:dyDescent="0.2">
      <c r="A433" t="s">
        <v>72</v>
      </c>
      <c r="B433" t="s">
        <v>3857</v>
      </c>
      <c r="C433" t="s">
        <v>74</v>
      </c>
      <c r="D433" t="s">
        <v>74</v>
      </c>
      <c r="E433" t="s">
        <v>74</v>
      </c>
      <c r="F433" t="s">
        <v>3858</v>
      </c>
      <c r="G433" t="s">
        <v>74</v>
      </c>
      <c r="H433" t="s">
        <v>74</v>
      </c>
      <c r="I433" t="s">
        <v>3859</v>
      </c>
      <c r="J433" t="s">
        <v>1209</v>
      </c>
      <c r="K433" t="s">
        <v>74</v>
      </c>
      <c r="L433" t="s">
        <v>74</v>
      </c>
      <c r="M433" t="s">
        <v>74</v>
      </c>
      <c r="N433" t="s">
        <v>74</v>
      </c>
      <c r="O433" t="s">
        <v>74</v>
      </c>
      <c r="P433" t="s">
        <v>74</v>
      </c>
      <c r="Q433" t="s">
        <v>74</v>
      </c>
      <c r="R433" t="s">
        <v>74</v>
      </c>
      <c r="S433" t="s">
        <v>74</v>
      </c>
      <c r="T433" t="s">
        <v>74</v>
      </c>
      <c r="U433" t="s">
        <v>74</v>
      </c>
      <c r="V433" t="s">
        <v>3860</v>
      </c>
      <c r="W433" t="s">
        <v>74</v>
      </c>
      <c r="X433" t="s">
        <v>74</v>
      </c>
      <c r="Y433" t="s">
        <v>74</v>
      </c>
      <c r="Z433" t="s">
        <v>74</v>
      </c>
      <c r="AA433" t="s">
        <v>3861</v>
      </c>
      <c r="AB433" t="s">
        <v>3862</v>
      </c>
      <c r="AC433" t="s">
        <v>74</v>
      </c>
      <c r="AD433" t="s">
        <v>74</v>
      </c>
      <c r="AE433" t="s">
        <v>74</v>
      </c>
      <c r="AF433" t="s">
        <v>74</v>
      </c>
      <c r="AG433" t="s">
        <v>74</v>
      </c>
      <c r="AH433" t="s">
        <v>74</v>
      </c>
      <c r="AI433" t="s">
        <v>74</v>
      </c>
      <c r="AJ433" t="s">
        <v>74</v>
      </c>
      <c r="AK433" t="s">
        <v>74</v>
      </c>
      <c r="AL433" t="s">
        <v>74</v>
      </c>
      <c r="AM433" t="s">
        <v>74</v>
      </c>
      <c r="AN433" t="s">
        <v>74</v>
      </c>
      <c r="AO433" t="s">
        <v>1211</v>
      </c>
      <c r="AP433" t="s">
        <v>1212</v>
      </c>
      <c r="AQ433" t="s">
        <v>74</v>
      </c>
      <c r="AR433" t="s">
        <v>74</v>
      </c>
      <c r="AS433" t="s">
        <v>74</v>
      </c>
      <c r="AT433" t="s">
        <v>629</v>
      </c>
      <c r="AU433">
        <v>2022</v>
      </c>
      <c r="AV433">
        <v>28</v>
      </c>
      <c r="AW433">
        <v>8</v>
      </c>
      <c r="AX433" t="s">
        <v>74</v>
      </c>
      <c r="AY433" t="s">
        <v>74</v>
      </c>
      <c r="AZ433" t="s">
        <v>74</v>
      </c>
      <c r="BA433" t="s">
        <v>74</v>
      </c>
      <c r="BB433">
        <v>3635</v>
      </c>
      <c r="BC433">
        <v>3642</v>
      </c>
      <c r="BD433" t="s">
        <v>74</v>
      </c>
      <c r="BE433" t="s">
        <v>3863</v>
      </c>
      <c r="BF433" t="str">
        <f>HYPERLINK("http://dx.doi.org/10.1007/s11581-022-04640-1","http://dx.doi.org/10.1007/s11581-022-04640-1")</f>
        <v>http://dx.doi.org/10.1007/s11581-022-04640-1</v>
      </c>
      <c r="BG433" t="s">
        <v>74</v>
      </c>
      <c r="BH433" t="s">
        <v>3837</v>
      </c>
      <c r="BI433" t="s">
        <v>74</v>
      </c>
      <c r="BJ433" t="s">
        <v>74</v>
      </c>
      <c r="BK433" t="s">
        <v>74</v>
      </c>
      <c r="BL433" t="s">
        <v>74</v>
      </c>
      <c r="BM433" t="s">
        <v>74</v>
      </c>
      <c r="BN433" t="s">
        <v>74</v>
      </c>
      <c r="BO433" t="s">
        <v>74</v>
      </c>
      <c r="BP433" t="s">
        <v>74</v>
      </c>
      <c r="BQ433" t="s">
        <v>74</v>
      </c>
      <c r="BR433" t="s">
        <v>74</v>
      </c>
      <c r="BS433" t="s">
        <v>3864</v>
      </c>
      <c r="BT433" t="str">
        <f>HYPERLINK("https%3A%2F%2Fwww.webofscience.com%2Fwos%2Fwoscc%2Ffull-record%2FWOS:000812454500001","View Full Record in Web of Science")</f>
        <v>View Full Record in Web of Science</v>
      </c>
    </row>
    <row r="434" spans="1:72" x14ac:dyDescent="0.2">
      <c r="A434" t="s">
        <v>72</v>
      </c>
      <c r="B434" t="s">
        <v>3865</v>
      </c>
      <c r="C434" t="s">
        <v>74</v>
      </c>
      <c r="D434" t="s">
        <v>74</v>
      </c>
      <c r="E434" t="s">
        <v>74</v>
      </c>
      <c r="F434" t="s">
        <v>3866</v>
      </c>
      <c r="G434" t="s">
        <v>74</v>
      </c>
      <c r="H434" t="s">
        <v>74</v>
      </c>
      <c r="I434" t="s">
        <v>3867</v>
      </c>
      <c r="J434" t="s">
        <v>422</v>
      </c>
      <c r="K434" t="s">
        <v>74</v>
      </c>
      <c r="L434" t="s">
        <v>74</v>
      </c>
      <c r="M434" t="s">
        <v>74</v>
      </c>
      <c r="N434" t="s">
        <v>74</v>
      </c>
      <c r="O434" t="s">
        <v>74</v>
      </c>
      <c r="P434" t="s">
        <v>74</v>
      </c>
      <c r="Q434" t="s">
        <v>74</v>
      </c>
      <c r="R434" t="s">
        <v>74</v>
      </c>
      <c r="S434" t="s">
        <v>74</v>
      </c>
      <c r="T434" t="s">
        <v>74</v>
      </c>
      <c r="U434" t="s">
        <v>74</v>
      </c>
      <c r="V434" t="s">
        <v>3868</v>
      </c>
      <c r="W434" t="s">
        <v>74</v>
      </c>
      <c r="X434" t="s">
        <v>74</v>
      </c>
      <c r="Y434" t="s">
        <v>74</v>
      </c>
      <c r="Z434" t="s">
        <v>74</v>
      </c>
      <c r="AA434" t="s">
        <v>3869</v>
      </c>
      <c r="AB434" t="s">
        <v>3870</v>
      </c>
      <c r="AC434" t="s">
        <v>74</v>
      </c>
      <c r="AD434" t="s">
        <v>74</v>
      </c>
      <c r="AE434" t="s">
        <v>74</v>
      </c>
      <c r="AF434" t="s">
        <v>74</v>
      </c>
      <c r="AG434" t="s">
        <v>74</v>
      </c>
      <c r="AH434" t="s">
        <v>74</v>
      </c>
      <c r="AI434" t="s">
        <v>74</v>
      </c>
      <c r="AJ434" t="s">
        <v>74</v>
      </c>
      <c r="AK434" t="s">
        <v>74</v>
      </c>
      <c r="AL434" t="s">
        <v>74</v>
      </c>
      <c r="AM434" t="s">
        <v>74</v>
      </c>
      <c r="AN434" t="s">
        <v>74</v>
      </c>
      <c r="AO434" t="s">
        <v>426</v>
      </c>
      <c r="AP434" t="s">
        <v>74</v>
      </c>
      <c r="AQ434" t="s">
        <v>74</v>
      </c>
      <c r="AR434" t="s">
        <v>74</v>
      </c>
      <c r="AS434" t="s">
        <v>74</v>
      </c>
      <c r="AT434" t="s">
        <v>3871</v>
      </c>
      <c r="AU434">
        <v>2022</v>
      </c>
      <c r="AV434">
        <v>5</v>
      </c>
      <c r="AW434">
        <v>6</v>
      </c>
      <c r="AX434" t="s">
        <v>74</v>
      </c>
      <c r="AY434" t="s">
        <v>74</v>
      </c>
      <c r="AZ434" t="s">
        <v>74</v>
      </c>
      <c r="BA434" t="s">
        <v>74</v>
      </c>
      <c r="BB434">
        <v>6913</v>
      </c>
      <c r="BC434">
        <v>6926</v>
      </c>
      <c r="BD434" t="s">
        <v>74</v>
      </c>
      <c r="BE434" t="s">
        <v>3872</v>
      </c>
      <c r="BF434" t="str">
        <f>HYPERLINK("http://dx.doi.org/10.1021/acsaem.2c00533","http://dx.doi.org/10.1021/acsaem.2c00533")</f>
        <v>http://dx.doi.org/10.1021/acsaem.2c00533</v>
      </c>
      <c r="BG434" t="s">
        <v>74</v>
      </c>
      <c r="BH434" t="s">
        <v>3837</v>
      </c>
      <c r="BI434" t="s">
        <v>74</v>
      </c>
      <c r="BJ434" t="s">
        <v>74</v>
      </c>
      <c r="BK434" t="s">
        <v>74</v>
      </c>
      <c r="BL434" t="s">
        <v>74</v>
      </c>
      <c r="BM434" t="s">
        <v>74</v>
      </c>
      <c r="BN434" t="s">
        <v>74</v>
      </c>
      <c r="BO434" t="s">
        <v>74</v>
      </c>
      <c r="BP434" t="s">
        <v>74</v>
      </c>
      <c r="BQ434" t="s">
        <v>74</v>
      </c>
      <c r="BR434" t="s">
        <v>74</v>
      </c>
      <c r="BS434" t="s">
        <v>3873</v>
      </c>
      <c r="BT434" t="str">
        <f>HYPERLINK("https%3A%2F%2Fwww.webofscience.com%2Fwos%2Fwoscc%2Ffull-record%2FWOS:000819121400001","View Full Record in Web of Science")</f>
        <v>View Full Record in Web of Science</v>
      </c>
    </row>
    <row r="435" spans="1:72" x14ac:dyDescent="0.2">
      <c r="A435" t="s">
        <v>72</v>
      </c>
      <c r="B435" t="s">
        <v>3874</v>
      </c>
      <c r="C435" t="s">
        <v>74</v>
      </c>
      <c r="D435" t="s">
        <v>74</v>
      </c>
      <c r="E435" t="s">
        <v>74</v>
      </c>
      <c r="F435" t="s">
        <v>3875</v>
      </c>
      <c r="G435" t="s">
        <v>74</v>
      </c>
      <c r="H435" t="s">
        <v>74</v>
      </c>
      <c r="I435" t="s">
        <v>3876</v>
      </c>
      <c r="J435" t="s">
        <v>3877</v>
      </c>
      <c r="K435" t="s">
        <v>74</v>
      </c>
      <c r="L435" t="s">
        <v>74</v>
      </c>
      <c r="M435" t="s">
        <v>74</v>
      </c>
      <c r="N435" t="s">
        <v>74</v>
      </c>
      <c r="O435" t="s">
        <v>74</v>
      </c>
      <c r="P435" t="s">
        <v>74</v>
      </c>
      <c r="Q435" t="s">
        <v>74</v>
      </c>
      <c r="R435" t="s">
        <v>74</v>
      </c>
      <c r="S435" t="s">
        <v>74</v>
      </c>
      <c r="T435" t="s">
        <v>74</v>
      </c>
      <c r="U435" t="s">
        <v>74</v>
      </c>
      <c r="V435" t="s">
        <v>3878</v>
      </c>
      <c r="W435" t="s">
        <v>74</v>
      </c>
      <c r="X435" t="s">
        <v>74</v>
      </c>
      <c r="Y435" t="s">
        <v>74</v>
      </c>
      <c r="Z435" t="s">
        <v>74</v>
      </c>
      <c r="AA435" t="s">
        <v>3879</v>
      </c>
      <c r="AB435" t="s">
        <v>3880</v>
      </c>
      <c r="AC435" t="s">
        <v>74</v>
      </c>
      <c r="AD435" t="s">
        <v>74</v>
      </c>
      <c r="AE435" t="s">
        <v>74</v>
      </c>
      <c r="AF435" t="s">
        <v>74</v>
      </c>
      <c r="AG435" t="s">
        <v>74</v>
      </c>
      <c r="AH435" t="s">
        <v>74</v>
      </c>
      <c r="AI435" t="s">
        <v>74</v>
      </c>
      <c r="AJ435" t="s">
        <v>74</v>
      </c>
      <c r="AK435" t="s">
        <v>74</v>
      </c>
      <c r="AL435" t="s">
        <v>74</v>
      </c>
      <c r="AM435" t="s">
        <v>74</v>
      </c>
      <c r="AN435" t="s">
        <v>74</v>
      </c>
      <c r="AO435" t="s">
        <v>3881</v>
      </c>
      <c r="AP435" t="s">
        <v>74</v>
      </c>
      <c r="AQ435" t="s">
        <v>74</v>
      </c>
      <c r="AR435" t="s">
        <v>74</v>
      </c>
      <c r="AS435" t="s">
        <v>74</v>
      </c>
      <c r="AT435" t="s">
        <v>1972</v>
      </c>
      <c r="AU435">
        <v>2022</v>
      </c>
      <c r="AV435">
        <v>7</v>
      </c>
      <c r="AW435">
        <v>6</v>
      </c>
      <c r="AX435" t="s">
        <v>74</v>
      </c>
      <c r="AY435" t="s">
        <v>74</v>
      </c>
      <c r="AZ435" t="s">
        <v>74</v>
      </c>
      <c r="BA435" t="s">
        <v>74</v>
      </c>
      <c r="BB435">
        <v>511</v>
      </c>
      <c r="BC435">
        <v>519</v>
      </c>
      <c r="BD435" t="s">
        <v>74</v>
      </c>
      <c r="BE435" t="s">
        <v>3882</v>
      </c>
      <c r="BF435" t="str">
        <f>HYPERLINK("http://dx.doi.org/10.1038/s41560-022-01033-6","http://dx.doi.org/10.1038/s41560-022-01033-6")</f>
        <v>http://dx.doi.org/10.1038/s41560-022-01033-6</v>
      </c>
      <c r="BG435" t="s">
        <v>74</v>
      </c>
      <c r="BH435" t="s">
        <v>3837</v>
      </c>
      <c r="BI435" t="s">
        <v>74</v>
      </c>
      <c r="BJ435" t="s">
        <v>74</v>
      </c>
      <c r="BK435" t="s">
        <v>74</v>
      </c>
      <c r="BL435" t="s">
        <v>74</v>
      </c>
      <c r="BM435" t="s">
        <v>74</v>
      </c>
      <c r="BN435" t="s">
        <v>74</v>
      </c>
      <c r="BO435" t="s">
        <v>74</v>
      </c>
      <c r="BP435" t="s">
        <v>74</v>
      </c>
      <c r="BQ435" t="s">
        <v>74</v>
      </c>
      <c r="BR435" t="s">
        <v>74</v>
      </c>
      <c r="BS435" t="s">
        <v>3883</v>
      </c>
      <c r="BT435" t="str">
        <f>HYPERLINK("https%3A%2F%2Fwww.webofscience.com%2Fwos%2Fwoscc%2Ffull-record%2FWOS:000805082400005","View Full Record in Web of Science")</f>
        <v>View Full Record in Web of Science</v>
      </c>
    </row>
    <row r="436" spans="1:72" x14ac:dyDescent="0.2">
      <c r="A436" t="s">
        <v>72</v>
      </c>
      <c r="B436" t="s">
        <v>3884</v>
      </c>
      <c r="C436" t="s">
        <v>74</v>
      </c>
      <c r="D436" t="s">
        <v>74</v>
      </c>
      <c r="E436" t="s">
        <v>74</v>
      </c>
      <c r="F436" t="s">
        <v>3885</v>
      </c>
      <c r="G436" t="s">
        <v>74</v>
      </c>
      <c r="H436" t="s">
        <v>74</v>
      </c>
      <c r="I436" t="s">
        <v>3886</v>
      </c>
      <c r="J436" t="s">
        <v>3887</v>
      </c>
      <c r="K436" t="s">
        <v>74</v>
      </c>
      <c r="L436" t="s">
        <v>74</v>
      </c>
      <c r="M436" t="s">
        <v>74</v>
      </c>
      <c r="N436" t="s">
        <v>74</v>
      </c>
      <c r="O436" t="s">
        <v>74</v>
      </c>
      <c r="P436" t="s">
        <v>74</v>
      </c>
      <c r="Q436" t="s">
        <v>74</v>
      </c>
      <c r="R436" t="s">
        <v>74</v>
      </c>
      <c r="S436" t="s">
        <v>74</v>
      </c>
      <c r="T436" t="s">
        <v>74</v>
      </c>
      <c r="U436" t="s">
        <v>74</v>
      </c>
      <c r="V436" t="s">
        <v>3888</v>
      </c>
      <c r="W436" t="s">
        <v>74</v>
      </c>
      <c r="X436" t="s">
        <v>74</v>
      </c>
      <c r="Y436" t="s">
        <v>74</v>
      </c>
      <c r="Z436" t="s">
        <v>74</v>
      </c>
      <c r="AA436" t="s">
        <v>3889</v>
      </c>
      <c r="AB436" t="s">
        <v>3890</v>
      </c>
      <c r="AC436" t="s">
        <v>74</v>
      </c>
      <c r="AD436" t="s">
        <v>74</v>
      </c>
      <c r="AE436" t="s">
        <v>74</v>
      </c>
      <c r="AF436" t="s">
        <v>74</v>
      </c>
      <c r="AG436" t="s">
        <v>74</v>
      </c>
      <c r="AH436" t="s">
        <v>74</v>
      </c>
      <c r="AI436" t="s">
        <v>74</v>
      </c>
      <c r="AJ436" t="s">
        <v>74</v>
      </c>
      <c r="AK436" t="s">
        <v>74</v>
      </c>
      <c r="AL436" t="s">
        <v>74</v>
      </c>
      <c r="AM436" t="s">
        <v>74</v>
      </c>
      <c r="AN436" t="s">
        <v>74</v>
      </c>
      <c r="AO436" t="s">
        <v>3891</v>
      </c>
      <c r="AP436" t="s">
        <v>3892</v>
      </c>
      <c r="AQ436" t="s">
        <v>74</v>
      </c>
      <c r="AR436" t="s">
        <v>74</v>
      </c>
      <c r="AS436" t="s">
        <v>74</v>
      </c>
      <c r="AT436" t="s">
        <v>629</v>
      </c>
      <c r="AU436">
        <v>2022</v>
      </c>
      <c r="AV436">
        <v>1214</v>
      </c>
      <c r="AW436" t="s">
        <v>74</v>
      </c>
      <c r="AX436" t="s">
        <v>74</v>
      </c>
      <c r="AY436" t="s">
        <v>74</v>
      </c>
      <c r="AZ436" t="s">
        <v>74</v>
      </c>
      <c r="BA436" t="s">
        <v>74</v>
      </c>
      <c r="BB436" t="s">
        <v>74</v>
      </c>
      <c r="BC436" t="s">
        <v>74</v>
      </c>
      <c r="BD436">
        <v>113757</v>
      </c>
      <c r="BE436" t="s">
        <v>3893</v>
      </c>
      <c r="BF436" t="str">
        <f>HYPERLINK("http://dx.doi.org/10.1016/j.comptc.2022.113757","http://dx.doi.org/10.1016/j.comptc.2022.113757")</f>
        <v>http://dx.doi.org/10.1016/j.comptc.2022.113757</v>
      </c>
      <c r="BG436" t="s">
        <v>74</v>
      </c>
      <c r="BH436" t="s">
        <v>3837</v>
      </c>
      <c r="BI436" t="s">
        <v>74</v>
      </c>
      <c r="BJ436" t="s">
        <v>74</v>
      </c>
      <c r="BK436" t="s">
        <v>74</v>
      </c>
      <c r="BL436" t="s">
        <v>74</v>
      </c>
      <c r="BM436" t="s">
        <v>74</v>
      </c>
      <c r="BN436" t="s">
        <v>74</v>
      </c>
      <c r="BO436" t="s">
        <v>74</v>
      </c>
      <c r="BP436" t="s">
        <v>74</v>
      </c>
      <c r="BQ436" t="s">
        <v>74</v>
      </c>
      <c r="BR436" t="s">
        <v>74</v>
      </c>
      <c r="BS436" t="s">
        <v>3894</v>
      </c>
      <c r="BT436" t="str">
        <f>HYPERLINK("https%3A%2F%2Fwww.webofscience.com%2Fwos%2Fwoscc%2Ffull-record%2FWOS:000813017900005","View Full Record in Web of Science")</f>
        <v>View Full Record in Web of Science</v>
      </c>
    </row>
    <row r="437" spans="1:72" x14ac:dyDescent="0.2">
      <c r="A437" t="s">
        <v>72</v>
      </c>
      <c r="B437" t="s">
        <v>3895</v>
      </c>
      <c r="C437" t="s">
        <v>74</v>
      </c>
      <c r="D437" t="s">
        <v>74</v>
      </c>
      <c r="E437" t="s">
        <v>74</v>
      </c>
      <c r="F437" t="s">
        <v>3896</v>
      </c>
      <c r="G437" t="s">
        <v>74</v>
      </c>
      <c r="H437" t="s">
        <v>74</v>
      </c>
      <c r="I437" t="s">
        <v>3897</v>
      </c>
      <c r="J437" t="s">
        <v>1273</v>
      </c>
      <c r="K437" t="s">
        <v>74</v>
      </c>
      <c r="L437" t="s">
        <v>74</v>
      </c>
      <c r="M437" t="s">
        <v>74</v>
      </c>
      <c r="N437" t="s">
        <v>74</v>
      </c>
      <c r="O437" t="s">
        <v>74</v>
      </c>
      <c r="P437" t="s">
        <v>74</v>
      </c>
      <c r="Q437" t="s">
        <v>74</v>
      </c>
      <c r="R437" t="s">
        <v>74</v>
      </c>
      <c r="S437" t="s">
        <v>74</v>
      </c>
      <c r="T437" t="s">
        <v>74</v>
      </c>
      <c r="U437" t="s">
        <v>74</v>
      </c>
      <c r="V437" t="s">
        <v>3898</v>
      </c>
      <c r="W437" t="s">
        <v>74</v>
      </c>
      <c r="X437" t="s">
        <v>74</v>
      </c>
      <c r="Y437" t="s">
        <v>74</v>
      </c>
      <c r="Z437" t="s">
        <v>74</v>
      </c>
      <c r="AA437" t="s">
        <v>3899</v>
      </c>
      <c r="AB437" t="s">
        <v>3900</v>
      </c>
      <c r="AC437" t="s">
        <v>74</v>
      </c>
      <c r="AD437" t="s">
        <v>74</v>
      </c>
      <c r="AE437" t="s">
        <v>74</v>
      </c>
      <c r="AF437" t="s">
        <v>74</v>
      </c>
      <c r="AG437" t="s">
        <v>74</v>
      </c>
      <c r="AH437" t="s">
        <v>74</v>
      </c>
      <c r="AI437" t="s">
        <v>74</v>
      </c>
      <c r="AJ437" t="s">
        <v>74</v>
      </c>
      <c r="AK437" t="s">
        <v>74</v>
      </c>
      <c r="AL437" t="s">
        <v>74</v>
      </c>
      <c r="AM437" t="s">
        <v>74</v>
      </c>
      <c r="AN437" t="s">
        <v>74</v>
      </c>
      <c r="AO437" t="s">
        <v>1277</v>
      </c>
      <c r="AP437" t="s">
        <v>1278</v>
      </c>
      <c r="AQ437" t="s">
        <v>74</v>
      </c>
      <c r="AR437" t="s">
        <v>74</v>
      </c>
      <c r="AS437" t="s">
        <v>74</v>
      </c>
      <c r="AT437" t="s">
        <v>3901</v>
      </c>
      <c r="AU437">
        <v>2022</v>
      </c>
      <c r="AV437">
        <v>34</v>
      </c>
      <c r="AW437">
        <v>10</v>
      </c>
      <c r="AX437" t="s">
        <v>74</v>
      </c>
      <c r="AY437" t="s">
        <v>74</v>
      </c>
      <c r="AZ437" t="s">
        <v>74</v>
      </c>
      <c r="BA437" t="s">
        <v>74</v>
      </c>
      <c r="BB437">
        <v>4587</v>
      </c>
      <c r="BC437">
        <v>4601</v>
      </c>
      <c r="BD437" t="s">
        <v>74</v>
      </c>
      <c r="BE437" t="s">
        <v>3902</v>
      </c>
      <c r="BF437" t="str">
        <f>HYPERLINK("http://dx.doi.org/10.1021/acs.chemmater.2c00435","http://dx.doi.org/10.1021/acs.chemmater.2c00435")</f>
        <v>http://dx.doi.org/10.1021/acs.chemmater.2c00435</v>
      </c>
      <c r="BG437" t="s">
        <v>74</v>
      </c>
      <c r="BH437" t="s">
        <v>74</v>
      </c>
      <c r="BI437" t="s">
        <v>74</v>
      </c>
      <c r="BJ437" t="s">
        <v>74</v>
      </c>
      <c r="BK437" t="s">
        <v>74</v>
      </c>
      <c r="BL437" t="s">
        <v>74</v>
      </c>
      <c r="BM437" t="s">
        <v>74</v>
      </c>
      <c r="BN437" t="s">
        <v>74</v>
      </c>
      <c r="BO437" t="s">
        <v>74</v>
      </c>
      <c r="BP437" t="s">
        <v>74</v>
      </c>
      <c r="BQ437" t="s">
        <v>74</v>
      </c>
      <c r="BR437" t="s">
        <v>74</v>
      </c>
      <c r="BS437" t="s">
        <v>3903</v>
      </c>
      <c r="BT437" t="str">
        <f>HYPERLINK("https%3A%2F%2Fwww.webofscience.com%2Fwos%2Fwoscc%2Ffull-record%2FWOS:000805874800033","View Full Record in Web of Science")</f>
        <v>View Full Record in Web of Science</v>
      </c>
    </row>
    <row r="438" spans="1:72" x14ac:dyDescent="0.2">
      <c r="A438" t="s">
        <v>72</v>
      </c>
      <c r="B438" t="s">
        <v>3904</v>
      </c>
      <c r="C438" t="s">
        <v>74</v>
      </c>
      <c r="D438" t="s">
        <v>74</v>
      </c>
      <c r="E438" t="s">
        <v>74</v>
      </c>
      <c r="F438" t="s">
        <v>3905</v>
      </c>
      <c r="G438" t="s">
        <v>74</v>
      </c>
      <c r="H438" t="s">
        <v>74</v>
      </c>
      <c r="I438" t="s">
        <v>3906</v>
      </c>
      <c r="J438" t="s">
        <v>161</v>
      </c>
      <c r="K438" t="s">
        <v>74</v>
      </c>
      <c r="L438" t="s">
        <v>74</v>
      </c>
      <c r="M438" t="s">
        <v>74</v>
      </c>
      <c r="N438" t="s">
        <v>74</v>
      </c>
      <c r="O438" t="s">
        <v>74</v>
      </c>
      <c r="P438" t="s">
        <v>74</v>
      </c>
      <c r="Q438" t="s">
        <v>74</v>
      </c>
      <c r="R438" t="s">
        <v>74</v>
      </c>
      <c r="S438" t="s">
        <v>74</v>
      </c>
      <c r="T438" t="s">
        <v>74</v>
      </c>
      <c r="U438" t="s">
        <v>74</v>
      </c>
      <c r="V438" t="s">
        <v>3907</v>
      </c>
      <c r="W438" t="s">
        <v>74</v>
      </c>
      <c r="X438" t="s">
        <v>74</v>
      </c>
      <c r="Y438" t="s">
        <v>74</v>
      </c>
      <c r="Z438" t="s">
        <v>74</v>
      </c>
      <c r="AA438" t="s">
        <v>3908</v>
      </c>
      <c r="AB438" t="s">
        <v>3909</v>
      </c>
      <c r="AC438" t="s">
        <v>74</v>
      </c>
      <c r="AD438" t="s">
        <v>74</v>
      </c>
      <c r="AE438" t="s">
        <v>74</v>
      </c>
      <c r="AF438" t="s">
        <v>74</v>
      </c>
      <c r="AG438" t="s">
        <v>74</v>
      </c>
      <c r="AH438" t="s">
        <v>74</v>
      </c>
      <c r="AI438" t="s">
        <v>74</v>
      </c>
      <c r="AJ438" t="s">
        <v>74</v>
      </c>
      <c r="AK438" t="s">
        <v>74</v>
      </c>
      <c r="AL438" t="s">
        <v>74</v>
      </c>
      <c r="AM438" t="s">
        <v>74</v>
      </c>
      <c r="AN438" t="s">
        <v>74</v>
      </c>
      <c r="AO438" t="s">
        <v>163</v>
      </c>
      <c r="AP438" t="s">
        <v>164</v>
      </c>
      <c r="AQ438" t="s">
        <v>74</v>
      </c>
      <c r="AR438" t="s">
        <v>74</v>
      </c>
      <c r="AS438" t="s">
        <v>74</v>
      </c>
      <c r="AT438" t="s">
        <v>103</v>
      </c>
      <c r="AU438">
        <v>2022</v>
      </c>
      <c r="AV438">
        <v>446</v>
      </c>
      <c r="AW438" t="s">
        <v>74</v>
      </c>
      <c r="AX438">
        <v>2</v>
      </c>
      <c r="AY438" t="s">
        <v>74</v>
      </c>
      <c r="AZ438" t="s">
        <v>74</v>
      </c>
      <c r="BA438" t="s">
        <v>74</v>
      </c>
      <c r="BB438" t="s">
        <v>74</v>
      </c>
      <c r="BC438" t="s">
        <v>74</v>
      </c>
      <c r="BD438">
        <v>137035</v>
      </c>
      <c r="BE438" t="s">
        <v>3910</v>
      </c>
      <c r="BF438" t="str">
        <f>HYPERLINK("http://dx.doi.org/10.1016/j.cej.2022.137035","http://dx.doi.org/10.1016/j.cej.2022.137035")</f>
        <v>http://dx.doi.org/10.1016/j.cej.2022.137035</v>
      </c>
      <c r="BG438" t="s">
        <v>74</v>
      </c>
      <c r="BH438" t="s">
        <v>3911</v>
      </c>
      <c r="BI438" t="s">
        <v>74</v>
      </c>
      <c r="BJ438" t="s">
        <v>74</v>
      </c>
      <c r="BK438" t="s">
        <v>74</v>
      </c>
      <c r="BL438" t="s">
        <v>74</v>
      </c>
      <c r="BM438" t="s">
        <v>74</v>
      </c>
      <c r="BN438" t="s">
        <v>74</v>
      </c>
      <c r="BO438" t="s">
        <v>74</v>
      </c>
      <c r="BP438" t="s">
        <v>74</v>
      </c>
      <c r="BQ438" t="s">
        <v>74</v>
      </c>
      <c r="BR438" t="s">
        <v>74</v>
      </c>
      <c r="BS438" t="s">
        <v>3912</v>
      </c>
      <c r="BT438" t="str">
        <f>HYPERLINK("https%3A%2F%2Fwww.webofscience.com%2Fwos%2Fwoscc%2Ffull-record%2FWOS:000806756200004","View Full Record in Web of Science")</f>
        <v>View Full Record in Web of Science</v>
      </c>
    </row>
    <row r="439" spans="1:72" x14ac:dyDescent="0.2">
      <c r="A439" t="s">
        <v>72</v>
      </c>
      <c r="B439" t="s">
        <v>3913</v>
      </c>
      <c r="C439" t="s">
        <v>74</v>
      </c>
      <c r="D439" t="s">
        <v>74</v>
      </c>
      <c r="E439" t="s">
        <v>74</v>
      </c>
      <c r="F439" t="s">
        <v>3914</v>
      </c>
      <c r="G439" t="s">
        <v>74</v>
      </c>
      <c r="H439" t="s">
        <v>74</v>
      </c>
      <c r="I439" t="s">
        <v>3915</v>
      </c>
      <c r="J439" t="s">
        <v>3812</v>
      </c>
      <c r="K439" t="s">
        <v>74</v>
      </c>
      <c r="L439" t="s">
        <v>74</v>
      </c>
      <c r="M439" t="s">
        <v>74</v>
      </c>
      <c r="N439" t="s">
        <v>74</v>
      </c>
      <c r="O439" t="s">
        <v>74</v>
      </c>
      <c r="P439" t="s">
        <v>74</v>
      </c>
      <c r="Q439" t="s">
        <v>74</v>
      </c>
      <c r="R439" t="s">
        <v>74</v>
      </c>
      <c r="S439" t="s">
        <v>74</v>
      </c>
      <c r="T439" t="s">
        <v>74</v>
      </c>
      <c r="U439" t="s">
        <v>74</v>
      </c>
      <c r="V439" t="s">
        <v>3916</v>
      </c>
      <c r="W439" t="s">
        <v>74</v>
      </c>
      <c r="X439" t="s">
        <v>74</v>
      </c>
      <c r="Y439" t="s">
        <v>74</v>
      </c>
      <c r="Z439" t="s">
        <v>74</v>
      </c>
      <c r="AA439" t="s">
        <v>3917</v>
      </c>
      <c r="AB439" t="s">
        <v>3918</v>
      </c>
      <c r="AC439" t="s">
        <v>74</v>
      </c>
      <c r="AD439" t="s">
        <v>74</v>
      </c>
      <c r="AE439" t="s">
        <v>74</v>
      </c>
      <c r="AF439" t="s">
        <v>74</v>
      </c>
      <c r="AG439" t="s">
        <v>74</v>
      </c>
      <c r="AH439" t="s">
        <v>74</v>
      </c>
      <c r="AI439" t="s">
        <v>74</v>
      </c>
      <c r="AJ439" t="s">
        <v>74</v>
      </c>
      <c r="AK439" t="s">
        <v>74</v>
      </c>
      <c r="AL439" t="s">
        <v>74</v>
      </c>
      <c r="AM439" t="s">
        <v>74</v>
      </c>
      <c r="AN439" t="s">
        <v>74</v>
      </c>
      <c r="AO439" t="s">
        <v>3815</v>
      </c>
      <c r="AP439" t="s">
        <v>74</v>
      </c>
      <c r="AQ439" t="s">
        <v>74</v>
      </c>
      <c r="AR439" t="s">
        <v>74</v>
      </c>
      <c r="AS439" t="s">
        <v>74</v>
      </c>
      <c r="AT439" t="s">
        <v>901</v>
      </c>
      <c r="AU439">
        <v>2022</v>
      </c>
      <c r="AV439">
        <v>10</v>
      </c>
      <c r="AW439" t="s">
        <v>74</v>
      </c>
      <c r="AX439" t="s">
        <v>74</v>
      </c>
      <c r="AY439" t="s">
        <v>74</v>
      </c>
      <c r="AZ439" t="s">
        <v>74</v>
      </c>
      <c r="BA439" t="s">
        <v>74</v>
      </c>
      <c r="BB439" t="s">
        <v>74</v>
      </c>
      <c r="BC439" t="s">
        <v>74</v>
      </c>
      <c r="BD439">
        <v>924127</v>
      </c>
      <c r="BE439" t="s">
        <v>3919</v>
      </c>
      <c r="BF439" t="str">
        <f>HYPERLINK("http://dx.doi.org/10.3389/fchem.2022.924127","http://dx.doi.org/10.3389/fchem.2022.924127")</f>
        <v>http://dx.doi.org/10.3389/fchem.2022.924127</v>
      </c>
      <c r="BG439" t="s">
        <v>74</v>
      </c>
      <c r="BH439" t="s">
        <v>74</v>
      </c>
      <c r="BI439" t="s">
        <v>74</v>
      </c>
      <c r="BJ439" t="s">
        <v>74</v>
      </c>
      <c r="BK439" t="s">
        <v>74</v>
      </c>
      <c r="BL439" t="s">
        <v>74</v>
      </c>
      <c r="BM439" t="s">
        <v>74</v>
      </c>
      <c r="BN439">
        <v>35668830</v>
      </c>
      <c r="BO439" t="s">
        <v>74</v>
      </c>
      <c r="BP439" t="s">
        <v>74</v>
      </c>
      <c r="BQ439" t="s">
        <v>74</v>
      </c>
      <c r="BR439" t="s">
        <v>74</v>
      </c>
      <c r="BS439" t="s">
        <v>3920</v>
      </c>
      <c r="BT439" t="str">
        <f>HYPERLINK("https%3A%2F%2Fwww.webofscience.com%2Fwos%2Fwoscc%2Ffull-record%2FWOS:000806092200001","View Full Record in Web of Science")</f>
        <v>View Full Record in Web of Science</v>
      </c>
    </row>
    <row r="440" spans="1:72" x14ac:dyDescent="0.2">
      <c r="A440" t="s">
        <v>72</v>
      </c>
      <c r="B440" t="s">
        <v>3921</v>
      </c>
      <c r="C440" t="s">
        <v>74</v>
      </c>
      <c r="D440" t="s">
        <v>74</v>
      </c>
      <c r="E440" t="s">
        <v>74</v>
      </c>
      <c r="F440" t="s">
        <v>3922</v>
      </c>
      <c r="G440" t="s">
        <v>74</v>
      </c>
      <c r="H440" t="s">
        <v>74</v>
      </c>
      <c r="I440" t="s">
        <v>3923</v>
      </c>
      <c r="J440" t="s">
        <v>3924</v>
      </c>
      <c r="K440" t="s">
        <v>74</v>
      </c>
      <c r="L440" t="s">
        <v>74</v>
      </c>
      <c r="M440" t="s">
        <v>74</v>
      </c>
      <c r="N440" t="s">
        <v>74</v>
      </c>
      <c r="O440" t="s">
        <v>74</v>
      </c>
      <c r="P440" t="s">
        <v>74</v>
      </c>
      <c r="Q440" t="s">
        <v>74</v>
      </c>
      <c r="R440" t="s">
        <v>74</v>
      </c>
      <c r="S440" t="s">
        <v>74</v>
      </c>
      <c r="T440" t="s">
        <v>74</v>
      </c>
      <c r="U440" t="s">
        <v>74</v>
      </c>
      <c r="V440" t="s">
        <v>3925</v>
      </c>
      <c r="W440" t="s">
        <v>74</v>
      </c>
      <c r="X440" t="s">
        <v>74</v>
      </c>
      <c r="Y440" t="s">
        <v>74</v>
      </c>
      <c r="Z440" t="s">
        <v>74</v>
      </c>
      <c r="AA440" t="s">
        <v>3926</v>
      </c>
      <c r="AB440" t="s">
        <v>74</v>
      </c>
      <c r="AC440" t="s">
        <v>74</v>
      </c>
      <c r="AD440" t="s">
        <v>74</v>
      </c>
      <c r="AE440" t="s">
        <v>74</v>
      </c>
      <c r="AF440" t="s">
        <v>74</v>
      </c>
      <c r="AG440" t="s">
        <v>74</v>
      </c>
      <c r="AH440" t="s">
        <v>74</v>
      </c>
      <c r="AI440" t="s">
        <v>74</v>
      </c>
      <c r="AJ440" t="s">
        <v>74</v>
      </c>
      <c r="AK440" t="s">
        <v>74</v>
      </c>
      <c r="AL440" t="s">
        <v>74</v>
      </c>
      <c r="AM440" t="s">
        <v>74</v>
      </c>
      <c r="AN440" t="s">
        <v>74</v>
      </c>
      <c r="AO440" t="s">
        <v>3927</v>
      </c>
      <c r="AP440" t="s">
        <v>3928</v>
      </c>
      <c r="AQ440" t="s">
        <v>74</v>
      </c>
      <c r="AR440" t="s">
        <v>74</v>
      </c>
      <c r="AS440" t="s">
        <v>74</v>
      </c>
      <c r="AT440" t="s">
        <v>629</v>
      </c>
      <c r="AU440">
        <v>2022</v>
      </c>
      <c r="AV440">
        <v>65</v>
      </c>
      <c r="AW440">
        <v>8</v>
      </c>
      <c r="AX440" t="s">
        <v>74</v>
      </c>
      <c r="AY440" t="s">
        <v>74</v>
      </c>
      <c r="AZ440" t="s">
        <v>2280</v>
      </c>
      <c r="BA440" t="s">
        <v>74</v>
      </c>
      <c r="BB440">
        <v>2169</v>
      </c>
      <c r="BC440">
        <v>2178</v>
      </c>
      <c r="BD440" t="s">
        <v>74</v>
      </c>
      <c r="BE440" t="s">
        <v>3929</v>
      </c>
      <c r="BF440" t="str">
        <f>HYPERLINK("http://dx.doi.org/10.1007/s40843-022-2034-5","http://dx.doi.org/10.1007/s40843-022-2034-5")</f>
        <v>http://dx.doi.org/10.1007/s40843-022-2034-5</v>
      </c>
      <c r="BG440" t="s">
        <v>74</v>
      </c>
      <c r="BH440" t="s">
        <v>3911</v>
      </c>
      <c r="BI440" t="s">
        <v>74</v>
      </c>
      <c r="BJ440" t="s">
        <v>74</v>
      </c>
      <c r="BK440" t="s">
        <v>74</v>
      </c>
      <c r="BL440" t="s">
        <v>74</v>
      </c>
      <c r="BM440" t="s">
        <v>74</v>
      </c>
      <c r="BN440" t="s">
        <v>74</v>
      </c>
      <c r="BO440" t="s">
        <v>74</v>
      </c>
      <c r="BP440" t="s">
        <v>74</v>
      </c>
      <c r="BQ440" t="s">
        <v>74</v>
      </c>
      <c r="BR440" t="s">
        <v>74</v>
      </c>
      <c r="BS440" t="s">
        <v>3930</v>
      </c>
      <c r="BT440" t="str">
        <f>HYPERLINK("https%3A%2F%2Fwww.webofscience.com%2Fwos%2Fwoscc%2Ffull-record%2FWOS:000800992800001","View Full Record in Web of Science")</f>
        <v>View Full Record in Web of Science</v>
      </c>
    </row>
    <row r="441" spans="1:72" x14ac:dyDescent="0.2">
      <c r="A441" t="s">
        <v>72</v>
      </c>
      <c r="B441" t="s">
        <v>3931</v>
      </c>
      <c r="C441" t="s">
        <v>74</v>
      </c>
      <c r="D441" t="s">
        <v>74</v>
      </c>
      <c r="E441" t="s">
        <v>74</v>
      </c>
      <c r="F441" t="s">
        <v>3932</v>
      </c>
      <c r="G441" t="s">
        <v>74</v>
      </c>
      <c r="H441" t="s">
        <v>74</v>
      </c>
      <c r="I441" t="s">
        <v>3933</v>
      </c>
      <c r="J441" t="s">
        <v>3088</v>
      </c>
      <c r="K441" t="s">
        <v>74</v>
      </c>
      <c r="L441" t="s">
        <v>74</v>
      </c>
      <c r="M441" t="s">
        <v>74</v>
      </c>
      <c r="N441" t="s">
        <v>74</v>
      </c>
      <c r="O441" t="s">
        <v>74</v>
      </c>
      <c r="P441" t="s">
        <v>74</v>
      </c>
      <c r="Q441" t="s">
        <v>74</v>
      </c>
      <c r="R441" t="s">
        <v>74</v>
      </c>
      <c r="S441" t="s">
        <v>74</v>
      </c>
      <c r="T441" t="s">
        <v>74</v>
      </c>
      <c r="U441" t="s">
        <v>74</v>
      </c>
      <c r="V441" t="s">
        <v>3934</v>
      </c>
      <c r="W441" t="s">
        <v>74</v>
      </c>
      <c r="X441" t="s">
        <v>74</v>
      </c>
      <c r="Y441" t="s">
        <v>74</v>
      </c>
      <c r="Z441" t="s">
        <v>74</v>
      </c>
      <c r="AA441" t="s">
        <v>3935</v>
      </c>
      <c r="AB441" t="s">
        <v>74</v>
      </c>
      <c r="AC441" t="s">
        <v>74</v>
      </c>
      <c r="AD441" t="s">
        <v>74</v>
      </c>
      <c r="AE441" t="s">
        <v>74</v>
      </c>
      <c r="AF441" t="s">
        <v>74</v>
      </c>
      <c r="AG441" t="s">
        <v>74</v>
      </c>
      <c r="AH441" t="s">
        <v>74</v>
      </c>
      <c r="AI441" t="s">
        <v>74</v>
      </c>
      <c r="AJ441" t="s">
        <v>74</v>
      </c>
      <c r="AK441" t="s">
        <v>74</v>
      </c>
      <c r="AL441" t="s">
        <v>74</v>
      </c>
      <c r="AM441" t="s">
        <v>74</v>
      </c>
      <c r="AN441" t="s">
        <v>74</v>
      </c>
      <c r="AO441" t="s">
        <v>3092</v>
      </c>
      <c r="AP441" t="s">
        <v>3093</v>
      </c>
      <c r="AQ441" t="s">
        <v>74</v>
      </c>
      <c r="AR441" t="s">
        <v>74</v>
      </c>
      <c r="AS441" t="s">
        <v>74</v>
      </c>
      <c r="AT441" t="s">
        <v>3936</v>
      </c>
      <c r="AU441">
        <v>2022</v>
      </c>
      <c r="AV441">
        <v>47</v>
      </c>
      <c r="AW441">
        <v>43</v>
      </c>
      <c r="AX441" t="s">
        <v>74</v>
      </c>
      <c r="AY441" t="s">
        <v>74</v>
      </c>
      <c r="AZ441" t="s">
        <v>74</v>
      </c>
      <c r="BA441" t="s">
        <v>74</v>
      </c>
      <c r="BB441">
        <v>18663</v>
      </c>
      <c r="BC441">
        <v>18674</v>
      </c>
      <c r="BD441" t="s">
        <v>74</v>
      </c>
      <c r="BE441" t="s">
        <v>3937</v>
      </c>
      <c r="BF441" t="str">
        <f>HYPERLINK("http://dx.doi.org/10.1016/j.ijhydene.2022.04.015","http://dx.doi.org/10.1016/j.ijhydene.2022.04.015")</f>
        <v>http://dx.doi.org/10.1016/j.ijhydene.2022.04.015</v>
      </c>
      <c r="BG441" t="s">
        <v>74</v>
      </c>
      <c r="BH441" t="s">
        <v>3911</v>
      </c>
      <c r="BI441" t="s">
        <v>74</v>
      </c>
      <c r="BJ441" t="s">
        <v>74</v>
      </c>
      <c r="BK441" t="s">
        <v>74</v>
      </c>
      <c r="BL441" t="s">
        <v>74</v>
      </c>
      <c r="BM441" t="s">
        <v>74</v>
      </c>
      <c r="BN441" t="s">
        <v>74</v>
      </c>
      <c r="BO441" t="s">
        <v>74</v>
      </c>
      <c r="BP441" t="s">
        <v>74</v>
      </c>
      <c r="BQ441" t="s">
        <v>74</v>
      </c>
      <c r="BR441" t="s">
        <v>74</v>
      </c>
      <c r="BS441" t="s">
        <v>3938</v>
      </c>
      <c r="BT441" t="str">
        <f>HYPERLINK("https%3A%2F%2Fwww.webofscience.com%2Fwos%2Fwoscc%2Ffull-record%2FWOS:000806787900008","View Full Record in Web of Science")</f>
        <v>View Full Record in Web of Science</v>
      </c>
    </row>
    <row r="442" spans="1:72" x14ac:dyDescent="0.2">
      <c r="A442" t="s">
        <v>72</v>
      </c>
      <c r="B442" t="s">
        <v>3939</v>
      </c>
      <c r="C442" t="s">
        <v>74</v>
      </c>
      <c r="D442" t="s">
        <v>74</v>
      </c>
      <c r="E442" t="s">
        <v>74</v>
      </c>
      <c r="F442" t="s">
        <v>3940</v>
      </c>
      <c r="G442" t="s">
        <v>74</v>
      </c>
      <c r="H442" t="s">
        <v>74</v>
      </c>
      <c r="I442" t="s">
        <v>3941</v>
      </c>
      <c r="J442" t="s">
        <v>931</v>
      </c>
      <c r="K442" t="s">
        <v>74</v>
      </c>
      <c r="L442" t="s">
        <v>74</v>
      </c>
      <c r="M442" t="s">
        <v>74</v>
      </c>
      <c r="N442" t="s">
        <v>74</v>
      </c>
      <c r="O442" t="s">
        <v>74</v>
      </c>
      <c r="P442" t="s">
        <v>74</v>
      </c>
      <c r="Q442" t="s">
        <v>74</v>
      </c>
      <c r="R442" t="s">
        <v>74</v>
      </c>
      <c r="S442" t="s">
        <v>74</v>
      </c>
      <c r="T442" t="s">
        <v>74</v>
      </c>
      <c r="U442" t="s">
        <v>74</v>
      </c>
      <c r="V442" t="s">
        <v>3942</v>
      </c>
      <c r="W442" t="s">
        <v>74</v>
      </c>
      <c r="X442" t="s">
        <v>74</v>
      </c>
      <c r="Y442" t="s">
        <v>74</v>
      </c>
      <c r="Z442" t="s">
        <v>74</v>
      </c>
      <c r="AA442" t="s">
        <v>3943</v>
      </c>
      <c r="AB442" t="s">
        <v>3944</v>
      </c>
      <c r="AC442" t="s">
        <v>74</v>
      </c>
      <c r="AD442" t="s">
        <v>74</v>
      </c>
      <c r="AE442" t="s">
        <v>74</v>
      </c>
      <c r="AF442" t="s">
        <v>74</v>
      </c>
      <c r="AG442" t="s">
        <v>74</v>
      </c>
      <c r="AH442" t="s">
        <v>74</v>
      </c>
      <c r="AI442" t="s">
        <v>74</v>
      </c>
      <c r="AJ442" t="s">
        <v>74</v>
      </c>
      <c r="AK442" t="s">
        <v>74</v>
      </c>
      <c r="AL442" t="s">
        <v>74</v>
      </c>
      <c r="AM442" t="s">
        <v>74</v>
      </c>
      <c r="AN442" t="s">
        <v>74</v>
      </c>
      <c r="AO442" t="s">
        <v>934</v>
      </c>
      <c r="AP442" t="s">
        <v>935</v>
      </c>
      <c r="AQ442" t="s">
        <v>74</v>
      </c>
      <c r="AR442" t="s">
        <v>74</v>
      </c>
      <c r="AS442" t="s">
        <v>74</v>
      </c>
      <c r="AT442" t="s">
        <v>2174</v>
      </c>
      <c r="AU442">
        <v>2022</v>
      </c>
      <c r="AV442">
        <v>13</v>
      </c>
      <c r="AW442">
        <v>21</v>
      </c>
      <c r="AX442" t="s">
        <v>74</v>
      </c>
      <c r="AY442" t="s">
        <v>74</v>
      </c>
      <c r="AZ442" t="s">
        <v>74</v>
      </c>
      <c r="BA442" t="s">
        <v>74</v>
      </c>
      <c r="BB442">
        <v>6121</v>
      </c>
      <c r="BC442">
        <v>6158</v>
      </c>
      <c r="BD442" t="s">
        <v>74</v>
      </c>
      <c r="BE442" t="s">
        <v>3945</v>
      </c>
      <c r="BF442" t="str">
        <f>HYPERLINK("http://dx.doi.org/10.1039/d2sc00946c","http://dx.doi.org/10.1039/d2sc00946c")</f>
        <v>http://dx.doi.org/10.1039/d2sc00946c</v>
      </c>
      <c r="BG442" t="s">
        <v>74</v>
      </c>
      <c r="BH442" t="s">
        <v>3911</v>
      </c>
      <c r="BI442" t="s">
        <v>74</v>
      </c>
      <c r="BJ442" t="s">
        <v>74</v>
      </c>
      <c r="BK442" t="s">
        <v>74</v>
      </c>
      <c r="BL442" t="s">
        <v>74</v>
      </c>
      <c r="BM442" t="s">
        <v>74</v>
      </c>
      <c r="BN442">
        <v>35733881</v>
      </c>
      <c r="BO442" t="s">
        <v>74</v>
      </c>
      <c r="BP442" t="s">
        <v>74</v>
      </c>
      <c r="BQ442" t="s">
        <v>74</v>
      </c>
      <c r="BR442" t="s">
        <v>74</v>
      </c>
      <c r="BS442" t="s">
        <v>3946</v>
      </c>
      <c r="BT442" t="str">
        <f>HYPERLINK("https%3A%2F%2Fwww.webofscience.com%2Fwos%2Fwoscc%2Ffull-record%2FWOS:000797134000001","View Full Record in Web of Science")</f>
        <v>View Full Record in Web of Science</v>
      </c>
    </row>
    <row r="443" spans="1:72" x14ac:dyDescent="0.2">
      <c r="A443" t="s">
        <v>72</v>
      </c>
      <c r="B443" t="s">
        <v>3947</v>
      </c>
      <c r="C443" t="s">
        <v>74</v>
      </c>
      <c r="D443" t="s">
        <v>74</v>
      </c>
      <c r="E443" t="s">
        <v>74</v>
      </c>
      <c r="F443" t="s">
        <v>3948</v>
      </c>
      <c r="G443" t="s">
        <v>74</v>
      </c>
      <c r="H443" t="s">
        <v>74</v>
      </c>
      <c r="I443" t="s">
        <v>3949</v>
      </c>
      <c r="J443" t="s">
        <v>3950</v>
      </c>
      <c r="K443" t="s">
        <v>74</v>
      </c>
      <c r="L443" t="s">
        <v>74</v>
      </c>
      <c r="M443" t="s">
        <v>74</v>
      </c>
      <c r="N443" t="s">
        <v>74</v>
      </c>
      <c r="O443" t="s">
        <v>74</v>
      </c>
      <c r="P443" t="s">
        <v>74</v>
      </c>
      <c r="Q443" t="s">
        <v>74</v>
      </c>
      <c r="R443" t="s">
        <v>74</v>
      </c>
      <c r="S443" t="s">
        <v>74</v>
      </c>
      <c r="T443" t="s">
        <v>74</v>
      </c>
      <c r="U443" t="s">
        <v>74</v>
      </c>
      <c r="V443" t="s">
        <v>3951</v>
      </c>
      <c r="W443" t="s">
        <v>74</v>
      </c>
      <c r="X443" t="s">
        <v>74</v>
      </c>
      <c r="Y443" t="s">
        <v>74</v>
      </c>
      <c r="Z443" t="s">
        <v>74</v>
      </c>
      <c r="AA443" t="s">
        <v>3952</v>
      </c>
      <c r="AB443" t="s">
        <v>3953</v>
      </c>
      <c r="AC443" t="s">
        <v>74</v>
      </c>
      <c r="AD443" t="s">
        <v>74</v>
      </c>
      <c r="AE443" t="s">
        <v>74</v>
      </c>
      <c r="AF443" t="s">
        <v>74</v>
      </c>
      <c r="AG443" t="s">
        <v>74</v>
      </c>
      <c r="AH443" t="s">
        <v>74</v>
      </c>
      <c r="AI443" t="s">
        <v>74</v>
      </c>
      <c r="AJ443" t="s">
        <v>74</v>
      </c>
      <c r="AK443" t="s">
        <v>74</v>
      </c>
      <c r="AL443" t="s">
        <v>74</v>
      </c>
      <c r="AM443" t="s">
        <v>74</v>
      </c>
      <c r="AN443" t="s">
        <v>74</v>
      </c>
      <c r="AO443" t="s">
        <v>3954</v>
      </c>
      <c r="AP443" t="s">
        <v>3955</v>
      </c>
      <c r="AQ443" t="s">
        <v>74</v>
      </c>
      <c r="AR443" t="s">
        <v>74</v>
      </c>
      <c r="AS443" t="s">
        <v>74</v>
      </c>
      <c r="AT443" t="s">
        <v>3956</v>
      </c>
      <c r="AU443">
        <v>2022</v>
      </c>
      <c r="AV443">
        <v>23</v>
      </c>
      <c r="AW443">
        <v>13</v>
      </c>
      <c r="AX443" t="s">
        <v>74</v>
      </c>
      <c r="AY443" t="s">
        <v>74</v>
      </c>
      <c r="AZ443" t="s">
        <v>74</v>
      </c>
      <c r="BA443" t="s">
        <v>74</v>
      </c>
      <c r="BB443" t="s">
        <v>74</v>
      </c>
      <c r="BC443" t="s">
        <v>74</v>
      </c>
      <c r="BD443" t="s">
        <v>3957</v>
      </c>
      <c r="BE443" t="s">
        <v>3958</v>
      </c>
      <c r="BF443" t="str">
        <f>HYPERLINK("http://dx.doi.org/10.1002/cphc.202200115","http://dx.doi.org/10.1002/cphc.202200115")</f>
        <v>http://dx.doi.org/10.1002/cphc.202200115</v>
      </c>
      <c r="BG443" t="s">
        <v>74</v>
      </c>
      <c r="BH443" t="s">
        <v>3911</v>
      </c>
      <c r="BI443" t="s">
        <v>74</v>
      </c>
      <c r="BJ443" t="s">
        <v>74</v>
      </c>
      <c r="BK443" t="s">
        <v>74</v>
      </c>
      <c r="BL443" t="s">
        <v>74</v>
      </c>
      <c r="BM443" t="s">
        <v>74</v>
      </c>
      <c r="BN443">
        <v>35451216</v>
      </c>
      <c r="BO443" t="s">
        <v>74</v>
      </c>
      <c r="BP443" t="s">
        <v>74</v>
      </c>
      <c r="BQ443" t="s">
        <v>74</v>
      </c>
      <c r="BR443" t="s">
        <v>74</v>
      </c>
      <c r="BS443" t="s">
        <v>3959</v>
      </c>
      <c r="BT443" t="str">
        <f>HYPERLINK("https%3A%2F%2Fwww.webofscience.com%2Fwos%2Fwoscc%2Ffull-record%2FWOS:000796757400001","View Full Record in Web of Science")</f>
        <v>View Full Record in Web of Science</v>
      </c>
    </row>
    <row r="444" spans="1:72" x14ac:dyDescent="0.2">
      <c r="A444" t="s">
        <v>72</v>
      </c>
      <c r="B444" t="s">
        <v>3960</v>
      </c>
      <c r="C444" t="s">
        <v>74</v>
      </c>
      <c r="D444" t="s">
        <v>74</v>
      </c>
      <c r="E444" t="s">
        <v>74</v>
      </c>
      <c r="F444" t="s">
        <v>3961</v>
      </c>
      <c r="G444" t="s">
        <v>74</v>
      </c>
      <c r="H444" t="s">
        <v>74</v>
      </c>
      <c r="I444" t="s">
        <v>3962</v>
      </c>
      <c r="J444" t="s">
        <v>528</v>
      </c>
      <c r="K444" t="s">
        <v>74</v>
      </c>
      <c r="L444" t="s">
        <v>74</v>
      </c>
      <c r="M444" t="s">
        <v>74</v>
      </c>
      <c r="N444" t="s">
        <v>74</v>
      </c>
      <c r="O444" t="s">
        <v>74</v>
      </c>
      <c r="P444" t="s">
        <v>74</v>
      </c>
      <c r="Q444" t="s">
        <v>74</v>
      </c>
      <c r="R444" t="s">
        <v>74</v>
      </c>
      <c r="S444" t="s">
        <v>74</v>
      </c>
      <c r="T444" t="s">
        <v>74</v>
      </c>
      <c r="U444" t="s">
        <v>74</v>
      </c>
      <c r="V444" t="s">
        <v>3963</v>
      </c>
      <c r="W444" t="s">
        <v>74</v>
      </c>
      <c r="X444" t="s">
        <v>74</v>
      </c>
      <c r="Y444" t="s">
        <v>74</v>
      </c>
      <c r="Z444" t="s">
        <v>74</v>
      </c>
      <c r="AA444" t="s">
        <v>3964</v>
      </c>
      <c r="AB444" t="s">
        <v>3965</v>
      </c>
      <c r="AC444" t="s">
        <v>74</v>
      </c>
      <c r="AD444" t="s">
        <v>74</v>
      </c>
      <c r="AE444" t="s">
        <v>74</v>
      </c>
      <c r="AF444" t="s">
        <v>74</v>
      </c>
      <c r="AG444" t="s">
        <v>74</v>
      </c>
      <c r="AH444" t="s">
        <v>74</v>
      </c>
      <c r="AI444" t="s">
        <v>74</v>
      </c>
      <c r="AJ444" t="s">
        <v>74</v>
      </c>
      <c r="AK444" t="s">
        <v>74</v>
      </c>
      <c r="AL444" t="s">
        <v>74</v>
      </c>
      <c r="AM444" t="s">
        <v>74</v>
      </c>
      <c r="AN444" t="s">
        <v>74</v>
      </c>
      <c r="AO444" t="s">
        <v>532</v>
      </c>
      <c r="AP444" t="s">
        <v>533</v>
      </c>
      <c r="AQ444" t="s">
        <v>74</v>
      </c>
      <c r="AR444" t="s">
        <v>74</v>
      </c>
      <c r="AS444" t="s">
        <v>74</v>
      </c>
      <c r="AT444" t="s">
        <v>2174</v>
      </c>
      <c r="AU444">
        <v>2022</v>
      </c>
      <c r="AV444">
        <v>14</v>
      </c>
      <c r="AW444">
        <v>21</v>
      </c>
      <c r="AX444" t="s">
        <v>74</v>
      </c>
      <c r="AY444" t="s">
        <v>74</v>
      </c>
      <c r="AZ444" t="s">
        <v>74</v>
      </c>
      <c r="BA444" t="s">
        <v>74</v>
      </c>
      <c r="BB444">
        <v>24480</v>
      </c>
      <c r="BC444">
        <v>24485</v>
      </c>
      <c r="BD444" t="s">
        <v>74</v>
      </c>
      <c r="BE444" t="s">
        <v>3966</v>
      </c>
      <c r="BF444" t="str">
        <f>HYPERLINK("http://dx.doi.org/10.1021/acsami.2c05090","http://dx.doi.org/10.1021/acsami.2c05090")</f>
        <v>http://dx.doi.org/10.1021/acsami.2c05090</v>
      </c>
      <c r="BG444" t="s">
        <v>74</v>
      </c>
      <c r="BH444" t="s">
        <v>3911</v>
      </c>
      <c r="BI444" t="s">
        <v>74</v>
      </c>
      <c r="BJ444" t="s">
        <v>74</v>
      </c>
      <c r="BK444" t="s">
        <v>74</v>
      </c>
      <c r="BL444" t="s">
        <v>74</v>
      </c>
      <c r="BM444" t="s">
        <v>74</v>
      </c>
      <c r="BN444">
        <v>35579546</v>
      </c>
      <c r="BO444" t="s">
        <v>74</v>
      </c>
      <c r="BP444" t="s">
        <v>74</v>
      </c>
      <c r="BQ444" t="s">
        <v>74</v>
      </c>
      <c r="BR444" t="s">
        <v>74</v>
      </c>
      <c r="BS444" t="s">
        <v>3967</v>
      </c>
      <c r="BT444" t="str">
        <f>HYPERLINK("https%3A%2F%2Fwww.webofscience.com%2Fwos%2Fwoscc%2Ffull-record%2FWOS:000820802800001","View Full Record in Web of Science")</f>
        <v>View Full Record in Web of Science</v>
      </c>
    </row>
    <row r="445" spans="1:72" x14ac:dyDescent="0.2">
      <c r="A445" t="s">
        <v>72</v>
      </c>
      <c r="B445" t="s">
        <v>3968</v>
      </c>
      <c r="C445" t="s">
        <v>74</v>
      </c>
      <c r="D445" t="s">
        <v>74</v>
      </c>
      <c r="E445" t="s">
        <v>74</v>
      </c>
      <c r="F445" t="s">
        <v>3969</v>
      </c>
      <c r="G445" t="s">
        <v>74</v>
      </c>
      <c r="H445" t="s">
        <v>74</v>
      </c>
      <c r="I445" t="s">
        <v>3970</v>
      </c>
      <c r="J445" t="s">
        <v>598</v>
      </c>
      <c r="K445" t="s">
        <v>74</v>
      </c>
      <c r="L445" t="s">
        <v>74</v>
      </c>
      <c r="M445" t="s">
        <v>74</v>
      </c>
      <c r="N445" t="s">
        <v>74</v>
      </c>
      <c r="O445" t="s">
        <v>74</v>
      </c>
      <c r="P445" t="s">
        <v>74</v>
      </c>
      <c r="Q445" t="s">
        <v>74</v>
      </c>
      <c r="R445" t="s">
        <v>74</v>
      </c>
      <c r="S445" t="s">
        <v>74</v>
      </c>
      <c r="T445" t="s">
        <v>74</v>
      </c>
      <c r="U445" t="s">
        <v>74</v>
      </c>
      <c r="V445" t="s">
        <v>3971</v>
      </c>
      <c r="W445" t="s">
        <v>74</v>
      </c>
      <c r="X445" t="s">
        <v>74</v>
      </c>
      <c r="Y445" t="s">
        <v>74</v>
      </c>
      <c r="Z445" t="s">
        <v>74</v>
      </c>
      <c r="AA445" t="s">
        <v>3972</v>
      </c>
      <c r="AB445" t="s">
        <v>3973</v>
      </c>
      <c r="AC445" t="s">
        <v>74</v>
      </c>
      <c r="AD445" t="s">
        <v>74</v>
      </c>
      <c r="AE445" t="s">
        <v>74</v>
      </c>
      <c r="AF445" t="s">
        <v>74</v>
      </c>
      <c r="AG445" t="s">
        <v>74</v>
      </c>
      <c r="AH445" t="s">
        <v>74</v>
      </c>
      <c r="AI445" t="s">
        <v>74</v>
      </c>
      <c r="AJ445" t="s">
        <v>74</v>
      </c>
      <c r="AK445" t="s">
        <v>74</v>
      </c>
      <c r="AL445" t="s">
        <v>74</v>
      </c>
      <c r="AM445" t="s">
        <v>74</v>
      </c>
      <c r="AN445" t="s">
        <v>74</v>
      </c>
      <c r="AO445" t="s">
        <v>601</v>
      </c>
      <c r="AP445" t="s">
        <v>602</v>
      </c>
      <c r="AQ445" t="s">
        <v>74</v>
      </c>
      <c r="AR445" t="s">
        <v>74</v>
      </c>
      <c r="AS445" t="s">
        <v>74</v>
      </c>
      <c r="AT445" t="s">
        <v>3871</v>
      </c>
      <c r="AU445">
        <v>2022</v>
      </c>
      <c r="AV445">
        <v>15</v>
      </c>
      <c r="AW445">
        <v>11</v>
      </c>
      <c r="AX445" t="s">
        <v>74</v>
      </c>
      <c r="AY445" t="s">
        <v>74</v>
      </c>
      <c r="AZ445" t="s">
        <v>74</v>
      </c>
      <c r="BA445" t="s">
        <v>74</v>
      </c>
      <c r="BB445" t="s">
        <v>74</v>
      </c>
      <c r="BC445" t="s">
        <v>74</v>
      </c>
      <c r="BD445" t="s">
        <v>3974</v>
      </c>
      <c r="BE445" t="s">
        <v>3975</v>
      </c>
      <c r="BF445" t="str">
        <f>HYPERLINK("http://dx.doi.org/10.1002/cssc.202200543","http://dx.doi.org/10.1002/cssc.202200543")</f>
        <v>http://dx.doi.org/10.1002/cssc.202200543</v>
      </c>
      <c r="BG445" t="s">
        <v>74</v>
      </c>
      <c r="BH445" t="s">
        <v>3911</v>
      </c>
      <c r="BI445" t="s">
        <v>74</v>
      </c>
      <c r="BJ445" t="s">
        <v>74</v>
      </c>
      <c r="BK445" t="s">
        <v>74</v>
      </c>
      <c r="BL445" t="s">
        <v>74</v>
      </c>
      <c r="BM445" t="s">
        <v>74</v>
      </c>
      <c r="BN445">
        <v>35394701</v>
      </c>
      <c r="BO445" t="s">
        <v>74</v>
      </c>
      <c r="BP445" t="s">
        <v>74</v>
      </c>
      <c r="BQ445" t="s">
        <v>74</v>
      </c>
      <c r="BR445" t="s">
        <v>74</v>
      </c>
      <c r="BS445" t="s">
        <v>3976</v>
      </c>
      <c r="BT445" t="str">
        <f>HYPERLINK("https%3A%2F%2Fwww.webofscience.com%2Fwos%2Fwoscc%2Ffull-record%2FWOS:000793944200001","View Full Record in Web of Science")</f>
        <v>View Full Record in Web of Science</v>
      </c>
    </row>
    <row r="446" spans="1:72" x14ac:dyDescent="0.2">
      <c r="A446" t="s">
        <v>72</v>
      </c>
      <c r="B446" t="s">
        <v>3977</v>
      </c>
      <c r="C446" t="s">
        <v>74</v>
      </c>
      <c r="D446" t="s">
        <v>74</v>
      </c>
      <c r="E446" t="s">
        <v>74</v>
      </c>
      <c r="F446" t="s">
        <v>3978</v>
      </c>
      <c r="G446" t="s">
        <v>74</v>
      </c>
      <c r="H446" t="s">
        <v>74</v>
      </c>
      <c r="I446" t="s">
        <v>3979</v>
      </c>
      <c r="J446" t="s">
        <v>151</v>
      </c>
      <c r="K446" t="s">
        <v>74</v>
      </c>
      <c r="L446" t="s">
        <v>74</v>
      </c>
      <c r="M446" t="s">
        <v>74</v>
      </c>
      <c r="N446" t="s">
        <v>74</v>
      </c>
      <c r="O446" t="s">
        <v>74</v>
      </c>
      <c r="P446" t="s">
        <v>74</v>
      </c>
      <c r="Q446" t="s">
        <v>74</v>
      </c>
      <c r="R446" t="s">
        <v>74</v>
      </c>
      <c r="S446" t="s">
        <v>74</v>
      </c>
      <c r="T446" t="s">
        <v>74</v>
      </c>
      <c r="U446" t="s">
        <v>74</v>
      </c>
      <c r="V446" t="s">
        <v>3980</v>
      </c>
      <c r="W446" t="s">
        <v>74</v>
      </c>
      <c r="X446" t="s">
        <v>74</v>
      </c>
      <c r="Y446" t="s">
        <v>74</v>
      </c>
      <c r="Z446" t="s">
        <v>74</v>
      </c>
      <c r="AA446" t="s">
        <v>3981</v>
      </c>
      <c r="AB446" t="s">
        <v>3982</v>
      </c>
      <c r="AC446" t="s">
        <v>74</v>
      </c>
      <c r="AD446" t="s">
        <v>74</v>
      </c>
      <c r="AE446" t="s">
        <v>74</v>
      </c>
      <c r="AF446" t="s">
        <v>74</v>
      </c>
      <c r="AG446" t="s">
        <v>74</v>
      </c>
      <c r="AH446" t="s">
        <v>74</v>
      </c>
      <c r="AI446" t="s">
        <v>74</v>
      </c>
      <c r="AJ446" t="s">
        <v>74</v>
      </c>
      <c r="AK446" t="s">
        <v>74</v>
      </c>
      <c r="AL446" t="s">
        <v>74</v>
      </c>
      <c r="AM446" t="s">
        <v>74</v>
      </c>
      <c r="AN446" t="s">
        <v>74</v>
      </c>
      <c r="AO446" t="s">
        <v>153</v>
      </c>
      <c r="AP446" t="s">
        <v>154</v>
      </c>
      <c r="AQ446" t="s">
        <v>74</v>
      </c>
      <c r="AR446" t="s">
        <v>74</v>
      </c>
      <c r="AS446" t="s">
        <v>74</v>
      </c>
      <c r="AT446" t="s">
        <v>155</v>
      </c>
      <c r="AU446">
        <v>2022</v>
      </c>
      <c r="AV446">
        <v>50</v>
      </c>
      <c r="AW446" t="s">
        <v>74</v>
      </c>
      <c r="AX446" t="s">
        <v>74</v>
      </c>
      <c r="AY446" t="s">
        <v>74</v>
      </c>
      <c r="AZ446" t="s">
        <v>74</v>
      </c>
      <c r="BA446" t="s">
        <v>74</v>
      </c>
      <c r="BB446">
        <v>75</v>
      </c>
      <c r="BC446">
        <v>85</v>
      </c>
      <c r="BD446" t="s">
        <v>74</v>
      </c>
      <c r="BE446" t="s">
        <v>3983</v>
      </c>
      <c r="BF446" t="str">
        <f>HYPERLINK("http://dx.doi.org/10.1016/j.ensm.2022.05.009","http://dx.doi.org/10.1016/j.ensm.2022.05.009")</f>
        <v>http://dx.doi.org/10.1016/j.ensm.2022.05.009</v>
      </c>
      <c r="BG446" t="s">
        <v>74</v>
      </c>
      <c r="BH446" t="s">
        <v>3911</v>
      </c>
      <c r="BI446" t="s">
        <v>74</v>
      </c>
      <c r="BJ446" t="s">
        <v>74</v>
      </c>
      <c r="BK446" t="s">
        <v>74</v>
      </c>
      <c r="BL446" t="s">
        <v>74</v>
      </c>
      <c r="BM446" t="s">
        <v>74</v>
      </c>
      <c r="BN446" t="s">
        <v>74</v>
      </c>
      <c r="BO446" t="s">
        <v>74</v>
      </c>
      <c r="BP446" t="s">
        <v>74</v>
      </c>
      <c r="BQ446" t="s">
        <v>74</v>
      </c>
      <c r="BR446" t="s">
        <v>74</v>
      </c>
      <c r="BS446" t="s">
        <v>3984</v>
      </c>
      <c r="BT446" t="str">
        <f>HYPERLINK("https%3A%2F%2Fwww.webofscience.com%2Fwos%2Fwoscc%2Ffull-record%2FWOS:000833524200001","View Full Record in Web of Science")</f>
        <v>View Full Record in Web of Science</v>
      </c>
    </row>
    <row r="447" spans="1:72" x14ac:dyDescent="0.2">
      <c r="A447" t="s">
        <v>72</v>
      </c>
      <c r="B447" t="s">
        <v>3985</v>
      </c>
      <c r="C447" t="s">
        <v>74</v>
      </c>
      <c r="D447" t="s">
        <v>74</v>
      </c>
      <c r="E447" t="s">
        <v>74</v>
      </c>
      <c r="F447" t="s">
        <v>3986</v>
      </c>
      <c r="G447" t="s">
        <v>74</v>
      </c>
      <c r="H447" t="s">
        <v>74</v>
      </c>
      <c r="I447" t="s">
        <v>3987</v>
      </c>
      <c r="J447" t="s">
        <v>3988</v>
      </c>
      <c r="K447" t="s">
        <v>74</v>
      </c>
      <c r="L447" t="s">
        <v>74</v>
      </c>
      <c r="M447" t="s">
        <v>74</v>
      </c>
      <c r="N447" t="s">
        <v>74</v>
      </c>
      <c r="O447" t="s">
        <v>74</v>
      </c>
      <c r="P447" t="s">
        <v>74</v>
      </c>
      <c r="Q447" t="s">
        <v>74</v>
      </c>
      <c r="R447" t="s">
        <v>74</v>
      </c>
      <c r="S447" t="s">
        <v>74</v>
      </c>
      <c r="T447" t="s">
        <v>74</v>
      </c>
      <c r="U447" t="s">
        <v>74</v>
      </c>
      <c r="V447" t="s">
        <v>3989</v>
      </c>
      <c r="W447" t="s">
        <v>74</v>
      </c>
      <c r="X447" t="s">
        <v>74</v>
      </c>
      <c r="Y447" t="s">
        <v>74</v>
      </c>
      <c r="Z447" t="s">
        <v>74</v>
      </c>
      <c r="AA447" t="s">
        <v>3990</v>
      </c>
      <c r="AB447" t="s">
        <v>3991</v>
      </c>
      <c r="AC447" t="s">
        <v>74</v>
      </c>
      <c r="AD447" t="s">
        <v>74</v>
      </c>
      <c r="AE447" t="s">
        <v>74</v>
      </c>
      <c r="AF447" t="s">
        <v>74</v>
      </c>
      <c r="AG447" t="s">
        <v>74</v>
      </c>
      <c r="AH447" t="s">
        <v>74</v>
      </c>
      <c r="AI447" t="s">
        <v>74</v>
      </c>
      <c r="AJ447" t="s">
        <v>74</v>
      </c>
      <c r="AK447" t="s">
        <v>74</v>
      </c>
      <c r="AL447" t="s">
        <v>74</v>
      </c>
      <c r="AM447" t="s">
        <v>74</v>
      </c>
      <c r="AN447" t="s">
        <v>74</v>
      </c>
      <c r="AO447" t="s">
        <v>74</v>
      </c>
      <c r="AP447" t="s">
        <v>3992</v>
      </c>
      <c r="AQ447" t="s">
        <v>74</v>
      </c>
      <c r="AR447" t="s">
        <v>74</v>
      </c>
      <c r="AS447" t="s">
        <v>74</v>
      </c>
      <c r="AT447" t="s">
        <v>3993</v>
      </c>
      <c r="AU447">
        <v>2022</v>
      </c>
      <c r="AV447">
        <v>6</v>
      </c>
      <c r="AW447">
        <v>11</v>
      </c>
      <c r="AX447" t="s">
        <v>74</v>
      </c>
      <c r="AY447" t="s">
        <v>74</v>
      </c>
      <c r="AZ447" t="s">
        <v>74</v>
      </c>
      <c r="BA447" t="s">
        <v>74</v>
      </c>
      <c r="BB447">
        <v>1437</v>
      </c>
      <c r="BC447">
        <v>1455</v>
      </c>
      <c r="BD447" t="s">
        <v>74</v>
      </c>
      <c r="BE447" t="s">
        <v>3994</v>
      </c>
      <c r="BF447" t="str">
        <f>HYPERLINK("http://dx.doi.org/10.1039/d2qm00045h","http://dx.doi.org/10.1039/d2qm00045h")</f>
        <v>http://dx.doi.org/10.1039/d2qm00045h</v>
      </c>
      <c r="BG447" t="s">
        <v>74</v>
      </c>
      <c r="BH447" t="s">
        <v>3911</v>
      </c>
      <c r="BI447" t="s">
        <v>74</v>
      </c>
      <c r="BJ447" t="s">
        <v>74</v>
      </c>
      <c r="BK447" t="s">
        <v>74</v>
      </c>
      <c r="BL447" t="s">
        <v>74</v>
      </c>
      <c r="BM447" t="s">
        <v>74</v>
      </c>
      <c r="BN447" t="s">
        <v>74</v>
      </c>
      <c r="BO447" t="s">
        <v>74</v>
      </c>
      <c r="BP447" t="s">
        <v>74</v>
      </c>
      <c r="BQ447" t="s">
        <v>74</v>
      </c>
      <c r="BR447" t="s">
        <v>74</v>
      </c>
      <c r="BS447" t="s">
        <v>3995</v>
      </c>
      <c r="BT447" t="str">
        <f>HYPERLINK("https%3A%2F%2Fwww.webofscience.com%2Fwos%2Fwoscc%2Ffull-record%2FWOS:000793326000001","View Full Record in Web of Science")</f>
        <v>View Full Record in Web of Science</v>
      </c>
    </row>
    <row r="448" spans="1:72" x14ac:dyDescent="0.2">
      <c r="A448" t="s">
        <v>72</v>
      </c>
      <c r="B448" t="s">
        <v>3996</v>
      </c>
      <c r="C448" t="s">
        <v>74</v>
      </c>
      <c r="D448" t="s">
        <v>74</v>
      </c>
      <c r="E448" t="s">
        <v>74</v>
      </c>
      <c r="F448" t="s">
        <v>3997</v>
      </c>
      <c r="G448" t="s">
        <v>74</v>
      </c>
      <c r="H448" t="s">
        <v>74</v>
      </c>
      <c r="I448" t="s">
        <v>3998</v>
      </c>
      <c r="J448" t="s">
        <v>98</v>
      </c>
      <c r="K448" t="s">
        <v>74</v>
      </c>
      <c r="L448" t="s">
        <v>74</v>
      </c>
      <c r="M448" t="s">
        <v>74</v>
      </c>
      <c r="N448" t="s">
        <v>74</v>
      </c>
      <c r="O448" t="s">
        <v>74</v>
      </c>
      <c r="P448" t="s">
        <v>74</v>
      </c>
      <c r="Q448" t="s">
        <v>74</v>
      </c>
      <c r="R448" t="s">
        <v>74</v>
      </c>
      <c r="S448" t="s">
        <v>74</v>
      </c>
      <c r="T448" t="s">
        <v>74</v>
      </c>
      <c r="U448" t="s">
        <v>74</v>
      </c>
      <c r="V448" t="s">
        <v>3999</v>
      </c>
      <c r="W448" t="s">
        <v>74</v>
      </c>
      <c r="X448" t="s">
        <v>74</v>
      </c>
      <c r="Y448" t="s">
        <v>74</v>
      </c>
      <c r="Z448" t="s">
        <v>74</v>
      </c>
      <c r="AA448" t="s">
        <v>4000</v>
      </c>
      <c r="AB448" t="s">
        <v>4001</v>
      </c>
      <c r="AC448" t="s">
        <v>74</v>
      </c>
      <c r="AD448" t="s">
        <v>74</v>
      </c>
      <c r="AE448" t="s">
        <v>74</v>
      </c>
      <c r="AF448" t="s">
        <v>74</v>
      </c>
      <c r="AG448" t="s">
        <v>74</v>
      </c>
      <c r="AH448" t="s">
        <v>74</v>
      </c>
      <c r="AI448" t="s">
        <v>74</v>
      </c>
      <c r="AJ448" t="s">
        <v>74</v>
      </c>
      <c r="AK448" t="s">
        <v>74</v>
      </c>
      <c r="AL448" t="s">
        <v>74</v>
      </c>
      <c r="AM448" t="s">
        <v>74</v>
      </c>
      <c r="AN448" t="s">
        <v>74</v>
      </c>
      <c r="AO448" t="s">
        <v>101</v>
      </c>
      <c r="AP448" t="s">
        <v>102</v>
      </c>
      <c r="AQ448" t="s">
        <v>74</v>
      </c>
      <c r="AR448" t="s">
        <v>74</v>
      </c>
      <c r="AS448" t="s">
        <v>74</v>
      </c>
      <c r="AT448" t="s">
        <v>2071</v>
      </c>
      <c r="AU448">
        <v>2022</v>
      </c>
      <c r="AV448">
        <v>536</v>
      </c>
      <c r="AW448" t="s">
        <v>74</v>
      </c>
      <c r="AX448" t="s">
        <v>74</v>
      </c>
      <c r="AY448" t="s">
        <v>74</v>
      </c>
      <c r="AZ448" t="s">
        <v>74</v>
      </c>
      <c r="BA448" t="s">
        <v>74</v>
      </c>
      <c r="BB448" t="s">
        <v>74</v>
      </c>
      <c r="BC448" t="s">
        <v>74</v>
      </c>
      <c r="BD448">
        <v>231510</v>
      </c>
      <c r="BE448" t="s">
        <v>4002</v>
      </c>
      <c r="BF448" t="str">
        <f>HYPERLINK("http://dx.doi.org/10.1016/j.jpowsour.2022.231510","http://dx.doi.org/10.1016/j.jpowsour.2022.231510")</f>
        <v>http://dx.doi.org/10.1016/j.jpowsour.2022.231510</v>
      </c>
      <c r="BG448" t="s">
        <v>74</v>
      </c>
      <c r="BH448" t="s">
        <v>4003</v>
      </c>
      <c r="BI448" t="s">
        <v>74</v>
      </c>
      <c r="BJ448" t="s">
        <v>74</v>
      </c>
      <c r="BK448" t="s">
        <v>74</v>
      </c>
      <c r="BL448" t="s">
        <v>74</v>
      </c>
      <c r="BM448" t="s">
        <v>74</v>
      </c>
      <c r="BN448" t="s">
        <v>74</v>
      </c>
      <c r="BO448" t="s">
        <v>74</v>
      </c>
      <c r="BP448" t="s">
        <v>74</v>
      </c>
      <c r="BQ448" t="s">
        <v>74</v>
      </c>
      <c r="BR448" t="s">
        <v>74</v>
      </c>
      <c r="BS448" t="s">
        <v>4004</v>
      </c>
      <c r="BT448" t="str">
        <f>HYPERLINK("https%3A%2F%2Fwww.webofscience.com%2Fwos%2Fwoscc%2Ffull-record%2FWOS:000821907900004","View Full Record in Web of Science")</f>
        <v>View Full Record in Web of Science</v>
      </c>
    </row>
    <row r="449" spans="1:72" x14ac:dyDescent="0.2">
      <c r="A449" t="s">
        <v>72</v>
      </c>
      <c r="B449" t="s">
        <v>4005</v>
      </c>
      <c r="C449" t="s">
        <v>74</v>
      </c>
      <c r="D449" t="s">
        <v>74</v>
      </c>
      <c r="E449" t="s">
        <v>74</v>
      </c>
      <c r="F449" t="s">
        <v>4006</v>
      </c>
      <c r="G449" t="s">
        <v>74</v>
      </c>
      <c r="H449" t="s">
        <v>74</v>
      </c>
      <c r="I449" t="s">
        <v>4007</v>
      </c>
      <c r="J449" t="s">
        <v>528</v>
      </c>
      <c r="K449" t="s">
        <v>74</v>
      </c>
      <c r="L449" t="s">
        <v>74</v>
      </c>
      <c r="M449" t="s">
        <v>74</v>
      </c>
      <c r="N449" t="s">
        <v>74</v>
      </c>
      <c r="O449" t="s">
        <v>74</v>
      </c>
      <c r="P449" t="s">
        <v>74</v>
      </c>
      <c r="Q449" t="s">
        <v>74</v>
      </c>
      <c r="R449" t="s">
        <v>74</v>
      </c>
      <c r="S449" t="s">
        <v>74</v>
      </c>
      <c r="T449" t="s">
        <v>74</v>
      </c>
      <c r="U449" t="s">
        <v>74</v>
      </c>
      <c r="V449" t="s">
        <v>4008</v>
      </c>
      <c r="W449" t="s">
        <v>74</v>
      </c>
      <c r="X449" t="s">
        <v>74</v>
      </c>
      <c r="Y449" t="s">
        <v>74</v>
      </c>
      <c r="Z449" t="s">
        <v>74</v>
      </c>
      <c r="AA449" t="s">
        <v>4009</v>
      </c>
      <c r="AB449" t="s">
        <v>4010</v>
      </c>
      <c r="AC449" t="s">
        <v>74</v>
      </c>
      <c r="AD449" t="s">
        <v>74</v>
      </c>
      <c r="AE449" t="s">
        <v>74</v>
      </c>
      <c r="AF449" t="s">
        <v>74</v>
      </c>
      <c r="AG449" t="s">
        <v>74</v>
      </c>
      <c r="AH449" t="s">
        <v>74</v>
      </c>
      <c r="AI449" t="s">
        <v>74</v>
      </c>
      <c r="AJ449" t="s">
        <v>74</v>
      </c>
      <c r="AK449" t="s">
        <v>74</v>
      </c>
      <c r="AL449" t="s">
        <v>74</v>
      </c>
      <c r="AM449" t="s">
        <v>74</v>
      </c>
      <c r="AN449" t="s">
        <v>74</v>
      </c>
      <c r="AO449" t="s">
        <v>532</v>
      </c>
      <c r="AP449" t="s">
        <v>533</v>
      </c>
      <c r="AQ449" t="s">
        <v>74</v>
      </c>
      <c r="AR449" t="s">
        <v>74</v>
      </c>
      <c r="AS449" t="s">
        <v>74</v>
      </c>
      <c r="AT449" t="s">
        <v>2321</v>
      </c>
      <c r="AU449">
        <v>2022</v>
      </c>
      <c r="AV449">
        <v>14</v>
      </c>
      <c r="AW449">
        <v>15</v>
      </c>
      <c r="AX449" t="s">
        <v>74</v>
      </c>
      <c r="AY449" t="s">
        <v>74</v>
      </c>
      <c r="AZ449" t="s">
        <v>74</v>
      </c>
      <c r="BA449" t="s">
        <v>74</v>
      </c>
      <c r="BB449">
        <v>17378</v>
      </c>
      <c r="BC449">
        <v>17387</v>
      </c>
      <c r="BD449" t="s">
        <v>74</v>
      </c>
      <c r="BE449" t="s">
        <v>4011</v>
      </c>
      <c r="BF449" t="str">
        <f>HYPERLINK("http://dx.doi.org/10.1021/acsami.2c01586","http://dx.doi.org/10.1021/acsami.2c01586")</f>
        <v>http://dx.doi.org/10.1021/acsami.2c01586</v>
      </c>
      <c r="BG449" t="s">
        <v>74</v>
      </c>
      <c r="BH449" t="s">
        <v>74</v>
      </c>
      <c r="BI449" t="s">
        <v>74</v>
      </c>
      <c r="BJ449" t="s">
        <v>74</v>
      </c>
      <c r="BK449" t="s">
        <v>74</v>
      </c>
      <c r="BL449" t="s">
        <v>74</v>
      </c>
      <c r="BM449" t="s">
        <v>74</v>
      </c>
      <c r="BN449">
        <v>35385248</v>
      </c>
      <c r="BO449" t="s">
        <v>74</v>
      </c>
      <c r="BP449" t="s">
        <v>74</v>
      </c>
      <c r="BQ449" t="s">
        <v>74</v>
      </c>
      <c r="BR449" t="s">
        <v>74</v>
      </c>
      <c r="BS449" t="s">
        <v>4012</v>
      </c>
      <c r="BT449" t="str">
        <f>HYPERLINK("https%3A%2F%2Fwww.webofscience.com%2Fwos%2Fwoscc%2Ffull-record%2FWOS:000797959300037","View Full Record in Web of Science")</f>
        <v>View Full Record in Web of Science</v>
      </c>
    </row>
    <row r="450" spans="1:72" x14ac:dyDescent="0.2">
      <c r="A450" t="s">
        <v>72</v>
      </c>
      <c r="B450" t="s">
        <v>4013</v>
      </c>
      <c r="C450" t="s">
        <v>74</v>
      </c>
      <c r="D450" t="s">
        <v>74</v>
      </c>
      <c r="E450" t="s">
        <v>74</v>
      </c>
      <c r="F450" t="s">
        <v>4014</v>
      </c>
      <c r="G450" t="s">
        <v>74</v>
      </c>
      <c r="H450" t="s">
        <v>74</v>
      </c>
      <c r="I450" t="s">
        <v>4015</v>
      </c>
      <c r="J450" t="s">
        <v>267</v>
      </c>
      <c r="K450" t="s">
        <v>74</v>
      </c>
      <c r="L450" t="s">
        <v>74</v>
      </c>
      <c r="M450" t="s">
        <v>74</v>
      </c>
      <c r="N450" t="s">
        <v>74</v>
      </c>
      <c r="O450" t="s">
        <v>74</v>
      </c>
      <c r="P450" t="s">
        <v>74</v>
      </c>
      <c r="Q450" t="s">
        <v>74</v>
      </c>
      <c r="R450" t="s">
        <v>74</v>
      </c>
      <c r="S450" t="s">
        <v>74</v>
      </c>
      <c r="T450" t="s">
        <v>74</v>
      </c>
      <c r="U450" t="s">
        <v>74</v>
      </c>
      <c r="V450" t="s">
        <v>4016</v>
      </c>
      <c r="W450" t="s">
        <v>74</v>
      </c>
      <c r="X450" t="s">
        <v>74</v>
      </c>
      <c r="Y450" t="s">
        <v>74</v>
      </c>
      <c r="Z450" t="s">
        <v>74</v>
      </c>
      <c r="AA450" t="s">
        <v>4017</v>
      </c>
      <c r="AB450" t="s">
        <v>4018</v>
      </c>
      <c r="AC450" t="s">
        <v>74</v>
      </c>
      <c r="AD450" t="s">
        <v>74</v>
      </c>
      <c r="AE450" t="s">
        <v>74</v>
      </c>
      <c r="AF450" t="s">
        <v>74</v>
      </c>
      <c r="AG450" t="s">
        <v>74</v>
      </c>
      <c r="AH450" t="s">
        <v>74</v>
      </c>
      <c r="AI450" t="s">
        <v>74</v>
      </c>
      <c r="AJ450" t="s">
        <v>74</v>
      </c>
      <c r="AK450" t="s">
        <v>74</v>
      </c>
      <c r="AL450" t="s">
        <v>74</v>
      </c>
      <c r="AM450" t="s">
        <v>74</v>
      </c>
      <c r="AN450" t="s">
        <v>74</v>
      </c>
      <c r="AO450" t="s">
        <v>270</v>
      </c>
      <c r="AP450" t="s">
        <v>271</v>
      </c>
      <c r="AQ450" t="s">
        <v>74</v>
      </c>
      <c r="AR450" t="s">
        <v>74</v>
      </c>
      <c r="AS450" t="s">
        <v>74</v>
      </c>
      <c r="AT450" t="s">
        <v>368</v>
      </c>
      <c r="AU450">
        <v>2022</v>
      </c>
      <c r="AV450">
        <v>32</v>
      </c>
      <c r="AW450">
        <v>29</v>
      </c>
      <c r="AX450" t="s">
        <v>74</v>
      </c>
      <c r="AY450" t="s">
        <v>74</v>
      </c>
      <c r="AZ450" t="s">
        <v>74</v>
      </c>
      <c r="BA450" t="s">
        <v>74</v>
      </c>
      <c r="BB450" t="s">
        <v>74</v>
      </c>
      <c r="BC450" t="s">
        <v>74</v>
      </c>
      <c r="BD450">
        <v>2201136</v>
      </c>
      <c r="BE450" t="s">
        <v>4019</v>
      </c>
      <c r="BF450" t="str">
        <f>HYPERLINK("http://dx.doi.org/10.1002/adfm.202201136","http://dx.doi.org/10.1002/adfm.202201136")</f>
        <v>http://dx.doi.org/10.1002/adfm.202201136</v>
      </c>
      <c r="BG450" t="s">
        <v>74</v>
      </c>
      <c r="BH450" t="s">
        <v>4003</v>
      </c>
      <c r="BI450" t="s">
        <v>74</v>
      </c>
      <c r="BJ450" t="s">
        <v>74</v>
      </c>
      <c r="BK450" t="s">
        <v>74</v>
      </c>
      <c r="BL450" t="s">
        <v>74</v>
      </c>
      <c r="BM450" t="s">
        <v>74</v>
      </c>
      <c r="BN450" t="s">
        <v>74</v>
      </c>
      <c r="BO450" t="s">
        <v>74</v>
      </c>
      <c r="BP450" t="s">
        <v>74</v>
      </c>
      <c r="BQ450" t="s">
        <v>74</v>
      </c>
      <c r="BR450" t="s">
        <v>74</v>
      </c>
      <c r="BS450" t="s">
        <v>4020</v>
      </c>
      <c r="BT450" t="str">
        <f>HYPERLINK("https%3A%2F%2Fwww.webofscience.com%2Fwos%2Fwoscc%2Ffull-record%2FWOS:000783741200001","View Full Record in Web of Science")</f>
        <v>View Full Record in Web of Science</v>
      </c>
    </row>
    <row r="451" spans="1:72" x14ac:dyDescent="0.2">
      <c r="A451" t="s">
        <v>72</v>
      </c>
      <c r="B451" t="s">
        <v>4021</v>
      </c>
      <c r="C451" t="s">
        <v>74</v>
      </c>
      <c r="D451" t="s">
        <v>74</v>
      </c>
      <c r="E451" t="s">
        <v>74</v>
      </c>
      <c r="F451" t="s">
        <v>4022</v>
      </c>
      <c r="G451" t="s">
        <v>74</v>
      </c>
      <c r="H451" t="s">
        <v>74</v>
      </c>
      <c r="I451" t="s">
        <v>4023</v>
      </c>
      <c r="J451" t="s">
        <v>352</v>
      </c>
      <c r="K451" t="s">
        <v>74</v>
      </c>
      <c r="L451" t="s">
        <v>74</v>
      </c>
      <c r="M451" t="s">
        <v>74</v>
      </c>
      <c r="N451" t="s">
        <v>74</v>
      </c>
      <c r="O451" t="s">
        <v>74</v>
      </c>
      <c r="P451" t="s">
        <v>74</v>
      </c>
      <c r="Q451" t="s">
        <v>74</v>
      </c>
      <c r="R451" t="s">
        <v>74</v>
      </c>
      <c r="S451" t="s">
        <v>74</v>
      </c>
      <c r="T451" t="s">
        <v>74</v>
      </c>
      <c r="U451" t="s">
        <v>74</v>
      </c>
      <c r="V451" t="s">
        <v>4024</v>
      </c>
      <c r="W451" t="s">
        <v>74</v>
      </c>
      <c r="X451" t="s">
        <v>74</v>
      </c>
      <c r="Y451" t="s">
        <v>74</v>
      </c>
      <c r="Z451" t="s">
        <v>74</v>
      </c>
      <c r="AA451" t="s">
        <v>4025</v>
      </c>
      <c r="AB451" t="s">
        <v>4026</v>
      </c>
      <c r="AC451" t="s">
        <v>74</v>
      </c>
      <c r="AD451" t="s">
        <v>74</v>
      </c>
      <c r="AE451" t="s">
        <v>74</v>
      </c>
      <c r="AF451" t="s">
        <v>74</v>
      </c>
      <c r="AG451" t="s">
        <v>74</v>
      </c>
      <c r="AH451" t="s">
        <v>74</v>
      </c>
      <c r="AI451" t="s">
        <v>74</v>
      </c>
      <c r="AJ451" t="s">
        <v>74</v>
      </c>
      <c r="AK451" t="s">
        <v>74</v>
      </c>
      <c r="AL451" t="s">
        <v>74</v>
      </c>
      <c r="AM451" t="s">
        <v>74</v>
      </c>
      <c r="AN451" t="s">
        <v>74</v>
      </c>
      <c r="AO451" t="s">
        <v>354</v>
      </c>
      <c r="AP451" t="s">
        <v>355</v>
      </c>
      <c r="AQ451" t="s">
        <v>74</v>
      </c>
      <c r="AR451" t="s">
        <v>74</v>
      </c>
      <c r="AS451" t="s">
        <v>74</v>
      </c>
      <c r="AT451" t="s">
        <v>1972</v>
      </c>
      <c r="AU451">
        <v>2022</v>
      </c>
      <c r="AV451">
        <v>12</v>
      </c>
      <c r="AW451">
        <v>21</v>
      </c>
      <c r="AX451" t="s">
        <v>74</v>
      </c>
      <c r="AY451" t="s">
        <v>74</v>
      </c>
      <c r="AZ451" t="s">
        <v>74</v>
      </c>
      <c r="BA451" t="s">
        <v>74</v>
      </c>
      <c r="BB451" t="s">
        <v>74</v>
      </c>
      <c r="BC451" t="s">
        <v>74</v>
      </c>
      <c r="BD451">
        <v>2200615</v>
      </c>
      <c r="BE451" t="s">
        <v>4027</v>
      </c>
      <c r="BF451" t="str">
        <f>HYPERLINK("http://dx.doi.org/10.1002/aenm.202200615","http://dx.doi.org/10.1002/aenm.202200615")</f>
        <v>http://dx.doi.org/10.1002/aenm.202200615</v>
      </c>
      <c r="BG451" t="s">
        <v>74</v>
      </c>
      <c r="BH451" t="s">
        <v>4003</v>
      </c>
      <c r="BI451" t="s">
        <v>74</v>
      </c>
      <c r="BJ451" t="s">
        <v>74</v>
      </c>
      <c r="BK451" t="s">
        <v>74</v>
      </c>
      <c r="BL451" t="s">
        <v>74</v>
      </c>
      <c r="BM451" t="s">
        <v>74</v>
      </c>
      <c r="BN451" t="s">
        <v>74</v>
      </c>
      <c r="BO451" t="s">
        <v>74</v>
      </c>
      <c r="BP451" t="s">
        <v>74</v>
      </c>
      <c r="BQ451" t="s">
        <v>74</v>
      </c>
      <c r="BR451" t="s">
        <v>74</v>
      </c>
      <c r="BS451" t="s">
        <v>4028</v>
      </c>
      <c r="BT451" t="str">
        <f>HYPERLINK("https%3A%2F%2Fwww.webofscience.com%2Fwos%2Fwoscc%2Ffull-record%2FWOS:000782776800001","View Full Record in Web of Science")</f>
        <v>View Full Record in Web of Science</v>
      </c>
    </row>
    <row r="452" spans="1:72" x14ac:dyDescent="0.2">
      <c r="A452" t="s">
        <v>72</v>
      </c>
      <c r="B452" t="s">
        <v>4029</v>
      </c>
      <c r="C452" t="s">
        <v>74</v>
      </c>
      <c r="D452" t="s">
        <v>74</v>
      </c>
      <c r="E452" t="s">
        <v>74</v>
      </c>
      <c r="F452" t="s">
        <v>4030</v>
      </c>
      <c r="G452" t="s">
        <v>74</v>
      </c>
      <c r="H452" t="s">
        <v>74</v>
      </c>
      <c r="I452" t="s">
        <v>4031</v>
      </c>
      <c r="J452" t="s">
        <v>98</v>
      </c>
      <c r="K452" t="s">
        <v>74</v>
      </c>
      <c r="L452" t="s">
        <v>74</v>
      </c>
      <c r="M452" t="s">
        <v>74</v>
      </c>
      <c r="N452" t="s">
        <v>74</v>
      </c>
      <c r="O452" t="s">
        <v>74</v>
      </c>
      <c r="P452" t="s">
        <v>74</v>
      </c>
      <c r="Q452" t="s">
        <v>74</v>
      </c>
      <c r="R452" t="s">
        <v>74</v>
      </c>
      <c r="S452" t="s">
        <v>74</v>
      </c>
      <c r="T452" t="s">
        <v>74</v>
      </c>
      <c r="U452" t="s">
        <v>74</v>
      </c>
      <c r="V452" t="s">
        <v>4032</v>
      </c>
      <c r="W452" t="s">
        <v>74</v>
      </c>
      <c r="X452" t="s">
        <v>74</v>
      </c>
      <c r="Y452" t="s">
        <v>74</v>
      </c>
      <c r="Z452" t="s">
        <v>74</v>
      </c>
      <c r="AA452" t="s">
        <v>4033</v>
      </c>
      <c r="AB452" t="s">
        <v>4034</v>
      </c>
      <c r="AC452" t="s">
        <v>74</v>
      </c>
      <c r="AD452" t="s">
        <v>74</v>
      </c>
      <c r="AE452" t="s">
        <v>74</v>
      </c>
      <c r="AF452" t="s">
        <v>74</v>
      </c>
      <c r="AG452" t="s">
        <v>74</v>
      </c>
      <c r="AH452" t="s">
        <v>74</v>
      </c>
      <c r="AI452" t="s">
        <v>74</v>
      </c>
      <c r="AJ452" t="s">
        <v>74</v>
      </c>
      <c r="AK452" t="s">
        <v>74</v>
      </c>
      <c r="AL452" t="s">
        <v>74</v>
      </c>
      <c r="AM452" t="s">
        <v>74</v>
      </c>
      <c r="AN452" t="s">
        <v>74</v>
      </c>
      <c r="AO452" t="s">
        <v>101</v>
      </c>
      <c r="AP452" t="s">
        <v>102</v>
      </c>
      <c r="AQ452" t="s">
        <v>74</v>
      </c>
      <c r="AR452" t="s">
        <v>74</v>
      </c>
      <c r="AS452" t="s">
        <v>74</v>
      </c>
      <c r="AT452" t="s">
        <v>378</v>
      </c>
      <c r="AU452">
        <v>2022</v>
      </c>
      <c r="AV452">
        <v>535</v>
      </c>
      <c r="AW452" t="s">
        <v>74</v>
      </c>
      <c r="AX452" t="s">
        <v>74</v>
      </c>
      <c r="AY452" t="s">
        <v>74</v>
      </c>
      <c r="AZ452" t="s">
        <v>74</v>
      </c>
      <c r="BA452" t="s">
        <v>74</v>
      </c>
      <c r="BB452" t="s">
        <v>74</v>
      </c>
      <c r="BC452" t="s">
        <v>74</v>
      </c>
      <c r="BD452">
        <v>231451</v>
      </c>
      <c r="BE452" t="s">
        <v>4035</v>
      </c>
      <c r="BF452" t="str">
        <f>HYPERLINK("http://dx.doi.org/10.1016/j.jpowsour.2022.231451","http://dx.doi.org/10.1016/j.jpowsour.2022.231451")</f>
        <v>http://dx.doi.org/10.1016/j.jpowsour.2022.231451</v>
      </c>
      <c r="BG452" t="s">
        <v>74</v>
      </c>
      <c r="BH452" t="s">
        <v>4003</v>
      </c>
      <c r="BI452" t="s">
        <v>74</v>
      </c>
      <c r="BJ452" t="s">
        <v>74</v>
      </c>
      <c r="BK452" t="s">
        <v>74</v>
      </c>
      <c r="BL452" t="s">
        <v>74</v>
      </c>
      <c r="BM452" t="s">
        <v>74</v>
      </c>
      <c r="BN452" t="s">
        <v>74</v>
      </c>
      <c r="BO452" t="s">
        <v>74</v>
      </c>
      <c r="BP452" t="s">
        <v>74</v>
      </c>
      <c r="BQ452" t="s">
        <v>74</v>
      </c>
      <c r="BR452" t="s">
        <v>74</v>
      </c>
      <c r="BS452" t="s">
        <v>4036</v>
      </c>
      <c r="BT452" t="str">
        <f>HYPERLINK("https%3A%2F%2Fwww.webofscience.com%2Fwos%2Fwoscc%2Ffull-record%2FWOS:000793516900002","View Full Record in Web of Science")</f>
        <v>View Full Record in Web of Science</v>
      </c>
    </row>
    <row r="453" spans="1:72" x14ac:dyDescent="0.2">
      <c r="A453" t="s">
        <v>72</v>
      </c>
      <c r="B453" t="s">
        <v>4037</v>
      </c>
      <c r="C453" t="s">
        <v>74</v>
      </c>
      <c r="D453" t="s">
        <v>74</v>
      </c>
      <c r="E453" t="s">
        <v>74</v>
      </c>
      <c r="F453" t="s">
        <v>4038</v>
      </c>
      <c r="G453" t="s">
        <v>74</v>
      </c>
      <c r="H453" t="s">
        <v>74</v>
      </c>
      <c r="I453" t="s">
        <v>4039</v>
      </c>
      <c r="J453" t="s">
        <v>433</v>
      </c>
      <c r="K453" t="s">
        <v>74</v>
      </c>
      <c r="L453" t="s">
        <v>74</v>
      </c>
      <c r="M453" t="s">
        <v>74</v>
      </c>
      <c r="N453" t="s">
        <v>74</v>
      </c>
      <c r="O453" t="s">
        <v>74</v>
      </c>
      <c r="P453" t="s">
        <v>74</v>
      </c>
      <c r="Q453" t="s">
        <v>74</v>
      </c>
      <c r="R453" t="s">
        <v>74</v>
      </c>
      <c r="S453" t="s">
        <v>74</v>
      </c>
      <c r="T453" t="s">
        <v>74</v>
      </c>
      <c r="U453" t="s">
        <v>74</v>
      </c>
      <c r="V453" t="s">
        <v>4040</v>
      </c>
      <c r="W453" t="s">
        <v>74</v>
      </c>
      <c r="X453" t="s">
        <v>74</v>
      </c>
      <c r="Y453" t="s">
        <v>74</v>
      </c>
      <c r="Z453" t="s">
        <v>74</v>
      </c>
      <c r="AA453" t="s">
        <v>4041</v>
      </c>
      <c r="AB453" t="s">
        <v>4042</v>
      </c>
      <c r="AC453" t="s">
        <v>74</v>
      </c>
      <c r="AD453" t="s">
        <v>74</v>
      </c>
      <c r="AE453" t="s">
        <v>74</v>
      </c>
      <c r="AF453" t="s">
        <v>74</v>
      </c>
      <c r="AG453" t="s">
        <v>74</v>
      </c>
      <c r="AH453" t="s">
        <v>74</v>
      </c>
      <c r="AI453" t="s">
        <v>74</v>
      </c>
      <c r="AJ453" t="s">
        <v>74</v>
      </c>
      <c r="AK453" t="s">
        <v>74</v>
      </c>
      <c r="AL453" t="s">
        <v>74</v>
      </c>
      <c r="AM453" t="s">
        <v>74</v>
      </c>
      <c r="AN453" t="s">
        <v>74</v>
      </c>
      <c r="AO453" t="s">
        <v>435</v>
      </c>
      <c r="AP453" t="s">
        <v>436</v>
      </c>
      <c r="AQ453" t="s">
        <v>74</v>
      </c>
      <c r="AR453" t="s">
        <v>74</v>
      </c>
      <c r="AS453" t="s">
        <v>74</v>
      </c>
      <c r="AT453" t="s">
        <v>261</v>
      </c>
      <c r="AU453">
        <v>2022</v>
      </c>
      <c r="AV453">
        <v>910</v>
      </c>
      <c r="AW453" t="s">
        <v>74</v>
      </c>
      <c r="AX453" t="s">
        <v>74</v>
      </c>
      <c r="AY453" t="s">
        <v>74</v>
      </c>
      <c r="AZ453" t="s">
        <v>74</v>
      </c>
      <c r="BA453" t="s">
        <v>74</v>
      </c>
      <c r="BB453" t="s">
        <v>74</v>
      </c>
      <c r="BC453" t="s">
        <v>74</v>
      </c>
      <c r="BD453">
        <v>164917</v>
      </c>
      <c r="BE453" t="s">
        <v>4043</v>
      </c>
      <c r="BF453" t="str">
        <f>HYPERLINK("http://dx.doi.org/10.1016/j.jallcom.2022.164917","http://dx.doi.org/10.1016/j.jallcom.2022.164917")</f>
        <v>http://dx.doi.org/10.1016/j.jallcom.2022.164917</v>
      </c>
      <c r="BG453" t="s">
        <v>74</v>
      </c>
      <c r="BH453" t="s">
        <v>4003</v>
      </c>
      <c r="BI453" t="s">
        <v>74</v>
      </c>
      <c r="BJ453" t="s">
        <v>74</v>
      </c>
      <c r="BK453" t="s">
        <v>74</v>
      </c>
      <c r="BL453" t="s">
        <v>74</v>
      </c>
      <c r="BM453" t="s">
        <v>74</v>
      </c>
      <c r="BN453" t="s">
        <v>74</v>
      </c>
      <c r="BO453" t="s">
        <v>74</v>
      </c>
      <c r="BP453" t="s">
        <v>74</v>
      </c>
      <c r="BQ453" t="s">
        <v>74</v>
      </c>
      <c r="BR453" t="s">
        <v>74</v>
      </c>
      <c r="BS453" t="s">
        <v>4044</v>
      </c>
      <c r="BT453" t="str">
        <f>HYPERLINK("https%3A%2F%2Fwww.webofscience.com%2Fwos%2Fwoscc%2Ffull-record%2FWOS:000797835600001","View Full Record in Web of Science")</f>
        <v>View Full Record in Web of Science</v>
      </c>
    </row>
    <row r="454" spans="1:72" x14ac:dyDescent="0.2">
      <c r="A454" t="s">
        <v>72</v>
      </c>
      <c r="B454" t="s">
        <v>4045</v>
      </c>
      <c r="C454" t="s">
        <v>74</v>
      </c>
      <c r="D454" t="s">
        <v>74</v>
      </c>
      <c r="E454" t="s">
        <v>74</v>
      </c>
      <c r="F454" t="s">
        <v>4046</v>
      </c>
      <c r="G454" t="s">
        <v>74</v>
      </c>
      <c r="H454" t="s">
        <v>74</v>
      </c>
      <c r="I454" t="s">
        <v>4047</v>
      </c>
      <c r="J454" t="s">
        <v>3581</v>
      </c>
      <c r="K454" t="s">
        <v>74</v>
      </c>
      <c r="L454" t="s">
        <v>74</v>
      </c>
      <c r="M454" t="s">
        <v>74</v>
      </c>
      <c r="N454" t="s">
        <v>74</v>
      </c>
      <c r="O454" t="s">
        <v>74</v>
      </c>
      <c r="P454" t="s">
        <v>74</v>
      </c>
      <c r="Q454" t="s">
        <v>74</v>
      </c>
      <c r="R454" t="s">
        <v>74</v>
      </c>
      <c r="S454" t="s">
        <v>74</v>
      </c>
      <c r="T454" t="s">
        <v>74</v>
      </c>
      <c r="U454" t="s">
        <v>74</v>
      </c>
      <c r="V454" t="s">
        <v>4048</v>
      </c>
      <c r="W454" t="s">
        <v>74</v>
      </c>
      <c r="X454" t="s">
        <v>74</v>
      </c>
      <c r="Y454" t="s">
        <v>74</v>
      </c>
      <c r="Z454" t="s">
        <v>74</v>
      </c>
      <c r="AA454" t="s">
        <v>4049</v>
      </c>
      <c r="AB454" t="s">
        <v>4050</v>
      </c>
      <c r="AC454" t="s">
        <v>74</v>
      </c>
      <c r="AD454" t="s">
        <v>74</v>
      </c>
      <c r="AE454" t="s">
        <v>74</v>
      </c>
      <c r="AF454" t="s">
        <v>74</v>
      </c>
      <c r="AG454" t="s">
        <v>74</v>
      </c>
      <c r="AH454" t="s">
        <v>74</v>
      </c>
      <c r="AI454" t="s">
        <v>74</v>
      </c>
      <c r="AJ454" t="s">
        <v>74</v>
      </c>
      <c r="AK454" t="s">
        <v>74</v>
      </c>
      <c r="AL454" t="s">
        <v>74</v>
      </c>
      <c r="AM454" t="s">
        <v>74</v>
      </c>
      <c r="AN454" t="s">
        <v>74</v>
      </c>
      <c r="AO454" t="s">
        <v>3585</v>
      </c>
      <c r="AP454" t="s">
        <v>3586</v>
      </c>
      <c r="AQ454" t="s">
        <v>74</v>
      </c>
      <c r="AR454" t="s">
        <v>74</v>
      </c>
      <c r="AS454" t="s">
        <v>74</v>
      </c>
      <c r="AT454" t="s">
        <v>4051</v>
      </c>
      <c r="AU454">
        <v>2022</v>
      </c>
      <c r="AV454">
        <v>58</v>
      </c>
      <c r="AW454">
        <v>37</v>
      </c>
      <c r="AX454" t="s">
        <v>74</v>
      </c>
      <c r="AY454" t="s">
        <v>74</v>
      </c>
      <c r="AZ454" t="s">
        <v>74</v>
      </c>
      <c r="BA454" t="s">
        <v>74</v>
      </c>
      <c r="BB454">
        <v>5586</v>
      </c>
      <c r="BC454">
        <v>5589</v>
      </c>
      <c r="BD454" t="s">
        <v>74</v>
      </c>
      <c r="BE454" t="s">
        <v>4052</v>
      </c>
      <c r="BF454" t="str">
        <f>HYPERLINK("http://dx.doi.org/10.1039/d2cc00690a","http://dx.doi.org/10.1039/d2cc00690a")</f>
        <v>http://dx.doi.org/10.1039/d2cc00690a</v>
      </c>
      <c r="BG454" t="s">
        <v>74</v>
      </c>
      <c r="BH454" t="s">
        <v>4003</v>
      </c>
      <c r="BI454" t="s">
        <v>74</v>
      </c>
      <c r="BJ454" t="s">
        <v>74</v>
      </c>
      <c r="BK454" t="s">
        <v>74</v>
      </c>
      <c r="BL454" t="s">
        <v>74</v>
      </c>
      <c r="BM454" t="s">
        <v>74</v>
      </c>
      <c r="BN454">
        <v>35438117</v>
      </c>
      <c r="BO454" t="s">
        <v>74</v>
      </c>
      <c r="BP454" t="s">
        <v>74</v>
      </c>
      <c r="BQ454" t="s">
        <v>74</v>
      </c>
      <c r="BR454" t="s">
        <v>74</v>
      </c>
      <c r="BS454" t="s">
        <v>4053</v>
      </c>
      <c r="BT454" t="str">
        <f>HYPERLINK("https%3A%2F%2Fwww.webofscience.com%2Fwos%2Fwoscc%2Ffull-record%2FWOS:000784311300001","View Full Record in Web of Science")</f>
        <v>View Full Record in Web of Science</v>
      </c>
    </row>
    <row r="455" spans="1:72" x14ac:dyDescent="0.2">
      <c r="A455" t="s">
        <v>72</v>
      </c>
      <c r="B455" t="s">
        <v>4054</v>
      </c>
      <c r="C455" t="s">
        <v>74</v>
      </c>
      <c r="D455" t="s">
        <v>74</v>
      </c>
      <c r="E455" t="s">
        <v>74</v>
      </c>
      <c r="F455" t="s">
        <v>4055</v>
      </c>
      <c r="G455" t="s">
        <v>74</v>
      </c>
      <c r="H455" t="s">
        <v>74</v>
      </c>
      <c r="I455" t="s">
        <v>4056</v>
      </c>
      <c r="J455" t="s">
        <v>1040</v>
      </c>
      <c r="K455" t="s">
        <v>74</v>
      </c>
      <c r="L455" t="s">
        <v>74</v>
      </c>
      <c r="M455" t="s">
        <v>74</v>
      </c>
      <c r="N455" t="s">
        <v>74</v>
      </c>
      <c r="O455" t="s">
        <v>74</v>
      </c>
      <c r="P455" t="s">
        <v>74</v>
      </c>
      <c r="Q455" t="s">
        <v>74</v>
      </c>
      <c r="R455" t="s">
        <v>74</v>
      </c>
      <c r="S455" t="s">
        <v>74</v>
      </c>
      <c r="T455" t="s">
        <v>74</v>
      </c>
      <c r="U455" t="s">
        <v>74</v>
      </c>
      <c r="V455" t="s">
        <v>4057</v>
      </c>
      <c r="W455" t="s">
        <v>74</v>
      </c>
      <c r="X455" t="s">
        <v>74</v>
      </c>
      <c r="Y455" t="s">
        <v>74</v>
      </c>
      <c r="Z455" t="s">
        <v>74</v>
      </c>
      <c r="AA455" t="s">
        <v>4058</v>
      </c>
      <c r="AB455" t="s">
        <v>74</v>
      </c>
      <c r="AC455" t="s">
        <v>74</v>
      </c>
      <c r="AD455" t="s">
        <v>74</v>
      </c>
      <c r="AE455" t="s">
        <v>74</v>
      </c>
      <c r="AF455" t="s">
        <v>74</v>
      </c>
      <c r="AG455" t="s">
        <v>74</v>
      </c>
      <c r="AH455" t="s">
        <v>74</v>
      </c>
      <c r="AI455" t="s">
        <v>74</v>
      </c>
      <c r="AJ455" t="s">
        <v>74</v>
      </c>
      <c r="AK455" t="s">
        <v>74</v>
      </c>
      <c r="AL455" t="s">
        <v>74</v>
      </c>
      <c r="AM455" t="s">
        <v>74</v>
      </c>
      <c r="AN455" t="s">
        <v>74</v>
      </c>
      <c r="AO455" t="s">
        <v>1043</v>
      </c>
      <c r="AP455" t="s">
        <v>1044</v>
      </c>
      <c r="AQ455" t="s">
        <v>74</v>
      </c>
      <c r="AR455" t="s">
        <v>74</v>
      </c>
      <c r="AS455" t="s">
        <v>74</v>
      </c>
      <c r="AT455" t="s">
        <v>4059</v>
      </c>
      <c r="AU455">
        <v>2022</v>
      </c>
      <c r="AV455">
        <v>24</v>
      </c>
      <c r="AW455">
        <v>18</v>
      </c>
      <c r="AX455" t="s">
        <v>74</v>
      </c>
      <c r="AY455" t="s">
        <v>74</v>
      </c>
      <c r="AZ455" t="s">
        <v>74</v>
      </c>
      <c r="BA455" t="s">
        <v>74</v>
      </c>
      <c r="BB455">
        <v>11345</v>
      </c>
      <c r="BC455">
        <v>11352</v>
      </c>
      <c r="BD455" t="s">
        <v>74</v>
      </c>
      <c r="BE455" t="s">
        <v>4060</v>
      </c>
      <c r="BF455" t="str">
        <f>HYPERLINK("http://dx.doi.org/10.1039/d1cp05230f","http://dx.doi.org/10.1039/d1cp05230f")</f>
        <v>http://dx.doi.org/10.1039/d1cp05230f</v>
      </c>
      <c r="BG455" t="s">
        <v>74</v>
      </c>
      <c r="BH455" t="s">
        <v>4003</v>
      </c>
      <c r="BI455" t="s">
        <v>74</v>
      </c>
      <c r="BJ455" t="s">
        <v>74</v>
      </c>
      <c r="BK455" t="s">
        <v>74</v>
      </c>
      <c r="BL455" t="s">
        <v>74</v>
      </c>
      <c r="BM455" t="s">
        <v>74</v>
      </c>
      <c r="BN455">
        <v>35485961</v>
      </c>
      <c r="BO455" t="s">
        <v>74</v>
      </c>
      <c r="BP455" t="s">
        <v>74</v>
      </c>
      <c r="BQ455" t="s">
        <v>74</v>
      </c>
      <c r="BR455" t="s">
        <v>74</v>
      </c>
      <c r="BS455" t="s">
        <v>4061</v>
      </c>
      <c r="BT455" t="str">
        <f>HYPERLINK("https%3A%2F%2Fwww.webofscience.com%2Fwos%2Fwoscc%2Ffull-record%2FWOS:000789208500001","View Full Record in Web of Science")</f>
        <v>View Full Record in Web of Science</v>
      </c>
    </row>
    <row r="456" spans="1:72" x14ac:dyDescent="0.2">
      <c r="A456" t="s">
        <v>72</v>
      </c>
      <c r="B456" t="s">
        <v>4062</v>
      </c>
      <c r="C456" t="s">
        <v>74</v>
      </c>
      <c r="D456" t="s">
        <v>74</v>
      </c>
      <c r="E456" t="s">
        <v>74</v>
      </c>
      <c r="F456" t="s">
        <v>4063</v>
      </c>
      <c r="G456" t="s">
        <v>74</v>
      </c>
      <c r="H456" t="s">
        <v>74</v>
      </c>
      <c r="I456" t="s">
        <v>4064</v>
      </c>
      <c r="J456" t="s">
        <v>3812</v>
      </c>
      <c r="K456" t="s">
        <v>74</v>
      </c>
      <c r="L456" t="s">
        <v>74</v>
      </c>
      <c r="M456" t="s">
        <v>74</v>
      </c>
      <c r="N456" t="s">
        <v>74</v>
      </c>
      <c r="O456" t="s">
        <v>74</v>
      </c>
      <c r="P456" t="s">
        <v>74</v>
      </c>
      <c r="Q456" t="s">
        <v>74</v>
      </c>
      <c r="R456" t="s">
        <v>74</v>
      </c>
      <c r="S456" t="s">
        <v>74</v>
      </c>
      <c r="T456" t="s">
        <v>74</v>
      </c>
      <c r="U456" t="s">
        <v>74</v>
      </c>
      <c r="V456" t="s">
        <v>4065</v>
      </c>
      <c r="W456" t="s">
        <v>74</v>
      </c>
      <c r="X456" t="s">
        <v>74</v>
      </c>
      <c r="Y456" t="s">
        <v>74</v>
      </c>
      <c r="Z456" t="s">
        <v>74</v>
      </c>
      <c r="AA456" t="s">
        <v>4066</v>
      </c>
      <c r="AB456" t="s">
        <v>74</v>
      </c>
      <c r="AC456" t="s">
        <v>74</v>
      </c>
      <c r="AD456" t="s">
        <v>74</v>
      </c>
      <c r="AE456" t="s">
        <v>74</v>
      </c>
      <c r="AF456" t="s">
        <v>74</v>
      </c>
      <c r="AG456" t="s">
        <v>74</v>
      </c>
      <c r="AH456" t="s">
        <v>74</v>
      </c>
      <c r="AI456" t="s">
        <v>74</v>
      </c>
      <c r="AJ456" t="s">
        <v>74</v>
      </c>
      <c r="AK456" t="s">
        <v>74</v>
      </c>
      <c r="AL456" t="s">
        <v>74</v>
      </c>
      <c r="AM456" t="s">
        <v>74</v>
      </c>
      <c r="AN456" t="s">
        <v>74</v>
      </c>
      <c r="AO456" t="s">
        <v>3815</v>
      </c>
      <c r="AP456" t="s">
        <v>74</v>
      </c>
      <c r="AQ456" t="s">
        <v>74</v>
      </c>
      <c r="AR456" t="s">
        <v>74</v>
      </c>
      <c r="AS456" t="s">
        <v>74</v>
      </c>
      <c r="AT456" t="s">
        <v>4067</v>
      </c>
      <c r="AU456">
        <v>2022</v>
      </c>
      <c r="AV456">
        <v>10</v>
      </c>
      <c r="AW456" t="s">
        <v>74</v>
      </c>
      <c r="AX456" t="s">
        <v>74</v>
      </c>
      <c r="AY456" t="s">
        <v>74</v>
      </c>
      <c r="AZ456" t="s">
        <v>74</v>
      </c>
      <c r="BA456" t="s">
        <v>74</v>
      </c>
      <c r="BB456" t="s">
        <v>74</v>
      </c>
      <c r="BC456" t="s">
        <v>74</v>
      </c>
      <c r="BD456">
        <v>866959</v>
      </c>
      <c r="BE456" t="s">
        <v>4068</v>
      </c>
      <c r="BF456" t="str">
        <f>HYPERLINK("http://dx.doi.org/10.3389/fchem.2022.866959","http://dx.doi.org/10.3389/fchem.2022.866959")</f>
        <v>http://dx.doi.org/10.3389/fchem.2022.866959</v>
      </c>
      <c r="BG456" t="s">
        <v>74</v>
      </c>
      <c r="BH456" t="s">
        <v>74</v>
      </c>
      <c r="BI456" t="s">
        <v>74</v>
      </c>
      <c r="BJ456" t="s">
        <v>74</v>
      </c>
      <c r="BK456" t="s">
        <v>74</v>
      </c>
      <c r="BL456" t="s">
        <v>74</v>
      </c>
      <c r="BM456" t="s">
        <v>74</v>
      </c>
      <c r="BN456">
        <v>35464216</v>
      </c>
      <c r="BO456" t="s">
        <v>74</v>
      </c>
      <c r="BP456" t="s">
        <v>74</v>
      </c>
      <c r="BQ456" t="s">
        <v>74</v>
      </c>
      <c r="BR456" t="s">
        <v>74</v>
      </c>
      <c r="BS456" t="s">
        <v>4069</v>
      </c>
      <c r="BT456" t="str">
        <f>HYPERLINK("https%3A%2F%2Fwww.webofscience.com%2Fwos%2Fwoscc%2Ffull-record%2FWOS:000807797500001","View Full Record in Web of Science")</f>
        <v>View Full Record in Web of Science</v>
      </c>
    </row>
    <row r="457" spans="1:72" x14ac:dyDescent="0.2">
      <c r="A457" t="s">
        <v>72</v>
      </c>
      <c r="B457" t="s">
        <v>4070</v>
      </c>
      <c r="C457" t="s">
        <v>74</v>
      </c>
      <c r="D457" t="s">
        <v>74</v>
      </c>
      <c r="E457" t="s">
        <v>74</v>
      </c>
      <c r="F457" t="s">
        <v>4071</v>
      </c>
      <c r="G457" t="s">
        <v>74</v>
      </c>
      <c r="H457" t="s">
        <v>74</v>
      </c>
      <c r="I457" t="s">
        <v>4072</v>
      </c>
      <c r="J457" t="s">
        <v>374</v>
      </c>
      <c r="K457" t="s">
        <v>74</v>
      </c>
      <c r="L457" t="s">
        <v>74</v>
      </c>
      <c r="M457" t="s">
        <v>74</v>
      </c>
      <c r="N457" t="s">
        <v>74</v>
      </c>
      <c r="O457" t="s">
        <v>74</v>
      </c>
      <c r="P457" t="s">
        <v>74</v>
      </c>
      <c r="Q457" t="s">
        <v>74</v>
      </c>
      <c r="R457" t="s">
        <v>74</v>
      </c>
      <c r="S457" t="s">
        <v>74</v>
      </c>
      <c r="T457" t="s">
        <v>74</v>
      </c>
      <c r="U457" t="s">
        <v>74</v>
      </c>
      <c r="V457" t="s">
        <v>4073</v>
      </c>
      <c r="W457" t="s">
        <v>74</v>
      </c>
      <c r="X457" t="s">
        <v>74</v>
      </c>
      <c r="Y457" t="s">
        <v>74</v>
      </c>
      <c r="Z457" t="s">
        <v>74</v>
      </c>
      <c r="AA457" t="s">
        <v>4074</v>
      </c>
      <c r="AB457" t="s">
        <v>4075</v>
      </c>
      <c r="AC457" t="s">
        <v>74</v>
      </c>
      <c r="AD457" t="s">
        <v>74</v>
      </c>
      <c r="AE457" t="s">
        <v>74</v>
      </c>
      <c r="AF457" t="s">
        <v>74</v>
      </c>
      <c r="AG457" t="s">
        <v>74</v>
      </c>
      <c r="AH457" t="s">
        <v>74</v>
      </c>
      <c r="AI457" t="s">
        <v>74</v>
      </c>
      <c r="AJ457" t="s">
        <v>74</v>
      </c>
      <c r="AK457" t="s">
        <v>74</v>
      </c>
      <c r="AL457" t="s">
        <v>74</v>
      </c>
      <c r="AM457" t="s">
        <v>74</v>
      </c>
      <c r="AN457" t="s">
        <v>74</v>
      </c>
      <c r="AO457" t="s">
        <v>377</v>
      </c>
      <c r="AP457" t="s">
        <v>74</v>
      </c>
      <c r="AQ457" t="s">
        <v>74</v>
      </c>
      <c r="AR457" t="s">
        <v>74</v>
      </c>
      <c r="AS457" t="s">
        <v>74</v>
      </c>
      <c r="AT457" t="s">
        <v>4067</v>
      </c>
      <c r="AU457">
        <v>2022</v>
      </c>
      <c r="AV457">
        <v>7</v>
      </c>
      <c r="AW457">
        <v>4</v>
      </c>
      <c r="AX457" t="s">
        <v>74</v>
      </c>
      <c r="AY457" t="s">
        <v>74</v>
      </c>
      <c r="AZ457" t="s">
        <v>74</v>
      </c>
      <c r="BA457" t="s">
        <v>74</v>
      </c>
      <c r="BB457">
        <v>1558</v>
      </c>
      <c r="BC457">
        <v>1565</v>
      </c>
      <c r="BD457" t="s">
        <v>74</v>
      </c>
      <c r="BE457" t="s">
        <v>4076</v>
      </c>
      <c r="BF457" t="str">
        <f>HYPERLINK("http://dx.doi.org/10.1021/acsenergylett.2c00535","http://dx.doi.org/10.1021/acsenergylett.2c00535")</f>
        <v>http://dx.doi.org/10.1021/acsenergylett.2c00535</v>
      </c>
      <c r="BG457" t="s">
        <v>74</v>
      </c>
      <c r="BH457" t="s">
        <v>74</v>
      </c>
      <c r="BI457" t="s">
        <v>74</v>
      </c>
      <c r="BJ457" t="s">
        <v>74</v>
      </c>
      <c r="BK457" t="s">
        <v>74</v>
      </c>
      <c r="BL457" t="s">
        <v>74</v>
      </c>
      <c r="BM457" t="s">
        <v>74</v>
      </c>
      <c r="BN457" t="s">
        <v>74</v>
      </c>
      <c r="BO457" t="s">
        <v>74</v>
      </c>
      <c r="BP457" t="s">
        <v>74</v>
      </c>
      <c r="BQ457" t="s">
        <v>74</v>
      </c>
      <c r="BR457" t="s">
        <v>74</v>
      </c>
      <c r="BS457" t="s">
        <v>4077</v>
      </c>
      <c r="BT457" t="str">
        <f>HYPERLINK("https%3A%2F%2Fwww.webofscience.com%2Fwos%2Fwoscc%2Ffull-record%2FWOS:000788751100034","View Full Record in Web of Science")</f>
        <v>View Full Record in Web of Science</v>
      </c>
    </row>
    <row r="458" spans="1:72" x14ac:dyDescent="0.2">
      <c r="A458" t="s">
        <v>72</v>
      </c>
      <c r="B458" t="s">
        <v>4078</v>
      </c>
      <c r="C458" t="s">
        <v>74</v>
      </c>
      <c r="D458" t="s">
        <v>74</v>
      </c>
      <c r="E458" t="s">
        <v>74</v>
      </c>
      <c r="F458" t="s">
        <v>4079</v>
      </c>
      <c r="G458" t="s">
        <v>74</v>
      </c>
      <c r="H458" t="s">
        <v>74</v>
      </c>
      <c r="I458" t="s">
        <v>4080</v>
      </c>
      <c r="J458" t="s">
        <v>1457</v>
      </c>
      <c r="K458" t="s">
        <v>74</v>
      </c>
      <c r="L458" t="s">
        <v>74</v>
      </c>
      <c r="M458" t="s">
        <v>74</v>
      </c>
      <c r="N458" t="s">
        <v>74</v>
      </c>
      <c r="O458" t="s">
        <v>74</v>
      </c>
      <c r="P458" t="s">
        <v>74</v>
      </c>
      <c r="Q458" t="s">
        <v>74</v>
      </c>
      <c r="R458" t="s">
        <v>74</v>
      </c>
      <c r="S458" t="s">
        <v>74</v>
      </c>
      <c r="T458" t="s">
        <v>74</v>
      </c>
      <c r="U458" t="s">
        <v>74</v>
      </c>
      <c r="V458" t="s">
        <v>4081</v>
      </c>
      <c r="W458" t="s">
        <v>74</v>
      </c>
      <c r="X458" t="s">
        <v>74</v>
      </c>
      <c r="Y458" t="s">
        <v>74</v>
      </c>
      <c r="Z458" t="s">
        <v>74</v>
      </c>
      <c r="AA458" t="s">
        <v>4082</v>
      </c>
      <c r="AB458" t="s">
        <v>74</v>
      </c>
      <c r="AC458" t="s">
        <v>74</v>
      </c>
      <c r="AD458" t="s">
        <v>74</v>
      </c>
      <c r="AE458" t="s">
        <v>74</v>
      </c>
      <c r="AF458" t="s">
        <v>74</v>
      </c>
      <c r="AG458" t="s">
        <v>74</v>
      </c>
      <c r="AH458" t="s">
        <v>74</v>
      </c>
      <c r="AI458" t="s">
        <v>74</v>
      </c>
      <c r="AJ458" t="s">
        <v>74</v>
      </c>
      <c r="AK458" t="s">
        <v>74</v>
      </c>
      <c r="AL458" t="s">
        <v>74</v>
      </c>
      <c r="AM458" t="s">
        <v>74</v>
      </c>
      <c r="AN458" t="s">
        <v>74</v>
      </c>
      <c r="AO458" t="s">
        <v>1461</v>
      </c>
      <c r="AP458" t="s">
        <v>1462</v>
      </c>
      <c r="AQ458" t="s">
        <v>74</v>
      </c>
      <c r="AR458" t="s">
        <v>74</v>
      </c>
      <c r="AS458" t="s">
        <v>74</v>
      </c>
      <c r="AT458" t="s">
        <v>910</v>
      </c>
      <c r="AU458">
        <v>2022</v>
      </c>
      <c r="AV458">
        <v>580</v>
      </c>
      <c r="AW458" t="s">
        <v>74</v>
      </c>
      <c r="AX458" t="s">
        <v>74</v>
      </c>
      <c r="AY458" t="s">
        <v>74</v>
      </c>
      <c r="AZ458" t="s">
        <v>74</v>
      </c>
      <c r="BA458" t="s">
        <v>74</v>
      </c>
      <c r="BB458" t="s">
        <v>74</v>
      </c>
      <c r="BC458" t="s">
        <v>74</v>
      </c>
      <c r="BD458">
        <v>152236</v>
      </c>
      <c r="BE458" t="s">
        <v>4083</v>
      </c>
      <c r="BF458" t="str">
        <f>HYPERLINK("http://dx.doi.org/10.1016/j.apsusc.2021.152236","http://dx.doi.org/10.1016/j.apsusc.2021.152236")</f>
        <v>http://dx.doi.org/10.1016/j.apsusc.2021.152236</v>
      </c>
      <c r="BG458" t="s">
        <v>74</v>
      </c>
      <c r="BH458" t="s">
        <v>74</v>
      </c>
      <c r="BI458" t="s">
        <v>74</v>
      </c>
      <c r="BJ458" t="s">
        <v>74</v>
      </c>
      <c r="BK458" t="s">
        <v>74</v>
      </c>
      <c r="BL458" t="s">
        <v>74</v>
      </c>
      <c r="BM458" t="s">
        <v>74</v>
      </c>
      <c r="BN458" t="s">
        <v>74</v>
      </c>
      <c r="BO458" t="s">
        <v>74</v>
      </c>
      <c r="BP458" t="s">
        <v>74</v>
      </c>
      <c r="BQ458" t="s">
        <v>74</v>
      </c>
      <c r="BR458" t="s">
        <v>74</v>
      </c>
      <c r="BS458" t="s">
        <v>4084</v>
      </c>
      <c r="BT458" t="str">
        <f>HYPERLINK("https%3A%2F%2Fwww.webofscience.com%2Fwos%2Fwoscc%2Ffull-record%2FWOS:000762841400004","View Full Record in Web of Science")</f>
        <v>View Full Record in Web of Science</v>
      </c>
    </row>
    <row r="459" spans="1:72" x14ac:dyDescent="0.2">
      <c r="A459" t="s">
        <v>72</v>
      </c>
      <c r="B459" t="s">
        <v>4085</v>
      </c>
      <c r="C459" t="s">
        <v>74</v>
      </c>
      <c r="D459" t="s">
        <v>74</v>
      </c>
      <c r="E459" t="s">
        <v>74</v>
      </c>
      <c r="F459" t="s">
        <v>4086</v>
      </c>
      <c r="G459" t="s">
        <v>74</v>
      </c>
      <c r="H459" t="s">
        <v>74</v>
      </c>
      <c r="I459" t="s">
        <v>4087</v>
      </c>
      <c r="J459" t="s">
        <v>754</v>
      </c>
      <c r="K459" t="s">
        <v>74</v>
      </c>
      <c r="L459" t="s">
        <v>74</v>
      </c>
      <c r="M459" t="s">
        <v>74</v>
      </c>
      <c r="N459" t="s">
        <v>74</v>
      </c>
      <c r="O459" t="s">
        <v>74</v>
      </c>
      <c r="P459" t="s">
        <v>74</v>
      </c>
      <c r="Q459" t="s">
        <v>74</v>
      </c>
      <c r="R459" t="s">
        <v>74</v>
      </c>
      <c r="S459" t="s">
        <v>74</v>
      </c>
      <c r="T459" t="s">
        <v>74</v>
      </c>
      <c r="U459" t="s">
        <v>74</v>
      </c>
      <c r="V459" t="s">
        <v>4088</v>
      </c>
      <c r="W459" t="s">
        <v>74</v>
      </c>
      <c r="X459" t="s">
        <v>74</v>
      </c>
      <c r="Y459" t="s">
        <v>74</v>
      </c>
      <c r="Z459" t="s">
        <v>74</v>
      </c>
      <c r="AA459" t="s">
        <v>4089</v>
      </c>
      <c r="AB459" t="s">
        <v>74</v>
      </c>
      <c r="AC459" t="s">
        <v>74</v>
      </c>
      <c r="AD459" t="s">
        <v>74</v>
      </c>
      <c r="AE459" t="s">
        <v>74</v>
      </c>
      <c r="AF459" t="s">
        <v>74</v>
      </c>
      <c r="AG459" t="s">
        <v>74</v>
      </c>
      <c r="AH459" t="s">
        <v>74</v>
      </c>
      <c r="AI459" t="s">
        <v>74</v>
      </c>
      <c r="AJ459" t="s">
        <v>74</v>
      </c>
      <c r="AK459" t="s">
        <v>74</v>
      </c>
      <c r="AL459" t="s">
        <v>74</v>
      </c>
      <c r="AM459" t="s">
        <v>74</v>
      </c>
      <c r="AN459" t="s">
        <v>74</v>
      </c>
      <c r="AO459" t="s">
        <v>757</v>
      </c>
      <c r="AP459" t="s">
        <v>758</v>
      </c>
      <c r="AQ459" t="s">
        <v>74</v>
      </c>
      <c r="AR459" t="s">
        <v>74</v>
      </c>
      <c r="AS459" t="s">
        <v>74</v>
      </c>
      <c r="AT459" t="s">
        <v>2194</v>
      </c>
      <c r="AU459">
        <v>2022</v>
      </c>
      <c r="AV459">
        <v>912</v>
      </c>
      <c r="AW459" t="s">
        <v>74</v>
      </c>
      <c r="AX459" t="s">
        <v>74</v>
      </c>
      <c r="AY459" t="s">
        <v>74</v>
      </c>
      <c r="AZ459" t="s">
        <v>74</v>
      </c>
      <c r="BA459" t="s">
        <v>74</v>
      </c>
      <c r="BB459" t="s">
        <v>74</v>
      </c>
      <c r="BC459" t="s">
        <v>74</v>
      </c>
      <c r="BD459">
        <v>116263</v>
      </c>
      <c r="BE459" t="s">
        <v>4090</v>
      </c>
      <c r="BF459" t="str">
        <f>HYPERLINK("http://dx.doi.org/10.1016/j.jelechem.2022.116263","http://dx.doi.org/10.1016/j.jelechem.2022.116263")</f>
        <v>http://dx.doi.org/10.1016/j.jelechem.2022.116263</v>
      </c>
      <c r="BG459" t="s">
        <v>74</v>
      </c>
      <c r="BH459" t="s">
        <v>4091</v>
      </c>
      <c r="BI459" t="s">
        <v>74</v>
      </c>
      <c r="BJ459" t="s">
        <v>74</v>
      </c>
      <c r="BK459" t="s">
        <v>74</v>
      </c>
      <c r="BL459" t="s">
        <v>74</v>
      </c>
      <c r="BM459" t="s">
        <v>74</v>
      </c>
      <c r="BN459" t="s">
        <v>74</v>
      </c>
      <c r="BO459" t="s">
        <v>74</v>
      </c>
      <c r="BP459" t="s">
        <v>74</v>
      </c>
      <c r="BQ459" t="s">
        <v>74</v>
      </c>
      <c r="BR459" t="s">
        <v>74</v>
      </c>
      <c r="BS459" t="s">
        <v>4092</v>
      </c>
      <c r="BT459" t="str">
        <f>HYPERLINK("https%3A%2F%2Fwww.webofscience.com%2Fwos%2Fwoscc%2Ffull-record%2FWOS:000788153400003","View Full Record in Web of Science")</f>
        <v>View Full Record in Web of Science</v>
      </c>
    </row>
    <row r="460" spans="1:72" x14ac:dyDescent="0.2">
      <c r="A460" t="s">
        <v>72</v>
      </c>
      <c r="B460" t="s">
        <v>4093</v>
      </c>
      <c r="C460" t="s">
        <v>74</v>
      </c>
      <c r="D460" t="s">
        <v>74</v>
      </c>
      <c r="E460" t="s">
        <v>74</v>
      </c>
      <c r="F460" t="s">
        <v>4094</v>
      </c>
      <c r="G460" t="s">
        <v>74</v>
      </c>
      <c r="H460" t="s">
        <v>74</v>
      </c>
      <c r="I460" t="s">
        <v>4095</v>
      </c>
      <c r="J460" t="s">
        <v>422</v>
      </c>
      <c r="K460" t="s">
        <v>74</v>
      </c>
      <c r="L460" t="s">
        <v>74</v>
      </c>
      <c r="M460" t="s">
        <v>74</v>
      </c>
      <c r="N460" t="s">
        <v>74</v>
      </c>
      <c r="O460" t="s">
        <v>74</v>
      </c>
      <c r="P460" t="s">
        <v>74</v>
      </c>
      <c r="Q460" t="s">
        <v>74</v>
      </c>
      <c r="R460" t="s">
        <v>74</v>
      </c>
      <c r="S460" t="s">
        <v>74</v>
      </c>
      <c r="T460" t="s">
        <v>74</v>
      </c>
      <c r="U460" t="s">
        <v>74</v>
      </c>
      <c r="V460" t="s">
        <v>4096</v>
      </c>
      <c r="W460" t="s">
        <v>74</v>
      </c>
      <c r="X460" t="s">
        <v>74</v>
      </c>
      <c r="Y460" t="s">
        <v>74</v>
      </c>
      <c r="Z460" t="s">
        <v>74</v>
      </c>
      <c r="AA460" t="s">
        <v>4097</v>
      </c>
      <c r="AB460" t="s">
        <v>4098</v>
      </c>
      <c r="AC460" t="s">
        <v>74</v>
      </c>
      <c r="AD460" t="s">
        <v>74</v>
      </c>
      <c r="AE460" t="s">
        <v>74</v>
      </c>
      <c r="AF460" t="s">
        <v>74</v>
      </c>
      <c r="AG460" t="s">
        <v>74</v>
      </c>
      <c r="AH460" t="s">
        <v>74</v>
      </c>
      <c r="AI460" t="s">
        <v>74</v>
      </c>
      <c r="AJ460" t="s">
        <v>74</v>
      </c>
      <c r="AK460" t="s">
        <v>74</v>
      </c>
      <c r="AL460" t="s">
        <v>74</v>
      </c>
      <c r="AM460" t="s">
        <v>74</v>
      </c>
      <c r="AN460" t="s">
        <v>74</v>
      </c>
      <c r="AO460" t="s">
        <v>426</v>
      </c>
      <c r="AP460" t="s">
        <v>74</v>
      </c>
      <c r="AQ460" t="s">
        <v>74</v>
      </c>
      <c r="AR460" t="s">
        <v>74</v>
      </c>
      <c r="AS460" t="s">
        <v>74</v>
      </c>
      <c r="AT460" t="s">
        <v>775</v>
      </c>
      <c r="AU460">
        <v>2022</v>
      </c>
      <c r="AV460">
        <v>5</v>
      </c>
      <c r="AW460">
        <v>3</v>
      </c>
      <c r="AX460" t="s">
        <v>74</v>
      </c>
      <c r="AY460" t="s">
        <v>74</v>
      </c>
      <c r="AZ460" t="s">
        <v>74</v>
      </c>
      <c r="BA460" t="s">
        <v>74</v>
      </c>
      <c r="BB460">
        <v>2873</v>
      </c>
      <c r="BC460">
        <v>2880</v>
      </c>
      <c r="BD460" t="s">
        <v>74</v>
      </c>
      <c r="BE460" t="s">
        <v>4099</v>
      </c>
      <c r="BF460" t="str">
        <f>HYPERLINK("http://dx.doi.org/10.1021/acsaem.1c03549","http://dx.doi.org/10.1021/acsaem.1c03549")</f>
        <v>http://dx.doi.org/10.1021/acsaem.1c03549</v>
      </c>
      <c r="BG460" t="s">
        <v>74</v>
      </c>
      <c r="BH460" t="s">
        <v>74</v>
      </c>
      <c r="BI460" t="s">
        <v>74</v>
      </c>
      <c r="BJ460" t="s">
        <v>74</v>
      </c>
      <c r="BK460" t="s">
        <v>74</v>
      </c>
      <c r="BL460" t="s">
        <v>74</v>
      </c>
      <c r="BM460" t="s">
        <v>74</v>
      </c>
      <c r="BN460" t="s">
        <v>74</v>
      </c>
      <c r="BO460" t="s">
        <v>74</v>
      </c>
      <c r="BP460" t="s">
        <v>74</v>
      </c>
      <c r="BQ460" t="s">
        <v>74</v>
      </c>
      <c r="BR460" t="s">
        <v>74</v>
      </c>
      <c r="BS460" t="s">
        <v>4100</v>
      </c>
      <c r="BT460" t="str">
        <f>HYPERLINK("https%3A%2F%2Fwww.webofscience.com%2Fwos%2Fwoscc%2Ffull-record%2FWOS:000813011800001","View Full Record in Web of Science")</f>
        <v>View Full Record in Web of Science</v>
      </c>
    </row>
    <row r="461" spans="1:72" x14ac:dyDescent="0.2">
      <c r="A461" t="s">
        <v>72</v>
      </c>
      <c r="B461" t="s">
        <v>4101</v>
      </c>
      <c r="C461" t="s">
        <v>74</v>
      </c>
      <c r="D461" t="s">
        <v>74</v>
      </c>
      <c r="E461" t="s">
        <v>74</v>
      </c>
      <c r="F461" t="s">
        <v>4102</v>
      </c>
      <c r="G461" t="s">
        <v>74</v>
      </c>
      <c r="H461" t="s">
        <v>74</v>
      </c>
      <c r="I461" t="s">
        <v>4103</v>
      </c>
      <c r="J461" t="s">
        <v>1728</v>
      </c>
      <c r="K461" t="s">
        <v>74</v>
      </c>
      <c r="L461" t="s">
        <v>74</v>
      </c>
      <c r="M461" t="s">
        <v>74</v>
      </c>
      <c r="N461" t="s">
        <v>74</v>
      </c>
      <c r="O461" t="s">
        <v>74</v>
      </c>
      <c r="P461" t="s">
        <v>74</v>
      </c>
      <c r="Q461" t="s">
        <v>74</v>
      </c>
      <c r="R461" t="s">
        <v>74</v>
      </c>
      <c r="S461" t="s">
        <v>74</v>
      </c>
      <c r="T461" t="s">
        <v>74</v>
      </c>
      <c r="U461" t="s">
        <v>74</v>
      </c>
      <c r="V461" t="s">
        <v>4104</v>
      </c>
      <c r="W461" t="s">
        <v>74</v>
      </c>
      <c r="X461" t="s">
        <v>74</v>
      </c>
      <c r="Y461" t="s">
        <v>74</v>
      </c>
      <c r="Z461" t="s">
        <v>74</v>
      </c>
      <c r="AA461" t="s">
        <v>4105</v>
      </c>
      <c r="AB461" t="s">
        <v>4106</v>
      </c>
      <c r="AC461" t="s">
        <v>74</v>
      </c>
      <c r="AD461" t="s">
        <v>74</v>
      </c>
      <c r="AE461" t="s">
        <v>74</v>
      </c>
      <c r="AF461" t="s">
        <v>74</v>
      </c>
      <c r="AG461" t="s">
        <v>74</v>
      </c>
      <c r="AH461" t="s">
        <v>74</v>
      </c>
      <c r="AI461" t="s">
        <v>74</v>
      </c>
      <c r="AJ461" t="s">
        <v>74</v>
      </c>
      <c r="AK461" t="s">
        <v>74</v>
      </c>
      <c r="AL461" t="s">
        <v>74</v>
      </c>
      <c r="AM461" t="s">
        <v>74</v>
      </c>
      <c r="AN461" t="s">
        <v>74</v>
      </c>
      <c r="AO461" t="s">
        <v>1731</v>
      </c>
      <c r="AP461" t="s">
        <v>1732</v>
      </c>
      <c r="AQ461" t="s">
        <v>74</v>
      </c>
      <c r="AR461" t="s">
        <v>74</v>
      </c>
      <c r="AS461" t="s">
        <v>74</v>
      </c>
      <c r="AT461" t="s">
        <v>368</v>
      </c>
      <c r="AU461">
        <v>2022</v>
      </c>
      <c r="AV461">
        <v>15</v>
      </c>
      <c r="AW461">
        <v>7</v>
      </c>
      <c r="AX461" t="s">
        <v>74</v>
      </c>
      <c r="AY461" t="s">
        <v>74</v>
      </c>
      <c r="AZ461" t="s">
        <v>74</v>
      </c>
      <c r="BA461" t="s">
        <v>74</v>
      </c>
      <c r="BB461">
        <v>6156</v>
      </c>
      <c r="BC461">
        <v>6167</v>
      </c>
      <c r="BD461" t="s">
        <v>74</v>
      </c>
      <c r="BE461" t="s">
        <v>4107</v>
      </c>
      <c r="BF461" t="str">
        <f>HYPERLINK("http://dx.doi.org/10.1007/s12274-022-4242-5","http://dx.doi.org/10.1007/s12274-022-4242-5")</f>
        <v>http://dx.doi.org/10.1007/s12274-022-4242-5</v>
      </c>
      <c r="BG461" t="s">
        <v>74</v>
      </c>
      <c r="BH461" t="s">
        <v>4091</v>
      </c>
      <c r="BI461" t="s">
        <v>74</v>
      </c>
      <c r="BJ461" t="s">
        <v>74</v>
      </c>
      <c r="BK461" t="s">
        <v>74</v>
      </c>
      <c r="BL461" t="s">
        <v>74</v>
      </c>
      <c r="BM461" t="s">
        <v>74</v>
      </c>
      <c r="BN461" t="s">
        <v>74</v>
      </c>
      <c r="BO461" t="s">
        <v>74</v>
      </c>
      <c r="BP461" t="s">
        <v>74</v>
      </c>
      <c r="BQ461" t="s">
        <v>74</v>
      </c>
      <c r="BR461" t="s">
        <v>74</v>
      </c>
      <c r="BS461" t="s">
        <v>4108</v>
      </c>
      <c r="BT461" t="str">
        <f>HYPERLINK("https%3A%2F%2Fwww.webofscience.com%2Fwos%2Fwoscc%2Ffull-record%2FWOS:000780304400002","View Full Record in Web of Science")</f>
        <v>View Full Record in Web of Science</v>
      </c>
    </row>
    <row r="462" spans="1:72" x14ac:dyDescent="0.2">
      <c r="A462" t="s">
        <v>72</v>
      </c>
      <c r="B462" t="s">
        <v>4109</v>
      </c>
      <c r="C462" t="s">
        <v>74</v>
      </c>
      <c r="D462" t="s">
        <v>74</v>
      </c>
      <c r="E462" t="s">
        <v>74</v>
      </c>
      <c r="F462" t="s">
        <v>4110</v>
      </c>
      <c r="G462" t="s">
        <v>74</v>
      </c>
      <c r="H462" t="s">
        <v>74</v>
      </c>
      <c r="I462" t="s">
        <v>4111</v>
      </c>
      <c r="J462" t="s">
        <v>109</v>
      </c>
      <c r="K462" t="s">
        <v>74</v>
      </c>
      <c r="L462" t="s">
        <v>74</v>
      </c>
      <c r="M462" t="s">
        <v>74</v>
      </c>
      <c r="N462" t="s">
        <v>74</v>
      </c>
      <c r="O462" t="s">
        <v>74</v>
      </c>
      <c r="P462" t="s">
        <v>74</v>
      </c>
      <c r="Q462" t="s">
        <v>74</v>
      </c>
      <c r="R462" t="s">
        <v>74</v>
      </c>
      <c r="S462" t="s">
        <v>74</v>
      </c>
      <c r="T462" t="s">
        <v>74</v>
      </c>
      <c r="U462" t="s">
        <v>74</v>
      </c>
      <c r="V462" t="s">
        <v>4112</v>
      </c>
      <c r="W462" t="s">
        <v>74</v>
      </c>
      <c r="X462" t="s">
        <v>74</v>
      </c>
      <c r="Y462" t="s">
        <v>74</v>
      </c>
      <c r="Z462" t="s">
        <v>74</v>
      </c>
      <c r="AA462" t="s">
        <v>4113</v>
      </c>
      <c r="AB462" t="s">
        <v>4114</v>
      </c>
      <c r="AC462" t="s">
        <v>74</v>
      </c>
      <c r="AD462" t="s">
        <v>74</v>
      </c>
      <c r="AE462" t="s">
        <v>74</v>
      </c>
      <c r="AF462" t="s">
        <v>74</v>
      </c>
      <c r="AG462" t="s">
        <v>74</v>
      </c>
      <c r="AH462" t="s">
        <v>74</v>
      </c>
      <c r="AI462" t="s">
        <v>74</v>
      </c>
      <c r="AJ462" t="s">
        <v>74</v>
      </c>
      <c r="AK462" t="s">
        <v>74</v>
      </c>
      <c r="AL462" t="s">
        <v>74</v>
      </c>
      <c r="AM462" t="s">
        <v>74</v>
      </c>
      <c r="AN462" t="s">
        <v>74</v>
      </c>
      <c r="AO462" t="s">
        <v>112</v>
      </c>
      <c r="AP462" t="s">
        <v>74</v>
      </c>
      <c r="AQ462" t="s">
        <v>74</v>
      </c>
      <c r="AR462" t="s">
        <v>74</v>
      </c>
      <c r="AS462" t="s">
        <v>74</v>
      </c>
      <c r="AT462" t="s">
        <v>368</v>
      </c>
      <c r="AU462">
        <v>2022</v>
      </c>
      <c r="AV462">
        <v>70</v>
      </c>
      <c r="AW462" t="s">
        <v>74</v>
      </c>
      <c r="AX462" t="s">
        <v>74</v>
      </c>
      <c r="AY462" t="s">
        <v>74</v>
      </c>
      <c r="AZ462" t="s">
        <v>74</v>
      </c>
      <c r="BA462" t="s">
        <v>74</v>
      </c>
      <c r="BB462">
        <v>174</v>
      </c>
      <c r="BC462">
        <v>190</v>
      </c>
      <c r="BD462" t="s">
        <v>74</v>
      </c>
      <c r="BE462" t="s">
        <v>4115</v>
      </c>
      <c r="BF462" t="str">
        <f>HYPERLINK("http://dx.doi.org/10.1016/j.jechem.2022.02.022","http://dx.doi.org/10.1016/j.jechem.2022.02.022")</f>
        <v>http://dx.doi.org/10.1016/j.jechem.2022.02.022</v>
      </c>
      <c r="BG462" t="s">
        <v>74</v>
      </c>
      <c r="BH462" t="s">
        <v>4091</v>
      </c>
      <c r="BI462" t="s">
        <v>74</v>
      </c>
      <c r="BJ462" t="s">
        <v>74</v>
      </c>
      <c r="BK462" t="s">
        <v>74</v>
      </c>
      <c r="BL462" t="s">
        <v>74</v>
      </c>
      <c r="BM462" t="s">
        <v>74</v>
      </c>
      <c r="BN462" t="s">
        <v>74</v>
      </c>
      <c r="BO462" t="s">
        <v>74</v>
      </c>
      <c r="BP462" t="s">
        <v>74</v>
      </c>
      <c r="BQ462" t="s">
        <v>74</v>
      </c>
      <c r="BR462" t="s">
        <v>74</v>
      </c>
      <c r="BS462" t="s">
        <v>4116</v>
      </c>
      <c r="BT462" t="str">
        <f>HYPERLINK("https%3A%2F%2Fwww.webofscience.com%2Fwos%2Fwoscc%2Ffull-record%2FWOS:000820924300002","View Full Record in Web of Science")</f>
        <v>View Full Record in Web of Science</v>
      </c>
    </row>
    <row r="463" spans="1:72" x14ac:dyDescent="0.2">
      <c r="A463" t="s">
        <v>72</v>
      </c>
      <c r="B463" t="s">
        <v>4117</v>
      </c>
      <c r="C463" t="s">
        <v>74</v>
      </c>
      <c r="D463" t="s">
        <v>74</v>
      </c>
      <c r="E463" t="s">
        <v>74</v>
      </c>
      <c r="F463" t="s">
        <v>4118</v>
      </c>
      <c r="G463" t="s">
        <v>74</v>
      </c>
      <c r="H463" t="s">
        <v>74</v>
      </c>
      <c r="I463" t="s">
        <v>4119</v>
      </c>
      <c r="J463" t="s">
        <v>4120</v>
      </c>
      <c r="K463" t="s">
        <v>74</v>
      </c>
      <c r="L463" t="s">
        <v>74</v>
      </c>
      <c r="M463" t="s">
        <v>74</v>
      </c>
      <c r="N463" t="s">
        <v>74</v>
      </c>
      <c r="O463" t="s">
        <v>74</v>
      </c>
      <c r="P463" t="s">
        <v>74</v>
      </c>
      <c r="Q463" t="s">
        <v>74</v>
      </c>
      <c r="R463" t="s">
        <v>74</v>
      </c>
      <c r="S463" t="s">
        <v>74</v>
      </c>
      <c r="T463" t="s">
        <v>74</v>
      </c>
      <c r="U463" t="s">
        <v>74</v>
      </c>
      <c r="V463" t="s">
        <v>4121</v>
      </c>
      <c r="W463" t="s">
        <v>74</v>
      </c>
      <c r="X463" t="s">
        <v>74</v>
      </c>
      <c r="Y463" t="s">
        <v>74</v>
      </c>
      <c r="Z463" t="s">
        <v>74</v>
      </c>
      <c r="AA463" t="s">
        <v>4122</v>
      </c>
      <c r="AB463" t="s">
        <v>4123</v>
      </c>
      <c r="AC463" t="s">
        <v>74</v>
      </c>
      <c r="AD463" t="s">
        <v>74</v>
      </c>
      <c r="AE463" t="s">
        <v>74</v>
      </c>
      <c r="AF463" t="s">
        <v>74</v>
      </c>
      <c r="AG463" t="s">
        <v>74</v>
      </c>
      <c r="AH463" t="s">
        <v>74</v>
      </c>
      <c r="AI463" t="s">
        <v>74</v>
      </c>
      <c r="AJ463" t="s">
        <v>74</v>
      </c>
      <c r="AK463" t="s">
        <v>74</v>
      </c>
      <c r="AL463" t="s">
        <v>74</v>
      </c>
      <c r="AM463" t="s">
        <v>74</v>
      </c>
      <c r="AN463" t="s">
        <v>74</v>
      </c>
      <c r="AO463" t="s">
        <v>4124</v>
      </c>
      <c r="AP463" t="s">
        <v>4125</v>
      </c>
      <c r="AQ463" t="s">
        <v>74</v>
      </c>
      <c r="AR463" t="s">
        <v>74</v>
      </c>
      <c r="AS463" t="s">
        <v>74</v>
      </c>
      <c r="AT463" t="s">
        <v>670</v>
      </c>
      <c r="AU463">
        <v>2022</v>
      </c>
      <c r="AV463">
        <v>223</v>
      </c>
      <c r="AW463">
        <v>8</v>
      </c>
      <c r="AX463" t="s">
        <v>74</v>
      </c>
      <c r="AY463" t="s">
        <v>74</v>
      </c>
      <c r="AZ463" t="s">
        <v>2280</v>
      </c>
      <c r="BA463" t="s">
        <v>74</v>
      </c>
      <c r="BB463" t="s">
        <v>74</v>
      </c>
      <c r="BC463" t="s">
        <v>74</v>
      </c>
      <c r="BD463">
        <v>2100407</v>
      </c>
      <c r="BE463" t="s">
        <v>4126</v>
      </c>
      <c r="BF463" t="str">
        <f>HYPERLINK("http://dx.doi.org/10.1002/macp.202100407","http://dx.doi.org/10.1002/macp.202100407")</f>
        <v>http://dx.doi.org/10.1002/macp.202100407</v>
      </c>
      <c r="BG463" t="s">
        <v>74</v>
      </c>
      <c r="BH463" t="s">
        <v>4091</v>
      </c>
      <c r="BI463" t="s">
        <v>74</v>
      </c>
      <c r="BJ463" t="s">
        <v>74</v>
      </c>
      <c r="BK463" t="s">
        <v>74</v>
      </c>
      <c r="BL463" t="s">
        <v>74</v>
      </c>
      <c r="BM463" t="s">
        <v>74</v>
      </c>
      <c r="BN463" t="s">
        <v>74</v>
      </c>
      <c r="BO463" t="s">
        <v>74</v>
      </c>
      <c r="BP463" t="s">
        <v>74</v>
      </c>
      <c r="BQ463" t="s">
        <v>74</v>
      </c>
      <c r="BR463" t="s">
        <v>74</v>
      </c>
      <c r="BS463" t="s">
        <v>4127</v>
      </c>
      <c r="BT463" t="str">
        <f>HYPERLINK("https%3A%2F%2Fwww.webofscience.com%2Fwos%2Fwoscc%2Ffull-record%2FWOS:000769476300001","View Full Record in Web of Science")</f>
        <v>View Full Record in Web of Science</v>
      </c>
    </row>
    <row r="464" spans="1:72" x14ac:dyDescent="0.2">
      <c r="A464" t="s">
        <v>72</v>
      </c>
      <c r="B464" t="s">
        <v>4128</v>
      </c>
      <c r="C464" t="s">
        <v>74</v>
      </c>
      <c r="D464" t="s">
        <v>74</v>
      </c>
      <c r="E464" t="s">
        <v>74</v>
      </c>
      <c r="F464" t="s">
        <v>4129</v>
      </c>
      <c r="G464" t="s">
        <v>74</v>
      </c>
      <c r="H464" t="s">
        <v>74</v>
      </c>
      <c r="I464" t="s">
        <v>4130</v>
      </c>
      <c r="J464" t="s">
        <v>4131</v>
      </c>
      <c r="K464" t="s">
        <v>74</v>
      </c>
      <c r="L464" t="s">
        <v>74</v>
      </c>
      <c r="M464" t="s">
        <v>74</v>
      </c>
      <c r="N464" t="s">
        <v>74</v>
      </c>
      <c r="O464" t="s">
        <v>74</v>
      </c>
      <c r="P464" t="s">
        <v>74</v>
      </c>
      <c r="Q464" t="s">
        <v>74</v>
      </c>
      <c r="R464" t="s">
        <v>74</v>
      </c>
      <c r="S464" t="s">
        <v>74</v>
      </c>
      <c r="T464" t="s">
        <v>74</v>
      </c>
      <c r="U464" t="s">
        <v>74</v>
      </c>
      <c r="V464" t="s">
        <v>4132</v>
      </c>
      <c r="W464" t="s">
        <v>74</v>
      </c>
      <c r="X464" t="s">
        <v>74</v>
      </c>
      <c r="Y464" t="s">
        <v>74</v>
      </c>
      <c r="Z464" t="s">
        <v>74</v>
      </c>
      <c r="AA464" t="s">
        <v>4133</v>
      </c>
      <c r="AB464" t="s">
        <v>4134</v>
      </c>
      <c r="AC464" t="s">
        <v>74</v>
      </c>
      <c r="AD464" t="s">
        <v>74</v>
      </c>
      <c r="AE464" t="s">
        <v>74</v>
      </c>
      <c r="AF464" t="s">
        <v>74</v>
      </c>
      <c r="AG464" t="s">
        <v>74</v>
      </c>
      <c r="AH464" t="s">
        <v>74</v>
      </c>
      <c r="AI464" t="s">
        <v>74</v>
      </c>
      <c r="AJ464" t="s">
        <v>74</v>
      </c>
      <c r="AK464" t="s">
        <v>74</v>
      </c>
      <c r="AL464" t="s">
        <v>74</v>
      </c>
      <c r="AM464" t="s">
        <v>74</v>
      </c>
      <c r="AN464" t="s">
        <v>74</v>
      </c>
      <c r="AO464" t="s">
        <v>4135</v>
      </c>
      <c r="AP464" t="s">
        <v>4136</v>
      </c>
      <c r="AQ464" t="s">
        <v>74</v>
      </c>
      <c r="AR464" t="s">
        <v>74</v>
      </c>
      <c r="AS464" t="s">
        <v>74</v>
      </c>
      <c r="AT464" t="s">
        <v>1972</v>
      </c>
      <c r="AU464">
        <v>2022</v>
      </c>
      <c r="AV464">
        <v>310</v>
      </c>
      <c r="AW464" t="s">
        <v>74</v>
      </c>
      <c r="AX464" t="s">
        <v>74</v>
      </c>
      <c r="AY464" t="s">
        <v>74</v>
      </c>
      <c r="AZ464" t="s">
        <v>74</v>
      </c>
      <c r="BA464" t="s">
        <v>74</v>
      </c>
      <c r="BB464" t="s">
        <v>74</v>
      </c>
      <c r="BC464" t="s">
        <v>74</v>
      </c>
      <c r="BD464">
        <v>123006</v>
      </c>
      <c r="BE464" t="s">
        <v>4137</v>
      </c>
      <c r="BF464" t="str">
        <f>HYPERLINK("http://dx.doi.org/10.1016/j.jssc.2022.123006","http://dx.doi.org/10.1016/j.jssc.2022.123006")</f>
        <v>http://dx.doi.org/10.1016/j.jssc.2022.123006</v>
      </c>
      <c r="BG464" t="s">
        <v>74</v>
      </c>
      <c r="BH464" t="s">
        <v>4091</v>
      </c>
      <c r="BI464" t="s">
        <v>74</v>
      </c>
      <c r="BJ464" t="s">
        <v>74</v>
      </c>
      <c r="BK464" t="s">
        <v>74</v>
      </c>
      <c r="BL464" t="s">
        <v>74</v>
      </c>
      <c r="BM464" t="s">
        <v>74</v>
      </c>
      <c r="BN464" t="s">
        <v>74</v>
      </c>
      <c r="BO464" t="s">
        <v>74</v>
      </c>
      <c r="BP464" t="s">
        <v>74</v>
      </c>
      <c r="BQ464" t="s">
        <v>74</v>
      </c>
      <c r="BR464" t="s">
        <v>74</v>
      </c>
      <c r="BS464" t="s">
        <v>4138</v>
      </c>
      <c r="BT464" t="str">
        <f>HYPERLINK("https%3A%2F%2Fwww.webofscience.com%2Fwos%2Fwoscc%2Ffull-record%2FWOS:000780270500014","View Full Record in Web of Science")</f>
        <v>View Full Record in Web of Science</v>
      </c>
    </row>
    <row r="465" spans="1:72" x14ac:dyDescent="0.2">
      <c r="A465" t="s">
        <v>72</v>
      </c>
      <c r="B465" t="s">
        <v>4139</v>
      </c>
      <c r="C465" t="s">
        <v>74</v>
      </c>
      <c r="D465" t="s">
        <v>74</v>
      </c>
      <c r="E465" t="s">
        <v>74</v>
      </c>
      <c r="F465" t="s">
        <v>4140</v>
      </c>
      <c r="G465" t="s">
        <v>74</v>
      </c>
      <c r="H465" t="s">
        <v>74</v>
      </c>
      <c r="I465" t="s">
        <v>4141</v>
      </c>
      <c r="J465" t="s">
        <v>161</v>
      </c>
      <c r="K465" t="s">
        <v>74</v>
      </c>
      <c r="L465" t="s">
        <v>74</v>
      </c>
      <c r="M465" t="s">
        <v>74</v>
      </c>
      <c r="N465" t="s">
        <v>74</v>
      </c>
      <c r="O465" t="s">
        <v>74</v>
      </c>
      <c r="P465" t="s">
        <v>74</v>
      </c>
      <c r="Q465" t="s">
        <v>74</v>
      </c>
      <c r="R465" t="s">
        <v>74</v>
      </c>
      <c r="S465" t="s">
        <v>74</v>
      </c>
      <c r="T465" t="s">
        <v>74</v>
      </c>
      <c r="U465" t="s">
        <v>74</v>
      </c>
      <c r="V465" t="s">
        <v>4142</v>
      </c>
      <c r="W465" t="s">
        <v>74</v>
      </c>
      <c r="X465" t="s">
        <v>74</v>
      </c>
      <c r="Y465" t="s">
        <v>74</v>
      </c>
      <c r="Z465" t="s">
        <v>74</v>
      </c>
      <c r="AA465" t="s">
        <v>4143</v>
      </c>
      <c r="AB465" t="s">
        <v>4144</v>
      </c>
      <c r="AC465" t="s">
        <v>74</v>
      </c>
      <c r="AD465" t="s">
        <v>74</v>
      </c>
      <c r="AE465" t="s">
        <v>74</v>
      </c>
      <c r="AF465" t="s">
        <v>74</v>
      </c>
      <c r="AG465" t="s">
        <v>74</v>
      </c>
      <c r="AH465" t="s">
        <v>74</v>
      </c>
      <c r="AI465" t="s">
        <v>74</v>
      </c>
      <c r="AJ465" t="s">
        <v>74</v>
      </c>
      <c r="AK465" t="s">
        <v>74</v>
      </c>
      <c r="AL465" t="s">
        <v>74</v>
      </c>
      <c r="AM465" t="s">
        <v>74</v>
      </c>
      <c r="AN465" t="s">
        <v>74</v>
      </c>
      <c r="AO465" t="s">
        <v>163</v>
      </c>
      <c r="AP465" t="s">
        <v>164</v>
      </c>
      <c r="AQ465" t="s">
        <v>74</v>
      </c>
      <c r="AR465" t="s">
        <v>74</v>
      </c>
      <c r="AS465" t="s">
        <v>74</v>
      </c>
      <c r="AT465" t="s">
        <v>759</v>
      </c>
      <c r="AU465">
        <v>2022</v>
      </c>
      <c r="AV465">
        <v>438</v>
      </c>
      <c r="AW465" t="s">
        <v>74</v>
      </c>
      <c r="AX465" t="s">
        <v>74</v>
      </c>
      <c r="AY465" t="s">
        <v>74</v>
      </c>
      <c r="AZ465" t="s">
        <v>74</v>
      </c>
      <c r="BA465" t="s">
        <v>74</v>
      </c>
      <c r="BB465" t="s">
        <v>74</v>
      </c>
      <c r="BC465" t="s">
        <v>74</v>
      </c>
      <c r="BD465">
        <v>135418</v>
      </c>
      <c r="BE465" t="s">
        <v>4145</v>
      </c>
      <c r="BF465" t="str">
        <f>HYPERLINK("http://dx.doi.org/10.1016/j.cej.2022.135418","http://dx.doi.org/10.1016/j.cej.2022.135418")</f>
        <v>http://dx.doi.org/10.1016/j.cej.2022.135418</v>
      </c>
      <c r="BG465" t="s">
        <v>74</v>
      </c>
      <c r="BH465" t="s">
        <v>4091</v>
      </c>
      <c r="BI465" t="s">
        <v>74</v>
      </c>
      <c r="BJ465" t="s">
        <v>74</v>
      </c>
      <c r="BK465" t="s">
        <v>74</v>
      </c>
      <c r="BL465" t="s">
        <v>74</v>
      </c>
      <c r="BM465" t="s">
        <v>74</v>
      </c>
      <c r="BN465" t="s">
        <v>74</v>
      </c>
      <c r="BO465" t="s">
        <v>74</v>
      </c>
      <c r="BP465" t="s">
        <v>74</v>
      </c>
      <c r="BQ465" t="s">
        <v>74</v>
      </c>
      <c r="BR465" t="s">
        <v>74</v>
      </c>
      <c r="BS465" t="s">
        <v>4146</v>
      </c>
      <c r="BT465" t="str">
        <f>HYPERLINK("https%3A%2F%2Fwww.webofscience.com%2Fwos%2Fwoscc%2Ffull-record%2FWOS:000779738200005","View Full Record in Web of Science")</f>
        <v>View Full Record in Web of Science</v>
      </c>
    </row>
    <row r="466" spans="1:72" x14ac:dyDescent="0.2">
      <c r="A466" t="s">
        <v>72</v>
      </c>
      <c r="B466" t="s">
        <v>4147</v>
      </c>
      <c r="C466" t="s">
        <v>74</v>
      </c>
      <c r="D466" t="s">
        <v>74</v>
      </c>
      <c r="E466" t="s">
        <v>74</v>
      </c>
      <c r="F466" t="s">
        <v>4148</v>
      </c>
      <c r="G466" t="s">
        <v>74</v>
      </c>
      <c r="H466" t="s">
        <v>74</v>
      </c>
      <c r="I466" t="s">
        <v>4149</v>
      </c>
      <c r="J466" t="s">
        <v>171</v>
      </c>
      <c r="K466" t="s">
        <v>74</v>
      </c>
      <c r="L466" t="s">
        <v>74</v>
      </c>
      <c r="M466" t="s">
        <v>74</v>
      </c>
      <c r="N466" t="s">
        <v>74</v>
      </c>
      <c r="O466" t="s">
        <v>74</v>
      </c>
      <c r="P466" t="s">
        <v>74</v>
      </c>
      <c r="Q466" t="s">
        <v>74</v>
      </c>
      <c r="R466" t="s">
        <v>74</v>
      </c>
      <c r="S466" t="s">
        <v>74</v>
      </c>
      <c r="T466" t="s">
        <v>74</v>
      </c>
      <c r="U466" t="s">
        <v>74</v>
      </c>
      <c r="V466" t="s">
        <v>4150</v>
      </c>
      <c r="W466" t="s">
        <v>74</v>
      </c>
      <c r="X466" t="s">
        <v>74</v>
      </c>
      <c r="Y466" t="s">
        <v>74</v>
      </c>
      <c r="Z466" t="s">
        <v>74</v>
      </c>
      <c r="AA466" t="s">
        <v>4151</v>
      </c>
      <c r="AB466" t="s">
        <v>4152</v>
      </c>
      <c r="AC466" t="s">
        <v>74</v>
      </c>
      <c r="AD466" t="s">
        <v>74</v>
      </c>
      <c r="AE466" t="s">
        <v>74</v>
      </c>
      <c r="AF466" t="s">
        <v>74</v>
      </c>
      <c r="AG466" t="s">
        <v>74</v>
      </c>
      <c r="AH466" t="s">
        <v>74</v>
      </c>
      <c r="AI466" t="s">
        <v>74</v>
      </c>
      <c r="AJ466" t="s">
        <v>74</v>
      </c>
      <c r="AK466" t="s">
        <v>74</v>
      </c>
      <c r="AL466" t="s">
        <v>74</v>
      </c>
      <c r="AM466" t="s">
        <v>74</v>
      </c>
      <c r="AN466" t="s">
        <v>74</v>
      </c>
      <c r="AO466" t="s">
        <v>173</v>
      </c>
      <c r="AP466" t="s">
        <v>174</v>
      </c>
      <c r="AQ466" t="s">
        <v>74</v>
      </c>
      <c r="AR466" t="s">
        <v>74</v>
      </c>
      <c r="AS466" t="s">
        <v>74</v>
      </c>
      <c r="AT466" t="s">
        <v>759</v>
      </c>
      <c r="AU466">
        <v>2022</v>
      </c>
      <c r="AV466">
        <v>616</v>
      </c>
      <c r="AW466" t="s">
        <v>74</v>
      </c>
      <c r="AX466" t="s">
        <v>74</v>
      </c>
      <c r="AY466" t="s">
        <v>74</v>
      </c>
      <c r="AZ466" t="s">
        <v>74</v>
      </c>
      <c r="BA466" t="s">
        <v>74</v>
      </c>
      <c r="BB466">
        <v>886</v>
      </c>
      <c r="BC466">
        <v>894</v>
      </c>
      <c r="BD466" t="s">
        <v>74</v>
      </c>
      <c r="BE466" t="s">
        <v>4153</v>
      </c>
      <c r="BF466" t="str">
        <f>HYPERLINK("http://dx.doi.org/10.1016/j.jcis.2022.02.123","http://dx.doi.org/10.1016/j.jcis.2022.02.123")</f>
        <v>http://dx.doi.org/10.1016/j.jcis.2022.02.123</v>
      </c>
      <c r="BG466" t="s">
        <v>74</v>
      </c>
      <c r="BH466" t="s">
        <v>4091</v>
      </c>
      <c r="BI466" t="s">
        <v>74</v>
      </c>
      <c r="BJ466" t="s">
        <v>74</v>
      </c>
      <c r="BK466" t="s">
        <v>74</v>
      </c>
      <c r="BL466" t="s">
        <v>74</v>
      </c>
      <c r="BM466" t="s">
        <v>74</v>
      </c>
      <c r="BN466">
        <v>35259718</v>
      </c>
      <c r="BO466" t="s">
        <v>74</v>
      </c>
      <c r="BP466" t="s">
        <v>74</v>
      </c>
      <c r="BQ466" t="s">
        <v>74</v>
      </c>
      <c r="BR466" t="s">
        <v>74</v>
      </c>
      <c r="BS466" t="s">
        <v>4154</v>
      </c>
      <c r="BT466" t="str">
        <f>HYPERLINK("https%3A%2F%2Fwww.webofscience.com%2Fwos%2Fwoscc%2Ffull-record%2FWOS:000792040700010","View Full Record in Web of Science")</f>
        <v>View Full Record in Web of Science</v>
      </c>
    </row>
    <row r="467" spans="1:72" x14ac:dyDescent="0.2">
      <c r="A467" t="s">
        <v>72</v>
      </c>
      <c r="B467" t="s">
        <v>4155</v>
      </c>
      <c r="C467" t="s">
        <v>74</v>
      </c>
      <c r="D467" t="s">
        <v>74</v>
      </c>
      <c r="E467" t="s">
        <v>74</v>
      </c>
      <c r="F467" t="s">
        <v>4156</v>
      </c>
      <c r="G467" t="s">
        <v>74</v>
      </c>
      <c r="H467" t="s">
        <v>74</v>
      </c>
      <c r="I467" t="s">
        <v>4157</v>
      </c>
      <c r="J467" t="s">
        <v>3581</v>
      </c>
      <c r="K467" t="s">
        <v>74</v>
      </c>
      <c r="L467" t="s">
        <v>74</v>
      </c>
      <c r="M467" t="s">
        <v>74</v>
      </c>
      <c r="N467" t="s">
        <v>74</v>
      </c>
      <c r="O467" t="s">
        <v>74</v>
      </c>
      <c r="P467" t="s">
        <v>74</v>
      </c>
      <c r="Q467" t="s">
        <v>74</v>
      </c>
      <c r="R467" t="s">
        <v>74</v>
      </c>
      <c r="S467" t="s">
        <v>74</v>
      </c>
      <c r="T467" t="s">
        <v>74</v>
      </c>
      <c r="U467" t="s">
        <v>74</v>
      </c>
      <c r="V467" t="s">
        <v>4158</v>
      </c>
      <c r="W467" t="s">
        <v>74</v>
      </c>
      <c r="X467" t="s">
        <v>74</v>
      </c>
      <c r="Y467" t="s">
        <v>74</v>
      </c>
      <c r="Z467" t="s">
        <v>74</v>
      </c>
      <c r="AA467" t="s">
        <v>4159</v>
      </c>
      <c r="AB467" t="s">
        <v>4160</v>
      </c>
      <c r="AC467" t="s">
        <v>74</v>
      </c>
      <c r="AD467" t="s">
        <v>74</v>
      </c>
      <c r="AE467" t="s">
        <v>74</v>
      </c>
      <c r="AF467" t="s">
        <v>74</v>
      </c>
      <c r="AG467" t="s">
        <v>74</v>
      </c>
      <c r="AH467" t="s">
        <v>74</v>
      </c>
      <c r="AI467" t="s">
        <v>74</v>
      </c>
      <c r="AJ467" t="s">
        <v>74</v>
      </c>
      <c r="AK467" t="s">
        <v>74</v>
      </c>
      <c r="AL467" t="s">
        <v>74</v>
      </c>
      <c r="AM467" t="s">
        <v>74</v>
      </c>
      <c r="AN467" t="s">
        <v>74</v>
      </c>
      <c r="AO467" t="s">
        <v>3585</v>
      </c>
      <c r="AP467" t="s">
        <v>3586</v>
      </c>
      <c r="AQ467" t="s">
        <v>74</v>
      </c>
      <c r="AR467" t="s">
        <v>74</v>
      </c>
      <c r="AS467" t="s">
        <v>74</v>
      </c>
      <c r="AT467" t="s">
        <v>4161</v>
      </c>
      <c r="AU467">
        <v>2022</v>
      </c>
      <c r="AV467">
        <v>58</v>
      </c>
      <c r="AW467">
        <v>26</v>
      </c>
      <c r="AX467" t="s">
        <v>74</v>
      </c>
      <c r="AY467" t="s">
        <v>74</v>
      </c>
      <c r="AZ467" t="s">
        <v>74</v>
      </c>
      <c r="BA467" t="s">
        <v>74</v>
      </c>
      <c r="BB467">
        <v>4200</v>
      </c>
      <c r="BC467">
        <v>4203</v>
      </c>
      <c r="BD467" t="s">
        <v>74</v>
      </c>
      <c r="BE467" t="s">
        <v>4162</v>
      </c>
      <c r="BF467" t="str">
        <f>HYPERLINK("http://dx.doi.org/10.1039/d2cc00408a","http://dx.doi.org/10.1039/d2cc00408a")</f>
        <v>http://dx.doi.org/10.1039/d2cc00408a</v>
      </c>
      <c r="BG467" t="s">
        <v>74</v>
      </c>
      <c r="BH467" t="s">
        <v>4091</v>
      </c>
      <c r="BI467" t="s">
        <v>74</v>
      </c>
      <c r="BJ467" t="s">
        <v>74</v>
      </c>
      <c r="BK467" t="s">
        <v>74</v>
      </c>
      <c r="BL467" t="s">
        <v>74</v>
      </c>
      <c r="BM467" t="s">
        <v>74</v>
      </c>
      <c r="BN467">
        <v>35274658</v>
      </c>
      <c r="BO467" t="s">
        <v>74</v>
      </c>
      <c r="BP467" t="s">
        <v>74</v>
      </c>
      <c r="BQ467" t="s">
        <v>74</v>
      </c>
      <c r="BR467" t="s">
        <v>74</v>
      </c>
      <c r="BS467" t="s">
        <v>4163</v>
      </c>
      <c r="BT467" t="str">
        <f>HYPERLINK("https%3A%2F%2Fwww.webofscience.com%2Fwos%2Fwoscc%2Ffull-record%2FWOS:000767355200001","View Full Record in Web of Science")</f>
        <v>View Full Record in Web of Science</v>
      </c>
    </row>
    <row r="468" spans="1:72" x14ac:dyDescent="0.2">
      <c r="A468" t="s">
        <v>72</v>
      </c>
      <c r="B468" t="s">
        <v>4164</v>
      </c>
      <c r="C468" t="s">
        <v>74</v>
      </c>
      <c r="D468" t="s">
        <v>74</v>
      </c>
      <c r="E468" t="s">
        <v>74</v>
      </c>
      <c r="F468" t="s">
        <v>4165</v>
      </c>
      <c r="G468" t="s">
        <v>74</v>
      </c>
      <c r="H468" t="s">
        <v>74</v>
      </c>
      <c r="I468" t="s">
        <v>4166</v>
      </c>
      <c r="J468" t="s">
        <v>1787</v>
      </c>
      <c r="K468" t="s">
        <v>74</v>
      </c>
      <c r="L468" t="s">
        <v>74</v>
      </c>
      <c r="M468" t="s">
        <v>74</v>
      </c>
      <c r="N468" t="s">
        <v>74</v>
      </c>
      <c r="O468" t="s">
        <v>74</v>
      </c>
      <c r="P468" t="s">
        <v>74</v>
      </c>
      <c r="Q468" t="s">
        <v>74</v>
      </c>
      <c r="R468" t="s">
        <v>74</v>
      </c>
      <c r="S468" t="s">
        <v>74</v>
      </c>
      <c r="T468" t="s">
        <v>74</v>
      </c>
      <c r="U468" t="s">
        <v>74</v>
      </c>
      <c r="V468" t="s">
        <v>4167</v>
      </c>
      <c r="W468" t="s">
        <v>74</v>
      </c>
      <c r="X468" t="s">
        <v>74</v>
      </c>
      <c r="Y468" t="s">
        <v>74</v>
      </c>
      <c r="Z468" t="s">
        <v>74</v>
      </c>
      <c r="AA468" t="s">
        <v>4168</v>
      </c>
      <c r="AB468" t="s">
        <v>4169</v>
      </c>
      <c r="AC468" t="s">
        <v>74</v>
      </c>
      <c r="AD468" t="s">
        <v>74</v>
      </c>
      <c r="AE468" t="s">
        <v>74</v>
      </c>
      <c r="AF468" t="s">
        <v>74</v>
      </c>
      <c r="AG468" t="s">
        <v>74</v>
      </c>
      <c r="AH468" t="s">
        <v>74</v>
      </c>
      <c r="AI468" t="s">
        <v>74</v>
      </c>
      <c r="AJ468" t="s">
        <v>74</v>
      </c>
      <c r="AK468" t="s">
        <v>74</v>
      </c>
      <c r="AL468" t="s">
        <v>74</v>
      </c>
      <c r="AM468" t="s">
        <v>74</v>
      </c>
      <c r="AN468" t="s">
        <v>74</v>
      </c>
      <c r="AO468" t="s">
        <v>74</v>
      </c>
      <c r="AP468" t="s">
        <v>1791</v>
      </c>
      <c r="AQ468" t="s">
        <v>74</v>
      </c>
      <c r="AR468" t="s">
        <v>74</v>
      </c>
      <c r="AS468" t="s">
        <v>74</v>
      </c>
      <c r="AT468" t="s">
        <v>954</v>
      </c>
      <c r="AU468">
        <v>2022</v>
      </c>
      <c r="AV468">
        <v>15</v>
      </c>
      <c r="AW468">
        <v>6</v>
      </c>
      <c r="AX468" t="s">
        <v>74</v>
      </c>
      <c r="AY468" t="s">
        <v>74</v>
      </c>
      <c r="AZ468" t="s">
        <v>74</v>
      </c>
      <c r="BA468" t="s">
        <v>74</v>
      </c>
      <c r="BB468" t="s">
        <v>74</v>
      </c>
      <c r="BC468" t="s">
        <v>74</v>
      </c>
      <c r="BD468">
        <v>2034</v>
      </c>
      <c r="BE468" t="s">
        <v>4170</v>
      </c>
      <c r="BF468" t="str">
        <f>HYPERLINK("http://dx.doi.org/10.3390/ma15062034","http://dx.doi.org/10.3390/ma15062034")</f>
        <v>http://dx.doi.org/10.3390/ma15062034</v>
      </c>
      <c r="BG468" t="s">
        <v>74</v>
      </c>
      <c r="BH468" t="s">
        <v>74</v>
      </c>
      <c r="BI468" t="s">
        <v>74</v>
      </c>
      <c r="BJ468" t="s">
        <v>74</v>
      </c>
      <c r="BK468" t="s">
        <v>74</v>
      </c>
      <c r="BL468" t="s">
        <v>74</v>
      </c>
      <c r="BM468" t="s">
        <v>74</v>
      </c>
      <c r="BN468">
        <v>35329486</v>
      </c>
      <c r="BO468" t="s">
        <v>74</v>
      </c>
      <c r="BP468" t="s">
        <v>74</v>
      </c>
      <c r="BQ468" t="s">
        <v>74</v>
      </c>
      <c r="BR468" t="s">
        <v>74</v>
      </c>
      <c r="BS468" t="s">
        <v>4171</v>
      </c>
      <c r="BT468" t="str">
        <f>HYPERLINK("https%3A%2F%2Fwww.webofscience.com%2Fwos%2Fwoscc%2Ffull-record%2FWOS:000775129700001","View Full Record in Web of Science")</f>
        <v>View Full Record in Web of Science</v>
      </c>
    </row>
    <row r="469" spans="1:72" x14ac:dyDescent="0.2">
      <c r="A469" t="s">
        <v>72</v>
      </c>
      <c r="B469" t="s">
        <v>4172</v>
      </c>
      <c r="C469" t="s">
        <v>74</v>
      </c>
      <c r="D469" t="s">
        <v>74</v>
      </c>
      <c r="E469" t="s">
        <v>74</v>
      </c>
      <c r="F469" t="s">
        <v>4173</v>
      </c>
      <c r="G469" t="s">
        <v>74</v>
      </c>
      <c r="H469" t="s">
        <v>74</v>
      </c>
      <c r="I469" t="s">
        <v>4174</v>
      </c>
      <c r="J469" t="s">
        <v>384</v>
      </c>
      <c r="K469" t="s">
        <v>74</v>
      </c>
      <c r="L469" t="s">
        <v>74</v>
      </c>
      <c r="M469" t="s">
        <v>74</v>
      </c>
      <c r="N469" t="s">
        <v>74</v>
      </c>
      <c r="O469" t="s">
        <v>74</v>
      </c>
      <c r="P469" t="s">
        <v>74</v>
      </c>
      <c r="Q469" t="s">
        <v>74</v>
      </c>
      <c r="R469" t="s">
        <v>74</v>
      </c>
      <c r="S469" t="s">
        <v>74</v>
      </c>
      <c r="T469" t="s">
        <v>74</v>
      </c>
      <c r="U469" t="s">
        <v>74</v>
      </c>
      <c r="V469" t="s">
        <v>4175</v>
      </c>
      <c r="W469" t="s">
        <v>74</v>
      </c>
      <c r="X469" t="s">
        <v>74</v>
      </c>
      <c r="Y469" t="s">
        <v>74</v>
      </c>
      <c r="Z469" t="s">
        <v>74</v>
      </c>
      <c r="AA469" t="s">
        <v>74</v>
      </c>
      <c r="AB469" t="s">
        <v>4176</v>
      </c>
      <c r="AC469" t="s">
        <v>74</v>
      </c>
      <c r="AD469" t="s">
        <v>74</v>
      </c>
      <c r="AE469" t="s">
        <v>74</v>
      </c>
      <c r="AF469" t="s">
        <v>74</v>
      </c>
      <c r="AG469" t="s">
        <v>74</v>
      </c>
      <c r="AH469" t="s">
        <v>74</v>
      </c>
      <c r="AI469" t="s">
        <v>74</v>
      </c>
      <c r="AJ469" t="s">
        <v>74</v>
      </c>
      <c r="AK469" t="s">
        <v>74</v>
      </c>
      <c r="AL469" t="s">
        <v>74</v>
      </c>
      <c r="AM469" t="s">
        <v>74</v>
      </c>
      <c r="AN469" t="s">
        <v>74</v>
      </c>
      <c r="AO469" t="s">
        <v>386</v>
      </c>
      <c r="AP469" t="s">
        <v>387</v>
      </c>
      <c r="AQ469" t="s">
        <v>74</v>
      </c>
      <c r="AR469" t="s">
        <v>74</v>
      </c>
      <c r="AS469" t="s">
        <v>74</v>
      </c>
      <c r="AT469" t="s">
        <v>910</v>
      </c>
      <c r="AU469">
        <v>2022</v>
      </c>
      <c r="AV469">
        <v>48</v>
      </c>
      <c r="AW469">
        <v>7</v>
      </c>
      <c r="AX469" t="s">
        <v>74</v>
      </c>
      <c r="AY469" t="s">
        <v>74</v>
      </c>
      <c r="AZ469" t="s">
        <v>74</v>
      </c>
      <c r="BA469" t="s">
        <v>74</v>
      </c>
      <c r="BB469">
        <v>9506</v>
      </c>
      <c r="BC469">
        <v>9517</v>
      </c>
      <c r="BD469" t="s">
        <v>74</v>
      </c>
      <c r="BE469" t="s">
        <v>4177</v>
      </c>
      <c r="BF469" t="str">
        <f>HYPERLINK("http://dx.doi.org/10.1016/j.ceramint.2021.12.148","http://dx.doi.org/10.1016/j.ceramint.2021.12.148")</f>
        <v>http://dx.doi.org/10.1016/j.ceramint.2021.12.148</v>
      </c>
      <c r="BG469" t="s">
        <v>74</v>
      </c>
      <c r="BH469" t="s">
        <v>4178</v>
      </c>
      <c r="BI469" t="s">
        <v>74</v>
      </c>
      <c r="BJ469" t="s">
        <v>74</v>
      </c>
      <c r="BK469" t="s">
        <v>74</v>
      </c>
      <c r="BL469" t="s">
        <v>74</v>
      </c>
      <c r="BM469" t="s">
        <v>74</v>
      </c>
      <c r="BN469" t="s">
        <v>74</v>
      </c>
      <c r="BO469" t="s">
        <v>74</v>
      </c>
      <c r="BP469" t="s">
        <v>74</v>
      </c>
      <c r="BQ469" t="s">
        <v>74</v>
      </c>
      <c r="BR469" t="s">
        <v>74</v>
      </c>
      <c r="BS469" t="s">
        <v>4179</v>
      </c>
      <c r="BT469" t="str">
        <f>HYPERLINK("https%3A%2F%2Fwww.webofscience.com%2Fwos%2Fwoscc%2Ffull-record%2FWOS:000772636500001","View Full Record in Web of Science")</f>
        <v>View Full Record in Web of Science</v>
      </c>
    </row>
    <row r="470" spans="1:72" x14ac:dyDescent="0.2">
      <c r="A470" t="s">
        <v>72</v>
      </c>
      <c r="B470" t="s">
        <v>4180</v>
      </c>
      <c r="C470" t="s">
        <v>74</v>
      </c>
      <c r="D470" t="s">
        <v>74</v>
      </c>
      <c r="E470" t="s">
        <v>74</v>
      </c>
      <c r="F470" t="s">
        <v>4181</v>
      </c>
      <c r="G470" t="s">
        <v>74</v>
      </c>
      <c r="H470" t="s">
        <v>74</v>
      </c>
      <c r="I470" t="s">
        <v>4182</v>
      </c>
      <c r="J470" t="s">
        <v>528</v>
      </c>
      <c r="K470" t="s">
        <v>74</v>
      </c>
      <c r="L470" t="s">
        <v>74</v>
      </c>
      <c r="M470" t="s">
        <v>74</v>
      </c>
      <c r="N470" t="s">
        <v>74</v>
      </c>
      <c r="O470" t="s">
        <v>74</v>
      </c>
      <c r="P470" t="s">
        <v>74</v>
      </c>
      <c r="Q470" t="s">
        <v>74</v>
      </c>
      <c r="R470" t="s">
        <v>74</v>
      </c>
      <c r="S470" t="s">
        <v>74</v>
      </c>
      <c r="T470" t="s">
        <v>74</v>
      </c>
      <c r="U470" t="s">
        <v>74</v>
      </c>
      <c r="V470" t="s">
        <v>4183</v>
      </c>
      <c r="W470" t="s">
        <v>74</v>
      </c>
      <c r="X470" t="s">
        <v>74</v>
      </c>
      <c r="Y470" t="s">
        <v>74</v>
      </c>
      <c r="Z470" t="s">
        <v>74</v>
      </c>
      <c r="AA470" t="s">
        <v>4184</v>
      </c>
      <c r="AB470" t="s">
        <v>4185</v>
      </c>
      <c r="AC470" t="s">
        <v>74</v>
      </c>
      <c r="AD470" t="s">
        <v>74</v>
      </c>
      <c r="AE470" t="s">
        <v>74</v>
      </c>
      <c r="AF470" t="s">
        <v>74</v>
      </c>
      <c r="AG470" t="s">
        <v>74</v>
      </c>
      <c r="AH470" t="s">
        <v>74</v>
      </c>
      <c r="AI470" t="s">
        <v>74</v>
      </c>
      <c r="AJ470" t="s">
        <v>74</v>
      </c>
      <c r="AK470" t="s">
        <v>74</v>
      </c>
      <c r="AL470" t="s">
        <v>74</v>
      </c>
      <c r="AM470" t="s">
        <v>74</v>
      </c>
      <c r="AN470" t="s">
        <v>74</v>
      </c>
      <c r="AO470" t="s">
        <v>532</v>
      </c>
      <c r="AP470" t="s">
        <v>533</v>
      </c>
      <c r="AQ470" t="s">
        <v>74</v>
      </c>
      <c r="AR470" t="s">
        <v>74</v>
      </c>
      <c r="AS470" t="s">
        <v>74</v>
      </c>
      <c r="AT470" t="s">
        <v>4186</v>
      </c>
      <c r="AU470">
        <v>2022</v>
      </c>
      <c r="AV470">
        <v>14</v>
      </c>
      <c r="AW470">
        <v>7</v>
      </c>
      <c r="AX470" t="s">
        <v>74</v>
      </c>
      <c r="AY470" t="s">
        <v>74</v>
      </c>
      <c r="AZ470" t="s">
        <v>74</v>
      </c>
      <c r="BA470" t="s">
        <v>74</v>
      </c>
      <c r="BB470">
        <v>8906</v>
      </c>
      <c r="BC470">
        <v>8915</v>
      </c>
      <c r="BD470" t="s">
        <v>74</v>
      </c>
      <c r="BE470" t="s">
        <v>4187</v>
      </c>
      <c r="BF470" t="str">
        <f>HYPERLINK("http://dx.doi.org/10.1021/acsami.1c19971","http://dx.doi.org/10.1021/acsami.1c19971")</f>
        <v>http://dx.doi.org/10.1021/acsami.1c19971</v>
      </c>
      <c r="BG470" t="s">
        <v>74</v>
      </c>
      <c r="BH470" t="s">
        <v>74</v>
      </c>
      <c r="BI470" t="s">
        <v>74</v>
      </c>
      <c r="BJ470" t="s">
        <v>74</v>
      </c>
      <c r="BK470" t="s">
        <v>74</v>
      </c>
      <c r="BL470" t="s">
        <v>74</v>
      </c>
      <c r="BM470" t="s">
        <v>74</v>
      </c>
      <c r="BN470">
        <v>35133809</v>
      </c>
      <c r="BO470" t="s">
        <v>74</v>
      </c>
      <c r="BP470" t="s">
        <v>74</v>
      </c>
      <c r="BQ470" t="s">
        <v>74</v>
      </c>
      <c r="BR470" t="s">
        <v>74</v>
      </c>
      <c r="BS470" t="s">
        <v>4188</v>
      </c>
      <c r="BT470" t="str">
        <f>HYPERLINK("https%3A%2F%2Fwww.webofscience.com%2Fwos%2Fwoscc%2Ffull-record%2FWOS:000787372800022","View Full Record in Web of Science")</f>
        <v>View Full Record in Web of Science</v>
      </c>
    </row>
    <row r="471" spans="1:72" x14ac:dyDescent="0.2">
      <c r="A471" t="s">
        <v>72</v>
      </c>
      <c r="B471" t="s">
        <v>4189</v>
      </c>
      <c r="C471" t="s">
        <v>74</v>
      </c>
      <c r="D471" t="s">
        <v>74</v>
      </c>
      <c r="E471" t="s">
        <v>74</v>
      </c>
      <c r="F471" t="s">
        <v>4190</v>
      </c>
      <c r="G471" t="s">
        <v>74</v>
      </c>
      <c r="H471" t="s">
        <v>74</v>
      </c>
      <c r="I471" t="s">
        <v>4191</v>
      </c>
      <c r="J471" t="s">
        <v>140</v>
      </c>
      <c r="K471" t="s">
        <v>74</v>
      </c>
      <c r="L471" t="s">
        <v>74</v>
      </c>
      <c r="M471" t="s">
        <v>74</v>
      </c>
      <c r="N471" t="s">
        <v>74</v>
      </c>
      <c r="O471" t="s">
        <v>74</v>
      </c>
      <c r="P471" t="s">
        <v>74</v>
      </c>
      <c r="Q471" t="s">
        <v>74</v>
      </c>
      <c r="R471" t="s">
        <v>74</v>
      </c>
      <c r="S471" t="s">
        <v>74</v>
      </c>
      <c r="T471" t="s">
        <v>74</v>
      </c>
      <c r="U471" t="s">
        <v>74</v>
      </c>
      <c r="V471" t="s">
        <v>4192</v>
      </c>
      <c r="W471" t="s">
        <v>74</v>
      </c>
      <c r="X471" t="s">
        <v>74</v>
      </c>
      <c r="Y471" t="s">
        <v>74</v>
      </c>
      <c r="Z471" t="s">
        <v>74</v>
      </c>
      <c r="AA471" t="s">
        <v>4193</v>
      </c>
      <c r="AB471" t="s">
        <v>4194</v>
      </c>
      <c r="AC471" t="s">
        <v>74</v>
      </c>
      <c r="AD471" t="s">
        <v>74</v>
      </c>
      <c r="AE471" t="s">
        <v>74</v>
      </c>
      <c r="AF471" t="s">
        <v>74</v>
      </c>
      <c r="AG471" t="s">
        <v>74</v>
      </c>
      <c r="AH471" t="s">
        <v>74</v>
      </c>
      <c r="AI471" t="s">
        <v>74</v>
      </c>
      <c r="AJ471" t="s">
        <v>74</v>
      </c>
      <c r="AK471" t="s">
        <v>74</v>
      </c>
      <c r="AL471" t="s">
        <v>74</v>
      </c>
      <c r="AM471" t="s">
        <v>74</v>
      </c>
      <c r="AN471" t="s">
        <v>74</v>
      </c>
      <c r="AO471" t="s">
        <v>142</v>
      </c>
      <c r="AP471" t="s">
        <v>143</v>
      </c>
      <c r="AQ471" t="s">
        <v>74</v>
      </c>
      <c r="AR471" t="s">
        <v>74</v>
      </c>
      <c r="AS471" t="s">
        <v>74</v>
      </c>
      <c r="AT471" t="s">
        <v>954</v>
      </c>
      <c r="AU471">
        <v>2022</v>
      </c>
      <c r="AV471">
        <v>47</v>
      </c>
      <c r="AW471" t="s">
        <v>74</v>
      </c>
      <c r="AX471" t="s">
        <v>74</v>
      </c>
      <c r="AY471" t="s">
        <v>74</v>
      </c>
      <c r="AZ471" t="s">
        <v>74</v>
      </c>
      <c r="BA471" t="s">
        <v>74</v>
      </c>
      <c r="BB471" t="s">
        <v>74</v>
      </c>
      <c r="BC471" t="s">
        <v>74</v>
      </c>
      <c r="BD471">
        <v>103600</v>
      </c>
      <c r="BE471" t="s">
        <v>4195</v>
      </c>
      <c r="BF471" t="str">
        <f>HYPERLINK("http://dx.doi.org/10.1016/j.est.2021.103600","http://dx.doi.org/10.1016/j.est.2021.103600")</f>
        <v>http://dx.doi.org/10.1016/j.est.2021.103600</v>
      </c>
      <c r="BG471" t="s">
        <v>74</v>
      </c>
      <c r="BH471" t="s">
        <v>4178</v>
      </c>
      <c r="BI471" t="s">
        <v>74</v>
      </c>
      <c r="BJ471" t="s">
        <v>74</v>
      </c>
      <c r="BK471" t="s">
        <v>74</v>
      </c>
      <c r="BL471" t="s">
        <v>74</v>
      </c>
      <c r="BM471" t="s">
        <v>74</v>
      </c>
      <c r="BN471" t="s">
        <v>74</v>
      </c>
      <c r="BO471" t="s">
        <v>74</v>
      </c>
      <c r="BP471" t="s">
        <v>74</v>
      </c>
      <c r="BQ471" t="s">
        <v>74</v>
      </c>
      <c r="BR471" t="s">
        <v>74</v>
      </c>
      <c r="BS471" t="s">
        <v>4196</v>
      </c>
      <c r="BT471" t="str">
        <f>HYPERLINK("https%3A%2F%2Fwww.webofscience.com%2Fwos%2Fwoscc%2Ffull-record%2FWOS:000780213100001","View Full Record in Web of Science")</f>
        <v>View Full Record in Web of Science</v>
      </c>
    </row>
    <row r="472" spans="1:72" x14ac:dyDescent="0.2">
      <c r="A472" t="s">
        <v>72</v>
      </c>
      <c r="B472" t="s">
        <v>4197</v>
      </c>
      <c r="C472" t="s">
        <v>74</v>
      </c>
      <c r="D472" t="s">
        <v>74</v>
      </c>
      <c r="E472" t="s">
        <v>74</v>
      </c>
      <c r="F472" t="s">
        <v>4198</v>
      </c>
      <c r="G472" t="s">
        <v>74</v>
      </c>
      <c r="H472" t="s">
        <v>74</v>
      </c>
      <c r="I472" t="s">
        <v>4199</v>
      </c>
      <c r="J472" t="s">
        <v>1040</v>
      </c>
      <c r="K472" t="s">
        <v>74</v>
      </c>
      <c r="L472" t="s">
        <v>74</v>
      </c>
      <c r="M472" t="s">
        <v>74</v>
      </c>
      <c r="N472" t="s">
        <v>74</v>
      </c>
      <c r="O472" t="s">
        <v>74</v>
      </c>
      <c r="P472" t="s">
        <v>74</v>
      </c>
      <c r="Q472" t="s">
        <v>74</v>
      </c>
      <c r="R472" t="s">
        <v>74</v>
      </c>
      <c r="S472" t="s">
        <v>74</v>
      </c>
      <c r="T472" t="s">
        <v>74</v>
      </c>
      <c r="U472" t="s">
        <v>74</v>
      </c>
      <c r="V472" t="s">
        <v>4200</v>
      </c>
      <c r="W472" t="s">
        <v>74</v>
      </c>
      <c r="X472" t="s">
        <v>74</v>
      </c>
      <c r="Y472" t="s">
        <v>74</v>
      </c>
      <c r="Z472" t="s">
        <v>74</v>
      </c>
      <c r="AA472" t="s">
        <v>4201</v>
      </c>
      <c r="AB472" t="s">
        <v>4202</v>
      </c>
      <c r="AC472" t="s">
        <v>74</v>
      </c>
      <c r="AD472" t="s">
        <v>74</v>
      </c>
      <c r="AE472" t="s">
        <v>74</v>
      </c>
      <c r="AF472" t="s">
        <v>74</v>
      </c>
      <c r="AG472" t="s">
        <v>74</v>
      </c>
      <c r="AH472" t="s">
        <v>74</v>
      </c>
      <c r="AI472" t="s">
        <v>74</v>
      </c>
      <c r="AJ472" t="s">
        <v>74</v>
      </c>
      <c r="AK472" t="s">
        <v>74</v>
      </c>
      <c r="AL472" t="s">
        <v>74</v>
      </c>
      <c r="AM472" t="s">
        <v>74</v>
      </c>
      <c r="AN472" t="s">
        <v>74</v>
      </c>
      <c r="AO472" t="s">
        <v>1043</v>
      </c>
      <c r="AP472" t="s">
        <v>1044</v>
      </c>
      <c r="AQ472" t="s">
        <v>74</v>
      </c>
      <c r="AR472" t="s">
        <v>74</v>
      </c>
      <c r="AS472" t="s">
        <v>74</v>
      </c>
      <c r="AT472" t="s">
        <v>4203</v>
      </c>
      <c r="AU472">
        <v>2022</v>
      </c>
      <c r="AV472">
        <v>24</v>
      </c>
      <c r="AW472">
        <v>9</v>
      </c>
      <c r="AX472" t="s">
        <v>74</v>
      </c>
      <c r="AY472" t="s">
        <v>74</v>
      </c>
      <c r="AZ472" t="s">
        <v>74</v>
      </c>
      <c r="BA472" t="s">
        <v>74</v>
      </c>
      <c r="BB472">
        <v>5604</v>
      </c>
      <c r="BC472">
        <v>5609</v>
      </c>
      <c r="BD472" t="s">
        <v>74</v>
      </c>
      <c r="BE472" t="s">
        <v>4204</v>
      </c>
      <c r="BF472" t="str">
        <f>HYPERLINK("http://dx.doi.org/10.1039/d1cp05390f","http://dx.doi.org/10.1039/d1cp05390f")</f>
        <v>http://dx.doi.org/10.1039/d1cp05390f</v>
      </c>
      <c r="BG472" t="s">
        <v>74</v>
      </c>
      <c r="BH472" t="s">
        <v>4178</v>
      </c>
      <c r="BI472" t="s">
        <v>74</v>
      </c>
      <c r="BJ472" t="s">
        <v>74</v>
      </c>
      <c r="BK472" t="s">
        <v>74</v>
      </c>
      <c r="BL472" t="s">
        <v>74</v>
      </c>
      <c r="BM472" t="s">
        <v>74</v>
      </c>
      <c r="BN472">
        <v>35175264</v>
      </c>
      <c r="BO472" t="s">
        <v>74</v>
      </c>
      <c r="BP472" t="s">
        <v>74</v>
      </c>
      <c r="BQ472" t="s">
        <v>74</v>
      </c>
      <c r="BR472" t="s">
        <v>74</v>
      </c>
      <c r="BS472" t="s">
        <v>4205</v>
      </c>
      <c r="BT472" t="str">
        <f>HYPERLINK("https%3A%2F%2Fwww.webofscience.com%2Fwos%2Fwoscc%2Ffull-record%2FWOS:000756859500001","View Full Record in Web of Science")</f>
        <v>View Full Record in Web of Science</v>
      </c>
    </row>
    <row r="473" spans="1:72" x14ac:dyDescent="0.2">
      <c r="A473" t="s">
        <v>72</v>
      </c>
      <c r="B473" t="s">
        <v>4206</v>
      </c>
      <c r="C473" t="s">
        <v>74</v>
      </c>
      <c r="D473" t="s">
        <v>74</v>
      </c>
      <c r="E473" t="s">
        <v>74</v>
      </c>
      <c r="F473" t="s">
        <v>4207</v>
      </c>
      <c r="G473" t="s">
        <v>74</v>
      </c>
      <c r="H473" t="s">
        <v>74</v>
      </c>
      <c r="I473" t="s">
        <v>4208</v>
      </c>
      <c r="J473" t="s">
        <v>1256</v>
      </c>
      <c r="K473" t="s">
        <v>74</v>
      </c>
      <c r="L473" t="s">
        <v>74</v>
      </c>
      <c r="M473" t="s">
        <v>74</v>
      </c>
      <c r="N473" t="s">
        <v>74</v>
      </c>
      <c r="O473" t="s">
        <v>74</v>
      </c>
      <c r="P473" t="s">
        <v>74</v>
      </c>
      <c r="Q473" t="s">
        <v>74</v>
      </c>
      <c r="R473" t="s">
        <v>74</v>
      </c>
      <c r="S473" t="s">
        <v>74</v>
      </c>
      <c r="T473" t="s">
        <v>74</v>
      </c>
      <c r="U473" t="s">
        <v>74</v>
      </c>
      <c r="V473" t="s">
        <v>4209</v>
      </c>
      <c r="W473" t="s">
        <v>74</v>
      </c>
      <c r="X473" t="s">
        <v>74</v>
      </c>
      <c r="Y473" t="s">
        <v>74</v>
      </c>
      <c r="Z473" t="s">
        <v>74</v>
      </c>
      <c r="AA473" t="s">
        <v>4210</v>
      </c>
      <c r="AB473" t="s">
        <v>4211</v>
      </c>
      <c r="AC473" t="s">
        <v>74</v>
      </c>
      <c r="AD473" t="s">
        <v>74</v>
      </c>
      <c r="AE473" t="s">
        <v>74</v>
      </c>
      <c r="AF473" t="s">
        <v>74</v>
      </c>
      <c r="AG473" t="s">
        <v>74</v>
      </c>
      <c r="AH473" t="s">
        <v>74</v>
      </c>
      <c r="AI473" t="s">
        <v>74</v>
      </c>
      <c r="AJ473" t="s">
        <v>74</v>
      </c>
      <c r="AK473" t="s">
        <v>74</v>
      </c>
      <c r="AL473" t="s">
        <v>74</v>
      </c>
      <c r="AM473" t="s">
        <v>74</v>
      </c>
      <c r="AN473" t="s">
        <v>74</v>
      </c>
      <c r="AO473" t="s">
        <v>1258</v>
      </c>
      <c r="AP473" t="s">
        <v>1259</v>
      </c>
      <c r="AQ473" t="s">
        <v>74</v>
      </c>
      <c r="AR473" t="s">
        <v>74</v>
      </c>
      <c r="AS473" t="s">
        <v>74</v>
      </c>
      <c r="AT473" t="s">
        <v>839</v>
      </c>
      <c r="AU473">
        <v>2022</v>
      </c>
      <c r="AV473">
        <v>409</v>
      </c>
      <c r="AW473" t="s">
        <v>74</v>
      </c>
      <c r="AX473" t="s">
        <v>74</v>
      </c>
      <c r="AY473" t="s">
        <v>74</v>
      </c>
      <c r="AZ473" t="s">
        <v>74</v>
      </c>
      <c r="BA473" t="s">
        <v>74</v>
      </c>
      <c r="BB473" t="s">
        <v>74</v>
      </c>
      <c r="BC473" t="s">
        <v>74</v>
      </c>
      <c r="BD473">
        <v>140003</v>
      </c>
      <c r="BE473" t="s">
        <v>4212</v>
      </c>
      <c r="BF473" t="str">
        <f>HYPERLINK("http://dx.doi.org/10.1016/j.electacta.2022.140003","http://dx.doi.org/10.1016/j.electacta.2022.140003")</f>
        <v>http://dx.doi.org/10.1016/j.electacta.2022.140003</v>
      </c>
      <c r="BG473" t="s">
        <v>74</v>
      </c>
      <c r="BH473" t="s">
        <v>4178</v>
      </c>
      <c r="BI473" t="s">
        <v>74</v>
      </c>
      <c r="BJ473" t="s">
        <v>74</v>
      </c>
      <c r="BK473" t="s">
        <v>74</v>
      </c>
      <c r="BL473" t="s">
        <v>74</v>
      </c>
      <c r="BM473" t="s">
        <v>74</v>
      </c>
      <c r="BN473" t="s">
        <v>74</v>
      </c>
      <c r="BO473" t="s">
        <v>74</v>
      </c>
      <c r="BP473" t="s">
        <v>74</v>
      </c>
      <c r="BQ473" t="s">
        <v>74</v>
      </c>
      <c r="BR473" t="s">
        <v>74</v>
      </c>
      <c r="BS473" t="s">
        <v>4213</v>
      </c>
      <c r="BT473" t="str">
        <f>HYPERLINK("https%3A%2F%2Fwww.webofscience.com%2Fwos%2Fwoscc%2Ffull-record%2FWOS:000788161100002","View Full Record in Web of Science")</f>
        <v>View Full Record in Web of Science</v>
      </c>
    </row>
    <row r="474" spans="1:72" x14ac:dyDescent="0.2">
      <c r="A474" t="s">
        <v>72</v>
      </c>
      <c r="B474" t="s">
        <v>4214</v>
      </c>
      <c r="C474" t="s">
        <v>74</v>
      </c>
      <c r="D474" t="s">
        <v>74</v>
      </c>
      <c r="E474" t="s">
        <v>74</v>
      </c>
      <c r="F474" t="s">
        <v>4215</v>
      </c>
      <c r="G474" t="s">
        <v>74</v>
      </c>
      <c r="H474" t="s">
        <v>74</v>
      </c>
      <c r="I474" t="s">
        <v>4216</v>
      </c>
      <c r="J474" t="s">
        <v>411</v>
      </c>
      <c r="K474" t="s">
        <v>74</v>
      </c>
      <c r="L474" t="s">
        <v>74</v>
      </c>
      <c r="M474" t="s">
        <v>74</v>
      </c>
      <c r="N474" t="s">
        <v>74</v>
      </c>
      <c r="O474" t="s">
        <v>74</v>
      </c>
      <c r="P474" t="s">
        <v>74</v>
      </c>
      <c r="Q474" t="s">
        <v>74</v>
      </c>
      <c r="R474" t="s">
        <v>74</v>
      </c>
      <c r="S474" t="s">
        <v>74</v>
      </c>
      <c r="T474" t="s">
        <v>74</v>
      </c>
      <c r="U474" t="s">
        <v>74</v>
      </c>
      <c r="V474" t="s">
        <v>4217</v>
      </c>
      <c r="W474" t="s">
        <v>74</v>
      </c>
      <c r="X474" t="s">
        <v>74</v>
      </c>
      <c r="Y474" t="s">
        <v>74</v>
      </c>
      <c r="Z474" t="s">
        <v>74</v>
      </c>
      <c r="AA474" t="s">
        <v>4218</v>
      </c>
      <c r="AB474" t="s">
        <v>4219</v>
      </c>
      <c r="AC474" t="s">
        <v>74</v>
      </c>
      <c r="AD474" t="s">
        <v>74</v>
      </c>
      <c r="AE474" t="s">
        <v>74</v>
      </c>
      <c r="AF474" t="s">
        <v>74</v>
      </c>
      <c r="AG474" t="s">
        <v>74</v>
      </c>
      <c r="AH474" t="s">
        <v>74</v>
      </c>
      <c r="AI474" t="s">
        <v>74</v>
      </c>
      <c r="AJ474" t="s">
        <v>74</v>
      </c>
      <c r="AK474" t="s">
        <v>74</v>
      </c>
      <c r="AL474" t="s">
        <v>74</v>
      </c>
      <c r="AM474" t="s">
        <v>74</v>
      </c>
      <c r="AN474" t="s">
        <v>74</v>
      </c>
      <c r="AO474" t="s">
        <v>414</v>
      </c>
      <c r="AP474" t="s">
        <v>415</v>
      </c>
      <c r="AQ474" t="s">
        <v>74</v>
      </c>
      <c r="AR474" t="s">
        <v>74</v>
      </c>
      <c r="AS474" t="s">
        <v>74</v>
      </c>
      <c r="AT474" t="s">
        <v>954</v>
      </c>
      <c r="AU474">
        <v>2022</v>
      </c>
      <c r="AV474">
        <v>18</v>
      </c>
      <c r="AW474">
        <v>11</v>
      </c>
      <c r="AX474" t="s">
        <v>74</v>
      </c>
      <c r="AY474" t="s">
        <v>74</v>
      </c>
      <c r="AZ474" t="s">
        <v>74</v>
      </c>
      <c r="BA474" t="s">
        <v>74</v>
      </c>
      <c r="BB474" t="s">
        <v>74</v>
      </c>
      <c r="BC474" t="s">
        <v>74</v>
      </c>
      <c r="BD474">
        <v>2104876</v>
      </c>
      <c r="BE474" t="s">
        <v>4220</v>
      </c>
      <c r="BF474" t="str">
        <f>HYPERLINK("http://dx.doi.org/10.1002/smll.202104876","http://dx.doi.org/10.1002/smll.202104876")</f>
        <v>http://dx.doi.org/10.1002/smll.202104876</v>
      </c>
      <c r="BG474" t="s">
        <v>74</v>
      </c>
      <c r="BH474" t="s">
        <v>4178</v>
      </c>
      <c r="BI474" t="s">
        <v>74</v>
      </c>
      <c r="BJ474" t="s">
        <v>74</v>
      </c>
      <c r="BK474" t="s">
        <v>74</v>
      </c>
      <c r="BL474" t="s">
        <v>74</v>
      </c>
      <c r="BM474" t="s">
        <v>74</v>
      </c>
      <c r="BN474">
        <v>35119209</v>
      </c>
      <c r="BO474" t="s">
        <v>74</v>
      </c>
      <c r="BP474" t="s">
        <v>74</v>
      </c>
      <c r="BQ474" t="s">
        <v>74</v>
      </c>
      <c r="BR474" t="s">
        <v>74</v>
      </c>
      <c r="BS474" t="s">
        <v>4221</v>
      </c>
      <c r="BT474" t="str">
        <f>HYPERLINK("https%3A%2F%2Fwww.webofscience.com%2Fwos%2Fwoscc%2Ffull-record%2FWOS:000750921300001","View Full Record in Web of Science")</f>
        <v>View Full Record in Web of Science</v>
      </c>
    </row>
    <row r="475" spans="1:72" x14ac:dyDescent="0.2">
      <c r="A475" t="s">
        <v>72</v>
      </c>
      <c r="B475" t="s">
        <v>4222</v>
      </c>
      <c r="C475" t="s">
        <v>74</v>
      </c>
      <c r="D475" t="s">
        <v>74</v>
      </c>
      <c r="E475" t="s">
        <v>74</v>
      </c>
      <c r="F475" t="s">
        <v>4223</v>
      </c>
      <c r="G475" t="s">
        <v>74</v>
      </c>
      <c r="H475" t="s">
        <v>74</v>
      </c>
      <c r="I475" t="s">
        <v>4224</v>
      </c>
      <c r="J475" t="s">
        <v>3564</v>
      </c>
      <c r="K475" t="s">
        <v>74</v>
      </c>
      <c r="L475" t="s">
        <v>74</v>
      </c>
      <c r="M475" t="s">
        <v>74</v>
      </c>
      <c r="N475" t="s">
        <v>74</v>
      </c>
      <c r="O475" t="s">
        <v>74</v>
      </c>
      <c r="P475" t="s">
        <v>74</v>
      </c>
      <c r="Q475" t="s">
        <v>74</v>
      </c>
      <c r="R475" t="s">
        <v>74</v>
      </c>
      <c r="S475" t="s">
        <v>74</v>
      </c>
      <c r="T475" t="s">
        <v>74</v>
      </c>
      <c r="U475" t="s">
        <v>74</v>
      </c>
      <c r="V475" t="s">
        <v>4225</v>
      </c>
      <c r="W475" t="s">
        <v>74</v>
      </c>
      <c r="X475" t="s">
        <v>74</v>
      </c>
      <c r="Y475" t="s">
        <v>74</v>
      </c>
      <c r="Z475" t="s">
        <v>74</v>
      </c>
      <c r="AA475" t="s">
        <v>4226</v>
      </c>
      <c r="AB475" t="s">
        <v>4227</v>
      </c>
      <c r="AC475" t="s">
        <v>74</v>
      </c>
      <c r="AD475" t="s">
        <v>74</v>
      </c>
      <c r="AE475" t="s">
        <v>74</v>
      </c>
      <c r="AF475" t="s">
        <v>74</v>
      </c>
      <c r="AG475" t="s">
        <v>74</v>
      </c>
      <c r="AH475" t="s">
        <v>74</v>
      </c>
      <c r="AI475" t="s">
        <v>74</v>
      </c>
      <c r="AJ475" t="s">
        <v>74</v>
      </c>
      <c r="AK475" t="s">
        <v>74</v>
      </c>
      <c r="AL475" t="s">
        <v>74</v>
      </c>
      <c r="AM475" t="s">
        <v>74</v>
      </c>
      <c r="AN475" t="s">
        <v>74</v>
      </c>
      <c r="AO475" t="s">
        <v>74</v>
      </c>
      <c r="AP475" t="s">
        <v>3568</v>
      </c>
      <c r="AQ475" t="s">
        <v>74</v>
      </c>
      <c r="AR475" t="s">
        <v>74</v>
      </c>
      <c r="AS475" t="s">
        <v>74</v>
      </c>
      <c r="AT475" t="s">
        <v>1026</v>
      </c>
      <c r="AU475">
        <v>2022</v>
      </c>
      <c r="AV475">
        <v>12</v>
      </c>
      <c r="AW475">
        <v>2</v>
      </c>
      <c r="AX475" t="s">
        <v>74</v>
      </c>
      <c r="AY475" t="s">
        <v>74</v>
      </c>
      <c r="AZ475" t="s">
        <v>74</v>
      </c>
      <c r="BA475" t="s">
        <v>74</v>
      </c>
      <c r="BB475" t="s">
        <v>74</v>
      </c>
      <c r="BC475" t="s">
        <v>74</v>
      </c>
      <c r="BD475">
        <v>125</v>
      </c>
      <c r="BE475" t="s">
        <v>4228</v>
      </c>
      <c r="BF475" t="str">
        <f>HYPERLINK("http://dx.doi.org/10.3390/cryst12020125","http://dx.doi.org/10.3390/cryst12020125")</f>
        <v>http://dx.doi.org/10.3390/cryst12020125</v>
      </c>
      <c r="BG475" t="s">
        <v>74</v>
      </c>
      <c r="BH475" t="s">
        <v>74</v>
      </c>
      <c r="BI475" t="s">
        <v>74</v>
      </c>
      <c r="BJ475" t="s">
        <v>74</v>
      </c>
      <c r="BK475" t="s">
        <v>74</v>
      </c>
      <c r="BL475" t="s">
        <v>74</v>
      </c>
      <c r="BM475" t="s">
        <v>74</v>
      </c>
      <c r="BN475" t="s">
        <v>74</v>
      </c>
      <c r="BO475" t="s">
        <v>74</v>
      </c>
      <c r="BP475" t="s">
        <v>74</v>
      </c>
      <c r="BQ475" t="s">
        <v>74</v>
      </c>
      <c r="BR475" t="s">
        <v>74</v>
      </c>
      <c r="BS475" t="s">
        <v>4229</v>
      </c>
      <c r="BT475" t="str">
        <f>HYPERLINK("https%3A%2F%2Fwww.webofscience.com%2Fwos%2Fwoscc%2Ffull-record%2FWOS:000763285000001","View Full Record in Web of Science")</f>
        <v>View Full Record in Web of Science</v>
      </c>
    </row>
    <row r="476" spans="1:72" x14ac:dyDescent="0.2">
      <c r="A476" t="s">
        <v>72</v>
      </c>
      <c r="B476" t="s">
        <v>4230</v>
      </c>
      <c r="C476" t="s">
        <v>74</v>
      </c>
      <c r="D476" t="s">
        <v>74</v>
      </c>
      <c r="E476" t="s">
        <v>74</v>
      </c>
      <c r="F476" t="s">
        <v>4231</v>
      </c>
      <c r="G476" t="s">
        <v>74</v>
      </c>
      <c r="H476" t="s">
        <v>74</v>
      </c>
      <c r="I476" t="s">
        <v>4232</v>
      </c>
      <c r="J476" t="s">
        <v>4233</v>
      </c>
      <c r="K476" t="s">
        <v>74</v>
      </c>
      <c r="L476" t="s">
        <v>74</v>
      </c>
      <c r="M476" t="s">
        <v>74</v>
      </c>
      <c r="N476" t="s">
        <v>74</v>
      </c>
      <c r="O476" t="s">
        <v>74</v>
      </c>
      <c r="P476" t="s">
        <v>74</v>
      </c>
      <c r="Q476" t="s">
        <v>74</v>
      </c>
      <c r="R476" t="s">
        <v>74</v>
      </c>
      <c r="S476" t="s">
        <v>74</v>
      </c>
      <c r="T476" t="s">
        <v>74</v>
      </c>
      <c r="U476" t="s">
        <v>74</v>
      </c>
      <c r="V476" t="s">
        <v>4234</v>
      </c>
      <c r="W476" t="s">
        <v>74</v>
      </c>
      <c r="X476" t="s">
        <v>74</v>
      </c>
      <c r="Y476" t="s">
        <v>74</v>
      </c>
      <c r="Z476" t="s">
        <v>74</v>
      </c>
      <c r="AA476" t="s">
        <v>4235</v>
      </c>
      <c r="AB476" t="s">
        <v>4236</v>
      </c>
      <c r="AC476" t="s">
        <v>74</v>
      </c>
      <c r="AD476" t="s">
        <v>74</v>
      </c>
      <c r="AE476" t="s">
        <v>74</v>
      </c>
      <c r="AF476" t="s">
        <v>74</v>
      </c>
      <c r="AG476" t="s">
        <v>74</v>
      </c>
      <c r="AH476" t="s">
        <v>74</v>
      </c>
      <c r="AI476" t="s">
        <v>74</v>
      </c>
      <c r="AJ476" t="s">
        <v>74</v>
      </c>
      <c r="AK476" t="s">
        <v>74</v>
      </c>
      <c r="AL476" t="s">
        <v>74</v>
      </c>
      <c r="AM476" t="s">
        <v>74</v>
      </c>
      <c r="AN476" t="s">
        <v>74</v>
      </c>
      <c r="AO476" t="s">
        <v>74</v>
      </c>
      <c r="AP476" t="s">
        <v>4237</v>
      </c>
      <c r="AQ476" t="s">
        <v>74</v>
      </c>
      <c r="AR476" t="s">
        <v>74</v>
      </c>
      <c r="AS476" t="s">
        <v>74</v>
      </c>
      <c r="AT476" t="s">
        <v>1026</v>
      </c>
      <c r="AU476">
        <v>2022</v>
      </c>
      <c r="AV476">
        <v>15</v>
      </c>
      <c r="AW476">
        <v>3</v>
      </c>
      <c r="AX476" t="s">
        <v>74</v>
      </c>
      <c r="AY476" t="s">
        <v>74</v>
      </c>
      <c r="AZ476" t="s">
        <v>74</v>
      </c>
      <c r="BA476" t="s">
        <v>74</v>
      </c>
      <c r="BB476" t="s">
        <v>74</v>
      </c>
      <c r="BC476" t="s">
        <v>74</v>
      </c>
      <c r="BD476">
        <v>1162</v>
      </c>
      <c r="BE476" t="s">
        <v>4238</v>
      </c>
      <c r="BF476" t="str">
        <f>HYPERLINK("http://dx.doi.org/10.3390/en15031162","http://dx.doi.org/10.3390/en15031162")</f>
        <v>http://dx.doi.org/10.3390/en15031162</v>
      </c>
      <c r="BG476" t="s">
        <v>74</v>
      </c>
      <c r="BH476" t="s">
        <v>74</v>
      </c>
      <c r="BI476" t="s">
        <v>74</v>
      </c>
      <c r="BJ476" t="s">
        <v>74</v>
      </c>
      <c r="BK476" t="s">
        <v>74</v>
      </c>
      <c r="BL476" t="s">
        <v>74</v>
      </c>
      <c r="BM476" t="s">
        <v>74</v>
      </c>
      <c r="BN476" t="s">
        <v>74</v>
      </c>
      <c r="BO476" t="s">
        <v>74</v>
      </c>
      <c r="BP476" t="s">
        <v>74</v>
      </c>
      <c r="BQ476" t="s">
        <v>74</v>
      </c>
      <c r="BR476" t="s">
        <v>74</v>
      </c>
      <c r="BS476" t="s">
        <v>4239</v>
      </c>
      <c r="BT476" t="str">
        <f>HYPERLINK("https%3A%2F%2Fwww.webofscience.com%2Fwos%2Fwoscc%2Ffull-record%2FWOS:000760482700001","View Full Record in Web of Science")</f>
        <v>View Full Record in Web of Science</v>
      </c>
    </row>
    <row r="477" spans="1:72" x14ac:dyDescent="0.2">
      <c r="A477" t="s">
        <v>72</v>
      </c>
      <c r="B477" t="s">
        <v>4240</v>
      </c>
      <c r="C477" t="s">
        <v>74</v>
      </c>
      <c r="D477" t="s">
        <v>74</v>
      </c>
      <c r="E477" t="s">
        <v>74</v>
      </c>
      <c r="F477" t="s">
        <v>4241</v>
      </c>
      <c r="G477" t="s">
        <v>74</v>
      </c>
      <c r="H477" t="s">
        <v>74</v>
      </c>
      <c r="I477" t="s">
        <v>4242</v>
      </c>
      <c r="J477" t="s">
        <v>278</v>
      </c>
      <c r="K477" t="s">
        <v>74</v>
      </c>
      <c r="L477" t="s">
        <v>74</v>
      </c>
      <c r="M477" t="s">
        <v>74</v>
      </c>
      <c r="N477" t="s">
        <v>74</v>
      </c>
      <c r="O477" t="s">
        <v>74</v>
      </c>
      <c r="P477" t="s">
        <v>74</v>
      </c>
      <c r="Q477" t="s">
        <v>74</v>
      </c>
      <c r="R477" t="s">
        <v>74</v>
      </c>
      <c r="S477" t="s">
        <v>74</v>
      </c>
      <c r="T477" t="s">
        <v>74</v>
      </c>
      <c r="U477" t="s">
        <v>74</v>
      </c>
      <c r="V477" t="s">
        <v>4243</v>
      </c>
      <c r="W477" t="s">
        <v>74</v>
      </c>
      <c r="X477" t="s">
        <v>74</v>
      </c>
      <c r="Y477" t="s">
        <v>74</v>
      </c>
      <c r="Z477" t="s">
        <v>74</v>
      </c>
      <c r="AA477" t="s">
        <v>4244</v>
      </c>
      <c r="AB477" t="s">
        <v>4245</v>
      </c>
      <c r="AC477" t="s">
        <v>74</v>
      </c>
      <c r="AD477" t="s">
        <v>74</v>
      </c>
      <c r="AE477" t="s">
        <v>74</v>
      </c>
      <c r="AF477" t="s">
        <v>74</v>
      </c>
      <c r="AG477" t="s">
        <v>74</v>
      </c>
      <c r="AH477" t="s">
        <v>74</v>
      </c>
      <c r="AI477" t="s">
        <v>74</v>
      </c>
      <c r="AJ477" t="s">
        <v>74</v>
      </c>
      <c r="AK477" t="s">
        <v>74</v>
      </c>
      <c r="AL477" t="s">
        <v>74</v>
      </c>
      <c r="AM477" t="s">
        <v>74</v>
      </c>
      <c r="AN477" t="s">
        <v>74</v>
      </c>
      <c r="AO477" t="s">
        <v>281</v>
      </c>
      <c r="AP477" t="s">
        <v>282</v>
      </c>
      <c r="AQ477" t="s">
        <v>74</v>
      </c>
      <c r="AR477" t="s">
        <v>74</v>
      </c>
      <c r="AS477" t="s">
        <v>74</v>
      </c>
      <c r="AT477" t="s">
        <v>4246</v>
      </c>
      <c r="AU477">
        <v>2022</v>
      </c>
      <c r="AV477">
        <v>10</v>
      </c>
      <c r="AW477">
        <v>14</v>
      </c>
      <c r="AX477" t="s">
        <v>74</v>
      </c>
      <c r="AY477" t="s">
        <v>74</v>
      </c>
      <c r="AZ477" t="s">
        <v>74</v>
      </c>
      <c r="BA477" t="s">
        <v>74</v>
      </c>
      <c r="BB477">
        <v>7653</v>
      </c>
      <c r="BC477">
        <v>7659</v>
      </c>
      <c r="BD477" t="s">
        <v>74</v>
      </c>
      <c r="BE477" t="s">
        <v>4247</v>
      </c>
      <c r="BF477" t="str">
        <f>HYPERLINK("http://dx.doi.org/10.1039/d1ta10444f","http://dx.doi.org/10.1039/d1ta10444f")</f>
        <v>http://dx.doi.org/10.1039/d1ta10444f</v>
      </c>
      <c r="BG477" t="s">
        <v>74</v>
      </c>
      <c r="BH477" t="s">
        <v>4248</v>
      </c>
      <c r="BI477" t="s">
        <v>74</v>
      </c>
      <c r="BJ477" t="s">
        <v>74</v>
      </c>
      <c r="BK477" t="s">
        <v>74</v>
      </c>
      <c r="BL477" t="s">
        <v>74</v>
      </c>
      <c r="BM477" t="s">
        <v>74</v>
      </c>
      <c r="BN477" t="s">
        <v>74</v>
      </c>
      <c r="BO477" t="s">
        <v>74</v>
      </c>
      <c r="BP477" t="s">
        <v>74</v>
      </c>
      <c r="BQ477" t="s">
        <v>74</v>
      </c>
      <c r="BR477" t="s">
        <v>74</v>
      </c>
      <c r="BS477" t="s">
        <v>4249</v>
      </c>
      <c r="BT477" t="str">
        <f>HYPERLINK("https%3A%2F%2Fwww.webofscience.com%2Fwos%2Fwoscc%2Ffull-record%2FWOS:000754010200001","View Full Record in Web of Science")</f>
        <v>View Full Record in Web of Science</v>
      </c>
    </row>
    <row r="478" spans="1:72" x14ac:dyDescent="0.2">
      <c r="A478" t="s">
        <v>72</v>
      </c>
      <c r="B478" t="s">
        <v>4250</v>
      </c>
      <c r="C478" t="s">
        <v>74</v>
      </c>
      <c r="D478" t="s">
        <v>74</v>
      </c>
      <c r="E478" t="s">
        <v>74</v>
      </c>
      <c r="F478" t="s">
        <v>4251</v>
      </c>
      <c r="G478" t="s">
        <v>74</v>
      </c>
      <c r="H478" t="s">
        <v>74</v>
      </c>
      <c r="I478" t="s">
        <v>4252</v>
      </c>
      <c r="J478" t="s">
        <v>4253</v>
      </c>
      <c r="K478" t="s">
        <v>74</v>
      </c>
      <c r="L478" t="s">
        <v>74</v>
      </c>
      <c r="M478" t="s">
        <v>74</v>
      </c>
      <c r="N478" t="s">
        <v>74</v>
      </c>
      <c r="O478" t="s">
        <v>74</v>
      </c>
      <c r="P478" t="s">
        <v>74</v>
      </c>
      <c r="Q478" t="s">
        <v>74</v>
      </c>
      <c r="R478" t="s">
        <v>74</v>
      </c>
      <c r="S478" t="s">
        <v>74</v>
      </c>
      <c r="T478" t="s">
        <v>74</v>
      </c>
      <c r="U478" t="s">
        <v>74</v>
      </c>
      <c r="V478" t="s">
        <v>4254</v>
      </c>
      <c r="W478" t="s">
        <v>74</v>
      </c>
      <c r="X478" t="s">
        <v>74</v>
      </c>
      <c r="Y478" t="s">
        <v>74</v>
      </c>
      <c r="Z478" t="s">
        <v>74</v>
      </c>
      <c r="AA478" t="s">
        <v>4255</v>
      </c>
      <c r="AB478" t="s">
        <v>4256</v>
      </c>
      <c r="AC478" t="s">
        <v>74</v>
      </c>
      <c r="AD478" t="s">
        <v>74</v>
      </c>
      <c r="AE478" t="s">
        <v>74</v>
      </c>
      <c r="AF478" t="s">
        <v>74</v>
      </c>
      <c r="AG478" t="s">
        <v>74</v>
      </c>
      <c r="AH478" t="s">
        <v>74</v>
      </c>
      <c r="AI478" t="s">
        <v>74</v>
      </c>
      <c r="AJ478" t="s">
        <v>74</v>
      </c>
      <c r="AK478" t="s">
        <v>74</v>
      </c>
      <c r="AL478" t="s">
        <v>74</v>
      </c>
      <c r="AM478" t="s">
        <v>74</v>
      </c>
      <c r="AN478" t="s">
        <v>74</v>
      </c>
      <c r="AO478" t="s">
        <v>4257</v>
      </c>
      <c r="AP478" t="s">
        <v>4258</v>
      </c>
      <c r="AQ478" t="s">
        <v>74</v>
      </c>
      <c r="AR478" t="s">
        <v>74</v>
      </c>
      <c r="AS478" t="s">
        <v>74</v>
      </c>
      <c r="AT478" t="s">
        <v>545</v>
      </c>
      <c r="AU478">
        <v>2022</v>
      </c>
      <c r="AV478">
        <v>46</v>
      </c>
      <c r="AW478">
        <v>6</v>
      </c>
      <c r="AX478" t="s">
        <v>74</v>
      </c>
      <c r="AY478" t="s">
        <v>74</v>
      </c>
      <c r="AZ478" t="s">
        <v>74</v>
      </c>
      <c r="BA478" t="s">
        <v>74</v>
      </c>
      <c r="BB478">
        <v>7732</v>
      </c>
      <c r="BC478">
        <v>7748</v>
      </c>
      <c r="BD478" t="s">
        <v>74</v>
      </c>
      <c r="BE478" t="s">
        <v>4259</v>
      </c>
      <c r="BF478" t="str">
        <f>HYPERLINK("http://dx.doi.org/10.1002/er.7676","http://dx.doi.org/10.1002/er.7676")</f>
        <v>http://dx.doi.org/10.1002/er.7676</v>
      </c>
      <c r="BG478" t="s">
        <v>74</v>
      </c>
      <c r="BH478" t="s">
        <v>4248</v>
      </c>
      <c r="BI478" t="s">
        <v>74</v>
      </c>
      <c r="BJ478" t="s">
        <v>74</v>
      </c>
      <c r="BK478" t="s">
        <v>74</v>
      </c>
      <c r="BL478" t="s">
        <v>74</v>
      </c>
      <c r="BM478" t="s">
        <v>74</v>
      </c>
      <c r="BN478" t="s">
        <v>74</v>
      </c>
      <c r="BO478" t="s">
        <v>74</v>
      </c>
      <c r="BP478" t="s">
        <v>74</v>
      </c>
      <c r="BQ478" t="s">
        <v>74</v>
      </c>
      <c r="BR478" t="s">
        <v>74</v>
      </c>
      <c r="BS478" t="s">
        <v>4260</v>
      </c>
      <c r="BT478" t="str">
        <f>HYPERLINK("https%3A%2F%2Fwww.webofscience.com%2Fwos%2Fwoscc%2Ffull-record%2FWOS:000746205000001","View Full Record in Web of Science")</f>
        <v>View Full Record in Web of Science</v>
      </c>
    </row>
    <row r="479" spans="1:72" x14ac:dyDescent="0.2">
      <c r="A479" t="s">
        <v>72</v>
      </c>
      <c r="B479" t="s">
        <v>4261</v>
      </c>
      <c r="C479" t="s">
        <v>74</v>
      </c>
      <c r="D479" t="s">
        <v>74</v>
      </c>
      <c r="E479" t="s">
        <v>74</v>
      </c>
      <c r="F479" t="s">
        <v>4262</v>
      </c>
      <c r="G479" t="s">
        <v>74</v>
      </c>
      <c r="H479" t="s">
        <v>74</v>
      </c>
      <c r="I479" t="s">
        <v>4263</v>
      </c>
      <c r="J479" t="s">
        <v>1256</v>
      </c>
      <c r="K479" t="s">
        <v>74</v>
      </c>
      <c r="L479" t="s">
        <v>74</v>
      </c>
      <c r="M479" t="s">
        <v>74</v>
      </c>
      <c r="N479" t="s">
        <v>74</v>
      </c>
      <c r="O479" t="s">
        <v>74</v>
      </c>
      <c r="P479" t="s">
        <v>74</v>
      </c>
      <c r="Q479" t="s">
        <v>74</v>
      </c>
      <c r="R479" t="s">
        <v>74</v>
      </c>
      <c r="S479" t="s">
        <v>74</v>
      </c>
      <c r="T479" t="s">
        <v>74</v>
      </c>
      <c r="U479" t="s">
        <v>74</v>
      </c>
      <c r="V479" t="s">
        <v>4264</v>
      </c>
      <c r="W479" t="s">
        <v>74</v>
      </c>
      <c r="X479" t="s">
        <v>74</v>
      </c>
      <c r="Y479" t="s">
        <v>74</v>
      </c>
      <c r="Z479" t="s">
        <v>74</v>
      </c>
      <c r="AA479" t="s">
        <v>4265</v>
      </c>
      <c r="AB479" t="s">
        <v>4266</v>
      </c>
      <c r="AC479" t="s">
        <v>74</v>
      </c>
      <c r="AD479" t="s">
        <v>74</v>
      </c>
      <c r="AE479" t="s">
        <v>74</v>
      </c>
      <c r="AF479" t="s">
        <v>74</v>
      </c>
      <c r="AG479" t="s">
        <v>74</v>
      </c>
      <c r="AH479" t="s">
        <v>74</v>
      </c>
      <c r="AI479" t="s">
        <v>74</v>
      </c>
      <c r="AJ479" t="s">
        <v>74</v>
      </c>
      <c r="AK479" t="s">
        <v>74</v>
      </c>
      <c r="AL479" t="s">
        <v>74</v>
      </c>
      <c r="AM479" t="s">
        <v>74</v>
      </c>
      <c r="AN479" t="s">
        <v>74</v>
      </c>
      <c r="AO479" t="s">
        <v>1258</v>
      </c>
      <c r="AP479" t="s">
        <v>1259</v>
      </c>
      <c r="AQ479" t="s">
        <v>74</v>
      </c>
      <c r="AR479" t="s">
        <v>74</v>
      </c>
      <c r="AS479" t="s">
        <v>74</v>
      </c>
      <c r="AT479" t="s">
        <v>2556</v>
      </c>
      <c r="AU479">
        <v>2022</v>
      </c>
      <c r="AV479">
        <v>407</v>
      </c>
      <c r="AW479" t="s">
        <v>74</v>
      </c>
      <c r="AX479" t="s">
        <v>74</v>
      </c>
      <c r="AY479" t="s">
        <v>74</v>
      </c>
      <c r="AZ479" t="s">
        <v>74</v>
      </c>
      <c r="BA479" t="s">
        <v>74</v>
      </c>
      <c r="BB479" t="s">
        <v>74</v>
      </c>
      <c r="BC479" t="s">
        <v>74</v>
      </c>
      <c r="BD479">
        <v>139807</v>
      </c>
      <c r="BE479" t="s">
        <v>4267</v>
      </c>
      <c r="BF479" t="str">
        <f>HYPERLINK("http://dx.doi.org/10.1016/j.electacta.2021.139807","http://dx.doi.org/10.1016/j.electacta.2021.139807")</f>
        <v>http://dx.doi.org/10.1016/j.electacta.2021.139807</v>
      </c>
      <c r="BG479" t="s">
        <v>74</v>
      </c>
      <c r="BH479" t="s">
        <v>4248</v>
      </c>
      <c r="BI479" t="s">
        <v>74</v>
      </c>
      <c r="BJ479" t="s">
        <v>74</v>
      </c>
      <c r="BK479" t="s">
        <v>74</v>
      </c>
      <c r="BL479" t="s">
        <v>74</v>
      </c>
      <c r="BM479" t="s">
        <v>74</v>
      </c>
      <c r="BN479" t="s">
        <v>74</v>
      </c>
      <c r="BO479" t="s">
        <v>74</v>
      </c>
      <c r="BP479" t="s">
        <v>74</v>
      </c>
      <c r="BQ479" t="s">
        <v>74</v>
      </c>
      <c r="BR479" t="s">
        <v>74</v>
      </c>
      <c r="BS479" t="s">
        <v>4268</v>
      </c>
      <c r="BT479" t="str">
        <f>HYPERLINK("https%3A%2F%2Fwww.webofscience.com%2Fwos%2Fwoscc%2Ffull-record%2FWOS:000794205200006","View Full Record in Web of Science")</f>
        <v>View Full Record in Web of Science</v>
      </c>
    </row>
    <row r="480" spans="1:72" x14ac:dyDescent="0.2">
      <c r="A480" t="s">
        <v>72</v>
      </c>
      <c r="B480" t="s">
        <v>4269</v>
      </c>
      <c r="C480" t="s">
        <v>74</v>
      </c>
      <c r="D480" t="s">
        <v>74</v>
      </c>
      <c r="E480" t="s">
        <v>74</v>
      </c>
      <c r="F480" t="s">
        <v>4270</v>
      </c>
      <c r="G480" t="s">
        <v>74</v>
      </c>
      <c r="H480" t="s">
        <v>74</v>
      </c>
      <c r="I480" t="s">
        <v>4271</v>
      </c>
      <c r="J480" t="s">
        <v>151</v>
      </c>
      <c r="K480" t="s">
        <v>74</v>
      </c>
      <c r="L480" t="s">
        <v>74</v>
      </c>
      <c r="M480" t="s">
        <v>74</v>
      </c>
      <c r="N480" t="s">
        <v>74</v>
      </c>
      <c r="O480" t="s">
        <v>74</v>
      </c>
      <c r="P480" t="s">
        <v>74</v>
      </c>
      <c r="Q480" t="s">
        <v>74</v>
      </c>
      <c r="R480" t="s">
        <v>74</v>
      </c>
      <c r="S480" t="s">
        <v>74</v>
      </c>
      <c r="T480" t="s">
        <v>74</v>
      </c>
      <c r="U480" t="s">
        <v>74</v>
      </c>
      <c r="V480" t="s">
        <v>4272</v>
      </c>
      <c r="W480" t="s">
        <v>74</v>
      </c>
      <c r="X480" t="s">
        <v>74</v>
      </c>
      <c r="Y480" t="s">
        <v>74</v>
      </c>
      <c r="Z480" t="s">
        <v>74</v>
      </c>
      <c r="AA480" t="s">
        <v>4273</v>
      </c>
      <c r="AB480" t="s">
        <v>74</v>
      </c>
      <c r="AC480" t="s">
        <v>74</v>
      </c>
      <c r="AD480" t="s">
        <v>74</v>
      </c>
      <c r="AE480" t="s">
        <v>74</v>
      </c>
      <c r="AF480" t="s">
        <v>74</v>
      </c>
      <c r="AG480" t="s">
        <v>74</v>
      </c>
      <c r="AH480" t="s">
        <v>74</v>
      </c>
      <c r="AI480" t="s">
        <v>74</v>
      </c>
      <c r="AJ480" t="s">
        <v>74</v>
      </c>
      <c r="AK480" t="s">
        <v>74</v>
      </c>
      <c r="AL480" t="s">
        <v>74</v>
      </c>
      <c r="AM480" t="s">
        <v>74</v>
      </c>
      <c r="AN480" t="s">
        <v>74</v>
      </c>
      <c r="AO480" t="s">
        <v>153</v>
      </c>
      <c r="AP480" t="s">
        <v>154</v>
      </c>
      <c r="AQ480" t="s">
        <v>74</v>
      </c>
      <c r="AR480" t="s">
        <v>74</v>
      </c>
      <c r="AS480" t="s">
        <v>74</v>
      </c>
      <c r="AT480" t="s">
        <v>954</v>
      </c>
      <c r="AU480">
        <v>2022</v>
      </c>
      <c r="AV480">
        <v>45</v>
      </c>
      <c r="AW480" t="s">
        <v>74</v>
      </c>
      <c r="AX480" t="s">
        <v>74</v>
      </c>
      <c r="AY480" t="s">
        <v>74</v>
      </c>
      <c r="AZ480" t="s">
        <v>74</v>
      </c>
      <c r="BA480" t="s">
        <v>74</v>
      </c>
      <c r="BB480">
        <v>1175</v>
      </c>
      <c r="BC480">
        <v>1182</v>
      </c>
      <c r="BD480" t="s">
        <v>74</v>
      </c>
      <c r="BE480" t="s">
        <v>4274</v>
      </c>
      <c r="BF480" t="str">
        <f>HYPERLINK("http://dx.doi.org/10.1016/j.ensm.2021.11.018","http://dx.doi.org/10.1016/j.ensm.2021.11.018")</f>
        <v>http://dx.doi.org/10.1016/j.ensm.2021.11.018</v>
      </c>
      <c r="BG480" t="s">
        <v>74</v>
      </c>
      <c r="BH480" t="s">
        <v>4248</v>
      </c>
      <c r="BI480" t="s">
        <v>74</v>
      </c>
      <c r="BJ480" t="s">
        <v>74</v>
      </c>
      <c r="BK480" t="s">
        <v>74</v>
      </c>
      <c r="BL480" t="s">
        <v>74</v>
      </c>
      <c r="BM480" t="s">
        <v>74</v>
      </c>
      <c r="BN480" t="s">
        <v>74</v>
      </c>
      <c r="BO480" t="s">
        <v>74</v>
      </c>
      <c r="BP480" t="s">
        <v>74</v>
      </c>
      <c r="BQ480" t="s">
        <v>74</v>
      </c>
      <c r="BR480" t="s">
        <v>74</v>
      </c>
      <c r="BS480" t="s">
        <v>4275</v>
      </c>
      <c r="BT480" t="str">
        <f>HYPERLINK("https%3A%2F%2Fwww.webofscience.com%2Fwos%2Fwoscc%2Ffull-record%2FWOS:000783198600002","View Full Record in Web of Science")</f>
        <v>View Full Record in Web of Science</v>
      </c>
    </row>
    <row r="481" spans="1:72" x14ac:dyDescent="0.2">
      <c r="A481" t="s">
        <v>72</v>
      </c>
      <c r="B481" t="s">
        <v>4276</v>
      </c>
      <c r="C481" t="s">
        <v>74</v>
      </c>
      <c r="D481" t="s">
        <v>74</v>
      </c>
      <c r="E481" t="s">
        <v>74</v>
      </c>
      <c r="F481" t="s">
        <v>4277</v>
      </c>
      <c r="G481" t="s">
        <v>74</v>
      </c>
      <c r="H481" t="s">
        <v>74</v>
      </c>
      <c r="I481" t="s">
        <v>4278</v>
      </c>
      <c r="J481" t="s">
        <v>4279</v>
      </c>
      <c r="K481" t="s">
        <v>74</v>
      </c>
      <c r="L481" t="s">
        <v>74</v>
      </c>
      <c r="M481" t="s">
        <v>74</v>
      </c>
      <c r="N481" t="s">
        <v>74</v>
      </c>
      <c r="O481" t="s">
        <v>74</v>
      </c>
      <c r="P481" t="s">
        <v>74</v>
      </c>
      <c r="Q481" t="s">
        <v>74</v>
      </c>
      <c r="R481" t="s">
        <v>74</v>
      </c>
      <c r="S481" t="s">
        <v>74</v>
      </c>
      <c r="T481" t="s">
        <v>74</v>
      </c>
      <c r="U481" t="s">
        <v>74</v>
      </c>
      <c r="V481" t="s">
        <v>4280</v>
      </c>
      <c r="W481" t="s">
        <v>74</v>
      </c>
      <c r="X481" t="s">
        <v>74</v>
      </c>
      <c r="Y481" t="s">
        <v>74</v>
      </c>
      <c r="Z481" t="s">
        <v>74</v>
      </c>
      <c r="AA481" t="s">
        <v>4281</v>
      </c>
      <c r="AB481" t="s">
        <v>4282</v>
      </c>
      <c r="AC481" t="s">
        <v>74</v>
      </c>
      <c r="AD481" t="s">
        <v>74</v>
      </c>
      <c r="AE481" t="s">
        <v>74</v>
      </c>
      <c r="AF481" t="s">
        <v>74</v>
      </c>
      <c r="AG481" t="s">
        <v>74</v>
      </c>
      <c r="AH481" t="s">
        <v>74</v>
      </c>
      <c r="AI481" t="s">
        <v>74</v>
      </c>
      <c r="AJ481" t="s">
        <v>74</v>
      </c>
      <c r="AK481" t="s">
        <v>74</v>
      </c>
      <c r="AL481" t="s">
        <v>74</v>
      </c>
      <c r="AM481" t="s">
        <v>74</v>
      </c>
      <c r="AN481" t="s">
        <v>74</v>
      </c>
      <c r="AO481" t="s">
        <v>4283</v>
      </c>
      <c r="AP481" t="s">
        <v>74</v>
      </c>
      <c r="AQ481" t="s">
        <v>74</v>
      </c>
      <c r="AR481" t="s">
        <v>74</v>
      </c>
      <c r="AS481" t="s">
        <v>74</v>
      </c>
      <c r="AT481" t="s">
        <v>670</v>
      </c>
      <c r="AU481">
        <v>2022</v>
      </c>
      <c r="AV481">
        <v>32</v>
      </c>
      <c r="AW481" t="s">
        <v>74</v>
      </c>
      <c r="AX481" t="s">
        <v>74</v>
      </c>
      <c r="AY481" t="s">
        <v>74</v>
      </c>
      <c r="AZ481" t="s">
        <v>74</v>
      </c>
      <c r="BA481" t="s">
        <v>74</v>
      </c>
      <c r="BB481" t="s">
        <v>74</v>
      </c>
      <c r="BC481" t="s">
        <v>74</v>
      </c>
      <c r="BD481">
        <v>100921</v>
      </c>
      <c r="BE481" t="s">
        <v>4284</v>
      </c>
      <c r="BF481" t="str">
        <f>HYPERLINK("http://dx.doi.org/10.1016/j.coelec.2021.100921","http://dx.doi.org/10.1016/j.coelec.2021.100921")</f>
        <v>http://dx.doi.org/10.1016/j.coelec.2021.100921</v>
      </c>
      <c r="BG481" t="s">
        <v>74</v>
      </c>
      <c r="BH481" t="s">
        <v>4248</v>
      </c>
      <c r="BI481" t="s">
        <v>74</v>
      </c>
      <c r="BJ481" t="s">
        <v>74</v>
      </c>
      <c r="BK481" t="s">
        <v>74</v>
      </c>
      <c r="BL481" t="s">
        <v>74</v>
      </c>
      <c r="BM481" t="s">
        <v>74</v>
      </c>
      <c r="BN481" t="s">
        <v>74</v>
      </c>
      <c r="BO481" t="s">
        <v>74</v>
      </c>
      <c r="BP481" t="s">
        <v>74</v>
      </c>
      <c r="BQ481" t="s">
        <v>74</v>
      </c>
      <c r="BR481" t="s">
        <v>74</v>
      </c>
      <c r="BS481" t="s">
        <v>4285</v>
      </c>
      <c r="BT481" t="str">
        <f>HYPERLINK("https%3A%2F%2Fwww.webofscience.com%2Fwos%2Fwoscc%2Ffull-record%2FWOS:000788053500019","View Full Record in Web of Science")</f>
        <v>View Full Record in Web of Science</v>
      </c>
    </row>
    <row r="482" spans="1:72" x14ac:dyDescent="0.2">
      <c r="A482" t="s">
        <v>72</v>
      </c>
      <c r="B482" t="s">
        <v>4286</v>
      </c>
      <c r="C482" t="s">
        <v>74</v>
      </c>
      <c r="D482" t="s">
        <v>74</v>
      </c>
      <c r="E482" t="s">
        <v>74</v>
      </c>
      <c r="F482" t="s">
        <v>4287</v>
      </c>
      <c r="G482" t="s">
        <v>74</v>
      </c>
      <c r="H482" t="s">
        <v>74</v>
      </c>
      <c r="I482" t="s">
        <v>4288</v>
      </c>
      <c r="J482" t="s">
        <v>98</v>
      </c>
      <c r="K482" t="s">
        <v>74</v>
      </c>
      <c r="L482" t="s">
        <v>74</v>
      </c>
      <c r="M482" t="s">
        <v>74</v>
      </c>
      <c r="N482" t="s">
        <v>74</v>
      </c>
      <c r="O482" t="s">
        <v>74</v>
      </c>
      <c r="P482" t="s">
        <v>74</v>
      </c>
      <c r="Q482" t="s">
        <v>74</v>
      </c>
      <c r="R482" t="s">
        <v>74</v>
      </c>
      <c r="S482" t="s">
        <v>74</v>
      </c>
      <c r="T482" t="s">
        <v>74</v>
      </c>
      <c r="U482" t="s">
        <v>74</v>
      </c>
      <c r="V482" t="s">
        <v>4289</v>
      </c>
      <c r="W482" t="s">
        <v>74</v>
      </c>
      <c r="X482" t="s">
        <v>74</v>
      </c>
      <c r="Y482" t="s">
        <v>74</v>
      </c>
      <c r="Z482" t="s">
        <v>74</v>
      </c>
      <c r="AA482" t="s">
        <v>4290</v>
      </c>
      <c r="AB482" t="s">
        <v>2990</v>
      </c>
      <c r="AC482" t="s">
        <v>74</v>
      </c>
      <c r="AD482" t="s">
        <v>74</v>
      </c>
      <c r="AE482" t="s">
        <v>74</v>
      </c>
      <c r="AF482" t="s">
        <v>74</v>
      </c>
      <c r="AG482" t="s">
        <v>74</v>
      </c>
      <c r="AH482" t="s">
        <v>74</v>
      </c>
      <c r="AI482" t="s">
        <v>74</v>
      </c>
      <c r="AJ482" t="s">
        <v>74</v>
      </c>
      <c r="AK482" t="s">
        <v>74</v>
      </c>
      <c r="AL482" t="s">
        <v>74</v>
      </c>
      <c r="AM482" t="s">
        <v>74</v>
      </c>
      <c r="AN482" t="s">
        <v>74</v>
      </c>
      <c r="AO482" t="s">
        <v>101</v>
      </c>
      <c r="AP482" t="s">
        <v>102</v>
      </c>
      <c r="AQ482" t="s">
        <v>74</v>
      </c>
      <c r="AR482" t="s">
        <v>74</v>
      </c>
      <c r="AS482" t="s">
        <v>74</v>
      </c>
      <c r="AT482" t="s">
        <v>1463</v>
      </c>
      <c r="AU482">
        <v>2022</v>
      </c>
      <c r="AV482">
        <v>521</v>
      </c>
      <c r="AW482" t="s">
        <v>74</v>
      </c>
      <c r="AX482" t="s">
        <v>74</v>
      </c>
      <c r="AY482" t="s">
        <v>74</v>
      </c>
      <c r="AZ482" t="s">
        <v>74</v>
      </c>
      <c r="BA482" t="s">
        <v>74</v>
      </c>
      <c r="BB482" t="s">
        <v>74</v>
      </c>
      <c r="BC482" t="s">
        <v>74</v>
      </c>
      <c r="BD482">
        <v>230962</v>
      </c>
      <c r="BE482" t="s">
        <v>4291</v>
      </c>
      <c r="BF482" t="str">
        <f>HYPERLINK("http://dx.doi.org/10.1016/j.jpowsour.2021.230962","http://dx.doi.org/10.1016/j.jpowsour.2021.230962")</f>
        <v>http://dx.doi.org/10.1016/j.jpowsour.2021.230962</v>
      </c>
      <c r="BG482" t="s">
        <v>74</v>
      </c>
      <c r="BH482" t="s">
        <v>4248</v>
      </c>
      <c r="BI482" t="s">
        <v>74</v>
      </c>
      <c r="BJ482" t="s">
        <v>74</v>
      </c>
      <c r="BK482" t="s">
        <v>74</v>
      </c>
      <c r="BL482" t="s">
        <v>74</v>
      </c>
      <c r="BM482" t="s">
        <v>74</v>
      </c>
      <c r="BN482" t="s">
        <v>74</v>
      </c>
      <c r="BO482" t="s">
        <v>74</v>
      </c>
      <c r="BP482" t="s">
        <v>74</v>
      </c>
      <c r="BQ482" t="s">
        <v>74</v>
      </c>
      <c r="BR482" t="s">
        <v>74</v>
      </c>
      <c r="BS482" t="s">
        <v>4292</v>
      </c>
      <c r="BT482" t="str">
        <f>HYPERLINK("https%3A%2F%2Fwww.webofscience.com%2Fwos%2Fwoscc%2Ffull-record%2FWOS:000745959800004","View Full Record in Web of Science")</f>
        <v>View Full Record in Web of Science</v>
      </c>
    </row>
    <row r="483" spans="1:72" x14ac:dyDescent="0.2">
      <c r="A483" t="s">
        <v>72</v>
      </c>
      <c r="B483" t="s">
        <v>4293</v>
      </c>
      <c r="C483" t="s">
        <v>74</v>
      </c>
      <c r="D483" t="s">
        <v>74</v>
      </c>
      <c r="E483" t="s">
        <v>74</v>
      </c>
      <c r="F483" t="s">
        <v>4294</v>
      </c>
      <c r="G483" t="s">
        <v>74</v>
      </c>
      <c r="H483" t="s">
        <v>74</v>
      </c>
      <c r="I483" t="s">
        <v>4295</v>
      </c>
      <c r="J483" t="s">
        <v>1397</v>
      </c>
      <c r="K483" t="s">
        <v>74</v>
      </c>
      <c r="L483" t="s">
        <v>74</v>
      </c>
      <c r="M483" t="s">
        <v>74</v>
      </c>
      <c r="N483" t="s">
        <v>74</v>
      </c>
      <c r="O483" t="s">
        <v>74</v>
      </c>
      <c r="P483" t="s">
        <v>74</v>
      </c>
      <c r="Q483" t="s">
        <v>74</v>
      </c>
      <c r="R483" t="s">
        <v>74</v>
      </c>
      <c r="S483" t="s">
        <v>74</v>
      </c>
      <c r="T483" t="s">
        <v>74</v>
      </c>
      <c r="U483" t="s">
        <v>74</v>
      </c>
      <c r="V483" t="s">
        <v>4296</v>
      </c>
      <c r="W483" t="s">
        <v>74</v>
      </c>
      <c r="X483" t="s">
        <v>74</v>
      </c>
      <c r="Y483" t="s">
        <v>74</v>
      </c>
      <c r="Z483" t="s">
        <v>74</v>
      </c>
      <c r="AA483" t="s">
        <v>4297</v>
      </c>
      <c r="AB483" t="s">
        <v>4298</v>
      </c>
      <c r="AC483" t="s">
        <v>74</v>
      </c>
      <c r="AD483" t="s">
        <v>74</v>
      </c>
      <c r="AE483" t="s">
        <v>74</v>
      </c>
      <c r="AF483" t="s">
        <v>74</v>
      </c>
      <c r="AG483" t="s">
        <v>74</v>
      </c>
      <c r="AH483" t="s">
        <v>74</v>
      </c>
      <c r="AI483" t="s">
        <v>74</v>
      </c>
      <c r="AJ483" t="s">
        <v>74</v>
      </c>
      <c r="AK483" t="s">
        <v>74</v>
      </c>
      <c r="AL483" t="s">
        <v>74</v>
      </c>
      <c r="AM483" t="s">
        <v>74</v>
      </c>
      <c r="AN483" t="s">
        <v>74</v>
      </c>
      <c r="AO483" t="s">
        <v>1401</v>
      </c>
      <c r="AP483" t="s">
        <v>1402</v>
      </c>
      <c r="AQ483" t="s">
        <v>74</v>
      </c>
      <c r="AR483" t="s">
        <v>74</v>
      </c>
      <c r="AS483" t="s">
        <v>74</v>
      </c>
      <c r="AT483" t="s">
        <v>1154</v>
      </c>
      <c r="AU483">
        <v>2022</v>
      </c>
      <c r="AV483">
        <v>240</v>
      </c>
      <c r="AW483" t="s">
        <v>74</v>
      </c>
      <c r="AX483" t="s">
        <v>74</v>
      </c>
      <c r="AY483" t="s">
        <v>74</v>
      </c>
      <c r="AZ483" t="s">
        <v>74</v>
      </c>
      <c r="BA483" t="s">
        <v>74</v>
      </c>
      <c r="BB483" t="s">
        <v>74</v>
      </c>
      <c r="BC483" t="s">
        <v>74</v>
      </c>
      <c r="BD483">
        <v>124517</v>
      </c>
      <c r="BE483" t="s">
        <v>4299</v>
      </c>
      <c r="BF483" t="str">
        <f>HYPERLINK("http://dx.doi.org/10.1016/j.polymer.2022.124517","http://dx.doi.org/10.1016/j.polymer.2022.124517")</f>
        <v>http://dx.doi.org/10.1016/j.polymer.2022.124517</v>
      </c>
      <c r="BG483" t="s">
        <v>74</v>
      </c>
      <c r="BH483" t="s">
        <v>4248</v>
      </c>
      <c r="BI483" t="s">
        <v>74</v>
      </c>
      <c r="BJ483" t="s">
        <v>74</v>
      </c>
      <c r="BK483" t="s">
        <v>74</v>
      </c>
      <c r="BL483" t="s">
        <v>74</v>
      </c>
      <c r="BM483" t="s">
        <v>74</v>
      </c>
      <c r="BN483" t="s">
        <v>74</v>
      </c>
      <c r="BO483" t="s">
        <v>74</v>
      </c>
      <c r="BP483" t="s">
        <v>74</v>
      </c>
      <c r="BQ483" t="s">
        <v>74</v>
      </c>
      <c r="BR483" t="s">
        <v>74</v>
      </c>
      <c r="BS483" t="s">
        <v>4300</v>
      </c>
      <c r="BT483" t="str">
        <f>HYPERLINK("https%3A%2F%2Fwww.webofscience.com%2Fwos%2Fwoscc%2Ffull-record%2FWOS:000783213800001","View Full Record in Web of Science")</f>
        <v>View Full Record in Web of Science</v>
      </c>
    </row>
    <row r="484" spans="1:72" x14ac:dyDescent="0.2">
      <c r="A484" t="s">
        <v>72</v>
      </c>
      <c r="B484" t="s">
        <v>4301</v>
      </c>
      <c r="C484" t="s">
        <v>74</v>
      </c>
      <c r="D484" t="s">
        <v>74</v>
      </c>
      <c r="E484" t="s">
        <v>74</v>
      </c>
      <c r="F484" t="s">
        <v>4302</v>
      </c>
      <c r="G484" t="s">
        <v>74</v>
      </c>
      <c r="H484" t="s">
        <v>74</v>
      </c>
      <c r="I484" t="s">
        <v>4303</v>
      </c>
      <c r="J484" t="s">
        <v>231</v>
      </c>
      <c r="K484" t="s">
        <v>74</v>
      </c>
      <c r="L484" t="s">
        <v>74</v>
      </c>
      <c r="M484" t="s">
        <v>74</v>
      </c>
      <c r="N484" t="s">
        <v>74</v>
      </c>
      <c r="O484" t="s">
        <v>74</v>
      </c>
      <c r="P484" t="s">
        <v>74</v>
      </c>
      <c r="Q484" t="s">
        <v>74</v>
      </c>
      <c r="R484" t="s">
        <v>74</v>
      </c>
      <c r="S484" t="s">
        <v>74</v>
      </c>
      <c r="T484" t="s">
        <v>74</v>
      </c>
      <c r="U484" t="s">
        <v>74</v>
      </c>
      <c r="V484" t="s">
        <v>4304</v>
      </c>
      <c r="W484" t="s">
        <v>74</v>
      </c>
      <c r="X484" t="s">
        <v>74</v>
      </c>
      <c r="Y484" t="s">
        <v>74</v>
      </c>
      <c r="Z484" t="s">
        <v>74</v>
      </c>
      <c r="AA484" t="s">
        <v>4305</v>
      </c>
      <c r="AB484" t="s">
        <v>4306</v>
      </c>
      <c r="AC484" t="s">
        <v>74</v>
      </c>
      <c r="AD484" t="s">
        <v>74</v>
      </c>
      <c r="AE484" t="s">
        <v>74</v>
      </c>
      <c r="AF484" t="s">
        <v>74</v>
      </c>
      <c r="AG484" t="s">
        <v>74</v>
      </c>
      <c r="AH484" t="s">
        <v>74</v>
      </c>
      <c r="AI484" t="s">
        <v>74</v>
      </c>
      <c r="AJ484" t="s">
        <v>74</v>
      </c>
      <c r="AK484" t="s">
        <v>74</v>
      </c>
      <c r="AL484" t="s">
        <v>74</v>
      </c>
      <c r="AM484" t="s">
        <v>74</v>
      </c>
      <c r="AN484" t="s">
        <v>74</v>
      </c>
      <c r="AO484" t="s">
        <v>74</v>
      </c>
      <c r="AP484" t="s">
        <v>234</v>
      </c>
      <c r="AQ484" t="s">
        <v>74</v>
      </c>
      <c r="AR484" t="s">
        <v>74</v>
      </c>
      <c r="AS484" t="s">
        <v>74</v>
      </c>
      <c r="AT484" t="s">
        <v>4307</v>
      </c>
      <c r="AU484">
        <v>2022</v>
      </c>
      <c r="AV484">
        <v>61</v>
      </c>
      <c r="AW484">
        <v>7</v>
      </c>
      <c r="AX484" t="s">
        <v>74</v>
      </c>
      <c r="AY484" t="s">
        <v>74</v>
      </c>
      <c r="AZ484" t="s">
        <v>74</v>
      </c>
      <c r="BA484" t="s">
        <v>74</v>
      </c>
      <c r="BB484" t="s">
        <v>74</v>
      </c>
      <c r="BC484" t="s">
        <v>74</v>
      </c>
      <c r="BD484" t="s">
        <v>4308</v>
      </c>
      <c r="BE484" t="s">
        <v>4309</v>
      </c>
      <c r="BF484" t="str">
        <f>HYPERLINK("http://dx.doi.org/10.1002/anie.202114024","http://dx.doi.org/10.1002/anie.202114024")</f>
        <v>http://dx.doi.org/10.1002/anie.202114024</v>
      </c>
      <c r="BG484" t="s">
        <v>74</v>
      </c>
      <c r="BH484" t="s">
        <v>4310</v>
      </c>
      <c r="BI484" t="s">
        <v>74</v>
      </c>
      <c r="BJ484" t="s">
        <v>74</v>
      </c>
      <c r="BK484" t="s">
        <v>74</v>
      </c>
      <c r="BL484" t="s">
        <v>74</v>
      </c>
      <c r="BM484" t="s">
        <v>74</v>
      </c>
      <c r="BN484">
        <v>34913231</v>
      </c>
      <c r="BO484" t="s">
        <v>74</v>
      </c>
      <c r="BP484" t="s">
        <v>74</v>
      </c>
      <c r="BQ484" t="s">
        <v>74</v>
      </c>
      <c r="BR484" t="s">
        <v>74</v>
      </c>
      <c r="BS484" t="s">
        <v>4311</v>
      </c>
      <c r="BT484" t="str">
        <f>HYPERLINK("https%3A%2F%2Fwww.webofscience.com%2Fwos%2Fwoscc%2Ffull-record%2FWOS:000736073800001","View Full Record in Web of Science")</f>
        <v>View Full Record in Web of Science</v>
      </c>
    </row>
    <row r="485" spans="1:72" x14ac:dyDescent="0.2">
      <c r="A485" t="s">
        <v>72</v>
      </c>
      <c r="B485" t="s">
        <v>4312</v>
      </c>
      <c r="C485" t="s">
        <v>74</v>
      </c>
      <c r="D485" t="s">
        <v>74</v>
      </c>
      <c r="E485" t="s">
        <v>74</v>
      </c>
      <c r="F485" t="s">
        <v>4313</v>
      </c>
      <c r="G485" t="s">
        <v>74</v>
      </c>
      <c r="H485" t="s">
        <v>74</v>
      </c>
      <c r="I485" t="s">
        <v>4314</v>
      </c>
      <c r="J485" t="s">
        <v>4131</v>
      </c>
      <c r="K485" t="s">
        <v>74</v>
      </c>
      <c r="L485" t="s">
        <v>74</v>
      </c>
      <c r="M485" t="s">
        <v>74</v>
      </c>
      <c r="N485" t="s">
        <v>74</v>
      </c>
      <c r="O485" t="s">
        <v>74</v>
      </c>
      <c r="P485" t="s">
        <v>74</v>
      </c>
      <c r="Q485" t="s">
        <v>74</v>
      </c>
      <c r="R485" t="s">
        <v>74</v>
      </c>
      <c r="S485" t="s">
        <v>74</v>
      </c>
      <c r="T485" t="s">
        <v>74</v>
      </c>
      <c r="U485" t="s">
        <v>74</v>
      </c>
      <c r="V485" t="s">
        <v>4315</v>
      </c>
      <c r="W485" t="s">
        <v>74</v>
      </c>
      <c r="X485" t="s">
        <v>74</v>
      </c>
      <c r="Y485" t="s">
        <v>74</v>
      </c>
      <c r="Z485" t="s">
        <v>74</v>
      </c>
      <c r="AA485" t="s">
        <v>74</v>
      </c>
      <c r="AB485" t="s">
        <v>4316</v>
      </c>
      <c r="AC485" t="s">
        <v>74</v>
      </c>
      <c r="AD485" t="s">
        <v>74</v>
      </c>
      <c r="AE485" t="s">
        <v>74</v>
      </c>
      <c r="AF485" t="s">
        <v>74</v>
      </c>
      <c r="AG485" t="s">
        <v>74</v>
      </c>
      <c r="AH485" t="s">
        <v>74</v>
      </c>
      <c r="AI485" t="s">
        <v>74</v>
      </c>
      <c r="AJ485" t="s">
        <v>74</v>
      </c>
      <c r="AK485" t="s">
        <v>74</v>
      </c>
      <c r="AL485" t="s">
        <v>74</v>
      </c>
      <c r="AM485" t="s">
        <v>74</v>
      </c>
      <c r="AN485" t="s">
        <v>74</v>
      </c>
      <c r="AO485" t="s">
        <v>4135</v>
      </c>
      <c r="AP485" t="s">
        <v>4136</v>
      </c>
      <c r="AQ485" t="s">
        <v>74</v>
      </c>
      <c r="AR485" t="s">
        <v>74</v>
      </c>
      <c r="AS485" t="s">
        <v>74</v>
      </c>
      <c r="AT485" t="s">
        <v>1026</v>
      </c>
      <c r="AU485">
        <v>2022</v>
      </c>
      <c r="AV485">
        <v>306</v>
      </c>
      <c r="AW485" t="s">
        <v>74</v>
      </c>
      <c r="AX485" t="s">
        <v>74</v>
      </c>
      <c r="AY485" t="s">
        <v>74</v>
      </c>
      <c r="AZ485" t="s">
        <v>74</v>
      </c>
      <c r="BA485" t="s">
        <v>74</v>
      </c>
      <c r="BB485" t="s">
        <v>74</v>
      </c>
      <c r="BC485" t="s">
        <v>74</v>
      </c>
      <c r="BD485">
        <v>122797</v>
      </c>
      <c r="BE485" t="s">
        <v>4317</v>
      </c>
      <c r="BF485" t="str">
        <f>HYPERLINK("http://dx.doi.org/10.1016/j.jssc.2021.122797","http://dx.doi.org/10.1016/j.jssc.2021.122797")</f>
        <v>http://dx.doi.org/10.1016/j.jssc.2021.122797</v>
      </c>
      <c r="BG485" t="s">
        <v>74</v>
      </c>
      <c r="BH485" t="s">
        <v>4310</v>
      </c>
      <c r="BI485" t="s">
        <v>74</v>
      </c>
      <c r="BJ485" t="s">
        <v>74</v>
      </c>
      <c r="BK485" t="s">
        <v>74</v>
      </c>
      <c r="BL485" t="s">
        <v>74</v>
      </c>
      <c r="BM485" t="s">
        <v>74</v>
      </c>
      <c r="BN485" t="s">
        <v>74</v>
      </c>
      <c r="BO485" t="s">
        <v>74</v>
      </c>
      <c r="BP485" t="s">
        <v>74</v>
      </c>
      <c r="BQ485" t="s">
        <v>74</v>
      </c>
      <c r="BR485" t="s">
        <v>74</v>
      </c>
      <c r="BS485" t="s">
        <v>4318</v>
      </c>
      <c r="BT485" t="str">
        <f>HYPERLINK("https%3A%2F%2Fwww.webofscience.com%2Fwos%2Fwoscc%2Ffull-record%2FWOS:000736159800001","View Full Record in Web of Science")</f>
        <v>View Full Record in Web of Science</v>
      </c>
    </row>
    <row r="486" spans="1:72" x14ac:dyDescent="0.2">
      <c r="A486" t="s">
        <v>72</v>
      </c>
      <c r="B486" t="s">
        <v>4319</v>
      </c>
      <c r="C486" t="s">
        <v>74</v>
      </c>
      <c r="D486" t="s">
        <v>74</v>
      </c>
      <c r="E486" t="s">
        <v>74</v>
      </c>
      <c r="F486" t="s">
        <v>4320</v>
      </c>
      <c r="G486" t="s">
        <v>74</v>
      </c>
      <c r="H486" t="s">
        <v>74</v>
      </c>
      <c r="I486" t="s">
        <v>4321</v>
      </c>
      <c r="J486" t="s">
        <v>307</v>
      </c>
      <c r="K486" t="s">
        <v>74</v>
      </c>
      <c r="L486" t="s">
        <v>74</v>
      </c>
      <c r="M486" t="s">
        <v>74</v>
      </c>
      <c r="N486" t="s">
        <v>74</v>
      </c>
      <c r="O486" t="s">
        <v>74</v>
      </c>
      <c r="P486" t="s">
        <v>74</v>
      </c>
      <c r="Q486" t="s">
        <v>74</v>
      </c>
      <c r="R486" t="s">
        <v>74</v>
      </c>
      <c r="S486" t="s">
        <v>74</v>
      </c>
      <c r="T486" t="s">
        <v>74</v>
      </c>
      <c r="U486" t="s">
        <v>74</v>
      </c>
      <c r="V486" t="s">
        <v>4322</v>
      </c>
      <c r="W486" t="s">
        <v>74</v>
      </c>
      <c r="X486" t="s">
        <v>74</v>
      </c>
      <c r="Y486" t="s">
        <v>74</v>
      </c>
      <c r="Z486" t="s">
        <v>74</v>
      </c>
      <c r="AA486" t="s">
        <v>4033</v>
      </c>
      <c r="AB486" t="s">
        <v>4323</v>
      </c>
      <c r="AC486" t="s">
        <v>74</v>
      </c>
      <c r="AD486" t="s">
        <v>74</v>
      </c>
      <c r="AE486" t="s">
        <v>74</v>
      </c>
      <c r="AF486" t="s">
        <v>74</v>
      </c>
      <c r="AG486" t="s">
        <v>74</v>
      </c>
      <c r="AH486" t="s">
        <v>74</v>
      </c>
      <c r="AI486" t="s">
        <v>74</v>
      </c>
      <c r="AJ486" t="s">
        <v>74</v>
      </c>
      <c r="AK486" t="s">
        <v>74</v>
      </c>
      <c r="AL486" t="s">
        <v>74</v>
      </c>
      <c r="AM486" t="s">
        <v>74</v>
      </c>
      <c r="AN486" t="s">
        <v>74</v>
      </c>
      <c r="AO486" t="s">
        <v>74</v>
      </c>
      <c r="AP486" t="s">
        <v>309</v>
      </c>
      <c r="AQ486" t="s">
        <v>74</v>
      </c>
      <c r="AR486" t="s">
        <v>74</v>
      </c>
      <c r="AS486" t="s">
        <v>74</v>
      </c>
      <c r="AT486" t="s">
        <v>1026</v>
      </c>
      <c r="AU486">
        <v>2022</v>
      </c>
      <c r="AV486">
        <v>5</v>
      </c>
      <c r="AW486">
        <v>2</v>
      </c>
      <c r="AX486" t="s">
        <v>74</v>
      </c>
      <c r="AY486" t="s">
        <v>74</v>
      </c>
      <c r="AZ486" t="s">
        <v>74</v>
      </c>
      <c r="BA486" t="s">
        <v>74</v>
      </c>
      <c r="BB486" t="s">
        <v>74</v>
      </c>
      <c r="BC486" t="s">
        <v>74</v>
      </c>
      <c r="BD486" t="s">
        <v>74</v>
      </c>
      <c r="BE486" t="s">
        <v>4324</v>
      </c>
      <c r="BF486" t="str">
        <f>HYPERLINK("http://dx.doi.org/10.1002/batt.202100274","http://dx.doi.org/10.1002/batt.202100274")</f>
        <v>http://dx.doi.org/10.1002/batt.202100274</v>
      </c>
      <c r="BG486" t="s">
        <v>74</v>
      </c>
      <c r="BH486" t="s">
        <v>4310</v>
      </c>
      <c r="BI486" t="s">
        <v>74</v>
      </c>
      <c r="BJ486" t="s">
        <v>74</v>
      </c>
      <c r="BK486" t="s">
        <v>74</v>
      </c>
      <c r="BL486" t="s">
        <v>74</v>
      </c>
      <c r="BM486" t="s">
        <v>74</v>
      </c>
      <c r="BN486" t="s">
        <v>74</v>
      </c>
      <c r="BO486" t="s">
        <v>74</v>
      </c>
      <c r="BP486" t="s">
        <v>74</v>
      </c>
      <c r="BQ486" t="s">
        <v>74</v>
      </c>
      <c r="BR486" t="s">
        <v>74</v>
      </c>
      <c r="BS486" t="s">
        <v>4325</v>
      </c>
      <c r="BT486" t="str">
        <f>HYPERLINK("https%3A%2F%2Fwww.webofscience.com%2Fwos%2Fwoscc%2Ffull-record%2FWOS:000729825900001","View Full Record in Web of Science")</f>
        <v>View Full Record in Web of Science</v>
      </c>
    </row>
    <row r="487" spans="1:72" x14ac:dyDescent="0.2">
      <c r="A487" t="s">
        <v>72</v>
      </c>
      <c r="B487" t="s">
        <v>4326</v>
      </c>
      <c r="C487" t="s">
        <v>74</v>
      </c>
      <c r="D487" t="s">
        <v>74</v>
      </c>
      <c r="E487" t="s">
        <v>74</v>
      </c>
      <c r="F487" t="s">
        <v>4327</v>
      </c>
      <c r="G487" t="s">
        <v>74</v>
      </c>
      <c r="H487" t="s">
        <v>74</v>
      </c>
      <c r="I487" t="s">
        <v>4328</v>
      </c>
      <c r="J487" t="s">
        <v>422</v>
      </c>
      <c r="K487" t="s">
        <v>74</v>
      </c>
      <c r="L487" t="s">
        <v>74</v>
      </c>
      <c r="M487" t="s">
        <v>74</v>
      </c>
      <c r="N487" t="s">
        <v>74</v>
      </c>
      <c r="O487" t="s">
        <v>74</v>
      </c>
      <c r="P487" t="s">
        <v>74</v>
      </c>
      <c r="Q487" t="s">
        <v>74</v>
      </c>
      <c r="R487" t="s">
        <v>74</v>
      </c>
      <c r="S487" t="s">
        <v>74</v>
      </c>
      <c r="T487" t="s">
        <v>74</v>
      </c>
      <c r="U487" t="s">
        <v>74</v>
      </c>
      <c r="V487" t="s">
        <v>4329</v>
      </c>
      <c r="W487" t="s">
        <v>74</v>
      </c>
      <c r="X487" t="s">
        <v>74</v>
      </c>
      <c r="Y487" t="s">
        <v>74</v>
      </c>
      <c r="Z487" t="s">
        <v>74</v>
      </c>
      <c r="AA487" t="s">
        <v>4330</v>
      </c>
      <c r="AB487" t="s">
        <v>4331</v>
      </c>
      <c r="AC487" t="s">
        <v>74</v>
      </c>
      <c r="AD487" t="s">
        <v>74</v>
      </c>
      <c r="AE487" t="s">
        <v>74</v>
      </c>
      <c r="AF487" t="s">
        <v>74</v>
      </c>
      <c r="AG487" t="s">
        <v>74</v>
      </c>
      <c r="AH487" t="s">
        <v>74</v>
      </c>
      <c r="AI487" t="s">
        <v>74</v>
      </c>
      <c r="AJ487" t="s">
        <v>74</v>
      </c>
      <c r="AK487" t="s">
        <v>74</v>
      </c>
      <c r="AL487" t="s">
        <v>74</v>
      </c>
      <c r="AM487" t="s">
        <v>74</v>
      </c>
      <c r="AN487" t="s">
        <v>74</v>
      </c>
      <c r="AO487" t="s">
        <v>426</v>
      </c>
      <c r="AP487" t="s">
        <v>74</v>
      </c>
      <c r="AQ487" t="s">
        <v>74</v>
      </c>
      <c r="AR487" t="s">
        <v>74</v>
      </c>
      <c r="AS487" t="s">
        <v>74</v>
      </c>
      <c r="AT487" t="s">
        <v>4332</v>
      </c>
      <c r="AU487">
        <v>2021</v>
      </c>
      <c r="AV487">
        <v>4</v>
      </c>
      <c r="AW487">
        <v>12</v>
      </c>
      <c r="AX487" t="s">
        <v>74</v>
      </c>
      <c r="AY487" t="s">
        <v>74</v>
      </c>
      <c r="AZ487" t="s">
        <v>74</v>
      </c>
      <c r="BA487" t="s">
        <v>74</v>
      </c>
      <c r="BB487">
        <v>14380</v>
      </c>
      <c r="BC487">
        <v>14389</v>
      </c>
      <c r="BD487" t="s">
        <v>74</v>
      </c>
      <c r="BE487" t="s">
        <v>4333</v>
      </c>
      <c r="BF487" t="str">
        <f>HYPERLINK("http://dx.doi.org/10.1021/acsaem.1c03054","http://dx.doi.org/10.1021/acsaem.1c03054")</f>
        <v>http://dx.doi.org/10.1021/acsaem.1c03054</v>
      </c>
      <c r="BG487" t="s">
        <v>74</v>
      </c>
      <c r="BH487" t="s">
        <v>4310</v>
      </c>
      <c r="BI487" t="s">
        <v>74</v>
      </c>
      <c r="BJ487" t="s">
        <v>74</v>
      </c>
      <c r="BK487" t="s">
        <v>74</v>
      </c>
      <c r="BL487" t="s">
        <v>74</v>
      </c>
      <c r="BM487" t="s">
        <v>74</v>
      </c>
      <c r="BN487" t="s">
        <v>74</v>
      </c>
      <c r="BO487" t="s">
        <v>74</v>
      </c>
      <c r="BP487" t="s">
        <v>74</v>
      </c>
      <c r="BQ487" t="s">
        <v>74</v>
      </c>
      <c r="BR487" t="s">
        <v>74</v>
      </c>
      <c r="BS487" t="s">
        <v>4334</v>
      </c>
      <c r="BT487" t="str">
        <f>HYPERLINK("https%3A%2F%2Fwww.webofscience.com%2Fwos%2Fwoscc%2Ffull-record%2FWOS:000732049900001","View Full Record in Web of Science")</f>
        <v>View Full Record in Web of Science</v>
      </c>
    </row>
    <row r="488" spans="1:72" x14ac:dyDescent="0.2">
      <c r="A488" t="s">
        <v>72</v>
      </c>
      <c r="B488" t="s">
        <v>4335</v>
      </c>
      <c r="C488" t="s">
        <v>74</v>
      </c>
      <c r="D488" t="s">
        <v>74</v>
      </c>
      <c r="E488" t="s">
        <v>74</v>
      </c>
      <c r="F488" t="s">
        <v>4336</v>
      </c>
      <c r="G488" t="s">
        <v>74</v>
      </c>
      <c r="H488" t="s">
        <v>74</v>
      </c>
      <c r="I488" t="s">
        <v>4337</v>
      </c>
      <c r="J488" t="s">
        <v>411</v>
      </c>
      <c r="K488" t="s">
        <v>74</v>
      </c>
      <c r="L488" t="s">
        <v>74</v>
      </c>
      <c r="M488" t="s">
        <v>74</v>
      </c>
      <c r="N488" t="s">
        <v>74</v>
      </c>
      <c r="O488" t="s">
        <v>74</v>
      </c>
      <c r="P488" t="s">
        <v>74</v>
      </c>
      <c r="Q488" t="s">
        <v>74</v>
      </c>
      <c r="R488" t="s">
        <v>74</v>
      </c>
      <c r="S488" t="s">
        <v>74</v>
      </c>
      <c r="T488" t="s">
        <v>74</v>
      </c>
      <c r="U488" t="s">
        <v>74</v>
      </c>
      <c r="V488" t="s">
        <v>4338</v>
      </c>
      <c r="W488" t="s">
        <v>74</v>
      </c>
      <c r="X488" t="s">
        <v>74</v>
      </c>
      <c r="Y488" t="s">
        <v>74</v>
      </c>
      <c r="Z488" t="s">
        <v>74</v>
      </c>
      <c r="AA488" t="s">
        <v>4339</v>
      </c>
      <c r="AB488" t="s">
        <v>4340</v>
      </c>
      <c r="AC488" t="s">
        <v>74</v>
      </c>
      <c r="AD488" t="s">
        <v>74</v>
      </c>
      <c r="AE488" t="s">
        <v>74</v>
      </c>
      <c r="AF488" t="s">
        <v>74</v>
      </c>
      <c r="AG488" t="s">
        <v>74</v>
      </c>
      <c r="AH488" t="s">
        <v>74</v>
      </c>
      <c r="AI488" t="s">
        <v>74</v>
      </c>
      <c r="AJ488" t="s">
        <v>74</v>
      </c>
      <c r="AK488" t="s">
        <v>74</v>
      </c>
      <c r="AL488" t="s">
        <v>74</v>
      </c>
      <c r="AM488" t="s">
        <v>74</v>
      </c>
      <c r="AN488" t="s">
        <v>74</v>
      </c>
      <c r="AO488" t="s">
        <v>414</v>
      </c>
      <c r="AP488" t="s">
        <v>415</v>
      </c>
      <c r="AQ488" t="s">
        <v>74</v>
      </c>
      <c r="AR488" t="s">
        <v>74</v>
      </c>
      <c r="AS488" t="s">
        <v>74</v>
      </c>
      <c r="AT488" t="s">
        <v>1026</v>
      </c>
      <c r="AU488">
        <v>2022</v>
      </c>
      <c r="AV488">
        <v>18</v>
      </c>
      <c r="AW488">
        <v>8</v>
      </c>
      <c r="AX488" t="s">
        <v>74</v>
      </c>
      <c r="AY488" t="s">
        <v>74</v>
      </c>
      <c r="AZ488" t="s">
        <v>74</v>
      </c>
      <c r="BA488" t="s">
        <v>74</v>
      </c>
      <c r="BB488" t="s">
        <v>74</v>
      </c>
      <c r="BC488" t="s">
        <v>74</v>
      </c>
      <c r="BD488">
        <v>2106427</v>
      </c>
      <c r="BE488" t="s">
        <v>4341</v>
      </c>
      <c r="BF488" t="str">
        <f>HYPERLINK("http://dx.doi.org/10.1002/smll.202106427","http://dx.doi.org/10.1002/smll.202106427")</f>
        <v>http://dx.doi.org/10.1002/smll.202106427</v>
      </c>
      <c r="BG488" t="s">
        <v>74</v>
      </c>
      <c r="BH488" t="s">
        <v>4310</v>
      </c>
      <c r="BI488" t="s">
        <v>74</v>
      </c>
      <c r="BJ488" t="s">
        <v>74</v>
      </c>
      <c r="BK488" t="s">
        <v>74</v>
      </c>
      <c r="BL488" t="s">
        <v>74</v>
      </c>
      <c r="BM488" t="s">
        <v>74</v>
      </c>
      <c r="BN488">
        <v>34889053</v>
      </c>
      <c r="BO488" t="s">
        <v>74</v>
      </c>
      <c r="BP488" t="s">
        <v>74</v>
      </c>
      <c r="BQ488" t="s">
        <v>74</v>
      </c>
      <c r="BR488" t="s">
        <v>74</v>
      </c>
      <c r="BS488" t="s">
        <v>4342</v>
      </c>
      <c r="BT488" t="str">
        <f>HYPERLINK("https%3A%2F%2Fwww.webofscience.com%2Fwos%2Fwoscc%2Ffull-record%2FWOS:000728355700001","View Full Record in Web of Science")</f>
        <v>View Full Record in Web of Science</v>
      </c>
    </row>
    <row r="489" spans="1:72" x14ac:dyDescent="0.2">
      <c r="A489" t="s">
        <v>72</v>
      </c>
      <c r="B489" t="s">
        <v>4343</v>
      </c>
      <c r="C489" t="s">
        <v>74</v>
      </c>
      <c r="D489" t="s">
        <v>74</v>
      </c>
      <c r="E489" t="s">
        <v>74</v>
      </c>
      <c r="F489" t="s">
        <v>4344</v>
      </c>
      <c r="G489" t="s">
        <v>74</v>
      </c>
      <c r="H489" t="s">
        <v>74</v>
      </c>
      <c r="I489" t="s">
        <v>4345</v>
      </c>
      <c r="J489" t="s">
        <v>624</v>
      </c>
      <c r="K489" t="s">
        <v>74</v>
      </c>
      <c r="L489" t="s">
        <v>74</v>
      </c>
      <c r="M489" t="s">
        <v>74</v>
      </c>
      <c r="N489" t="s">
        <v>74</v>
      </c>
      <c r="O489" t="s">
        <v>74</v>
      </c>
      <c r="P489" t="s">
        <v>74</v>
      </c>
      <c r="Q489" t="s">
        <v>74</v>
      </c>
      <c r="R489" t="s">
        <v>74</v>
      </c>
      <c r="S489" t="s">
        <v>74</v>
      </c>
      <c r="T489" t="s">
        <v>74</v>
      </c>
      <c r="U489" t="s">
        <v>74</v>
      </c>
      <c r="V489" t="s">
        <v>4346</v>
      </c>
      <c r="W489" t="s">
        <v>74</v>
      </c>
      <c r="X489" t="s">
        <v>74</v>
      </c>
      <c r="Y489" t="s">
        <v>74</v>
      </c>
      <c r="Z489" t="s">
        <v>74</v>
      </c>
      <c r="AA489" t="s">
        <v>4347</v>
      </c>
      <c r="AB489" t="s">
        <v>4348</v>
      </c>
      <c r="AC489" t="s">
        <v>74</v>
      </c>
      <c r="AD489" t="s">
        <v>74</v>
      </c>
      <c r="AE489" t="s">
        <v>74</v>
      </c>
      <c r="AF489" t="s">
        <v>74</v>
      </c>
      <c r="AG489" t="s">
        <v>74</v>
      </c>
      <c r="AH489" t="s">
        <v>74</v>
      </c>
      <c r="AI489" t="s">
        <v>74</v>
      </c>
      <c r="AJ489" t="s">
        <v>74</v>
      </c>
      <c r="AK489" t="s">
        <v>74</v>
      </c>
      <c r="AL489" t="s">
        <v>74</v>
      </c>
      <c r="AM489" t="s">
        <v>74</v>
      </c>
      <c r="AN489" t="s">
        <v>74</v>
      </c>
      <c r="AO489" t="s">
        <v>627</v>
      </c>
      <c r="AP489" t="s">
        <v>628</v>
      </c>
      <c r="AQ489" t="s">
        <v>74</v>
      </c>
      <c r="AR489" t="s">
        <v>74</v>
      </c>
      <c r="AS489" t="s">
        <v>74</v>
      </c>
      <c r="AT489" t="s">
        <v>954</v>
      </c>
      <c r="AU489">
        <v>2022</v>
      </c>
      <c r="AV489">
        <v>93</v>
      </c>
      <c r="AW489" t="s">
        <v>74</v>
      </c>
      <c r="AX489" t="s">
        <v>74</v>
      </c>
      <c r="AY489" t="s">
        <v>74</v>
      </c>
      <c r="AZ489" t="s">
        <v>74</v>
      </c>
      <c r="BA489" t="s">
        <v>74</v>
      </c>
      <c r="BB489" t="s">
        <v>74</v>
      </c>
      <c r="BC489" t="s">
        <v>74</v>
      </c>
      <c r="BD489">
        <v>106811</v>
      </c>
      <c r="BE489" t="s">
        <v>4349</v>
      </c>
      <c r="BF489" t="str">
        <f>HYPERLINK("http://dx.doi.org/10.1016/j.nanoen.2021.106811","http://dx.doi.org/10.1016/j.nanoen.2021.106811")</f>
        <v>http://dx.doi.org/10.1016/j.nanoen.2021.106811</v>
      </c>
      <c r="BG489" t="s">
        <v>74</v>
      </c>
      <c r="BH489" t="s">
        <v>4310</v>
      </c>
      <c r="BI489" t="s">
        <v>74</v>
      </c>
      <c r="BJ489" t="s">
        <v>74</v>
      </c>
      <c r="BK489" t="s">
        <v>74</v>
      </c>
      <c r="BL489" t="s">
        <v>74</v>
      </c>
      <c r="BM489" t="s">
        <v>74</v>
      </c>
      <c r="BN489" t="s">
        <v>74</v>
      </c>
      <c r="BO489" t="s">
        <v>74</v>
      </c>
      <c r="BP489" t="s">
        <v>74</v>
      </c>
      <c r="BQ489" t="s">
        <v>74</v>
      </c>
      <c r="BR489" t="s">
        <v>74</v>
      </c>
      <c r="BS489" t="s">
        <v>4350</v>
      </c>
      <c r="BT489" t="str">
        <f>HYPERLINK("https%3A%2F%2Fwww.webofscience.com%2Fwos%2Fwoscc%2Ffull-record%2FWOS:000731486700002","View Full Record in Web of Science")</f>
        <v>View Full Record in Web of Science</v>
      </c>
    </row>
    <row r="490" spans="1:72" x14ac:dyDescent="0.2">
      <c r="A490" t="s">
        <v>72</v>
      </c>
      <c r="B490" t="s">
        <v>4351</v>
      </c>
      <c r="C490" t="s">
        <v>74</v>
      </c>
      <c r="D490" t="s">
        <v>74</v>
      </c>
      <c r="E490" t="s">
        <v>74</v>
      </c>
      <c r="F490" t="s">
        <v>4352</v>
      </c>
      <c r="G490" t="s">
        <v>74</v>
      </c>
      <c r="H490" t="s">
        <v>74</v>
      </c>
      <c r="I490" t="s">
        <v>4353</v>
      </c>
      <c r="J490" t="s">
        <v>4354</v>
      </c>
      <c r="K490" t="s">
        <v>74</v>
      </c>
      <c r="L490" t="s">
        <v>74</v>
      </c>
      <c r="M490" t="s">
        <v>74</v>
      </c>
      <c r="N490" t="s">
        <v>74</v>
      </c>
      <c r="O490" t="s">
        <v>74</v>
      </c>
      <c r="P490" t="s">
        <v>74</v>
      </c>
      <c r="Q490" t="s">
        <v>74</v>
      </c>
      <c r="R490" t="s">
        <v>74</v>
      </c>
      <c r="S490" t="s">
        <v>74</v>
      </c>
      <c r="T490" t="s">
        <v>74</v>
      </c>
      <c r="U490" t="s">
        <v>74</v>
      </c>
      <c r="V490" t="s">
        <v>4355</v>
      </c>
      <c r="W490" t="s">
        <v>74</v>
      </c>
      <c r="X490" t="s">
        <v>74</v>
      </c>
      <c r="Y490" t="s">
        <v>74</v>
      </c>
      <c r="Z490" t="s">
        <v>74</v>
      </c>
      <c r="AA490" t="s">
        <v>4356</v>
      </c>
      <c r="AB490" t="s">
        <v>4357</v>
      </c>
      <c r="AC490" t="s">
        <v>74</v>
      </c>
      <c r="AD490" t="s">
        <v>74</v>
      </c>
      <c r="AE490" t="s">
        <v>74</v>
      </c>
      <c r="AF490" t="s">
        <v>74</v>
      </c>
      <c r="AG490" t="s">
        <v>74</v>
      </c>
      <c r="AH490" t="s">
        <v>74</v>
      </c>
      <c r="AI490" t="s">
        <v>74</v>
      </c>
      <c r="AJ490" t="s">
        <v>74</v>
      </c>
      <c r="AK490" t="s">
        <v>74</v>
      </c>
      <c r="AL490" t="s">
        <v>74</v>
      </c>
      <c r="AM490" t="s">
        <v>74</v>
      </c>
      <c r="AN490" t="s">
        <v>74</v>
      </c>
      <c r="AO490" t="s">
        <v>4358</v>
      </c>
      <c r="AP490" t="s">
        <v>74</v>
      </c>
      <c r="AQ490" t="s">
        <v>74</v>
      </c>
      <c r="AR490" t="s">
        <v>74</v>
      </c>
      <c r="AS490" t="s">
        <v>74</v>
      </c>
      <c r="AT490" t="s">
        <v>2393</v>
      </c>
      <c r="AU490">
        <v>2022</v>
      </c>
      <c r="AV490">
        <v>6</v>
      </c>
      <c r="AW490">
        <v>2</v>
      </c>
      <c r="AX490" t="s">
        <v>74</v>
      </c>
      <c r="AY490" t="s">
        <v>74</v>
      </c>
      <c r="AZ490" t="s">
        <v>74</v>
      </c>
      <c r="BA490" t="s">
        <v>74</v>
      </c>
      <c r="BB490">
        <v>440</v>
      </c>
      <c r="BC490">
        <v>448</v>
      </c>
      <c r="BD490" t="s">
        <v>74</v>
      </c>
      <c r="BE490" t="s">
        <v>4359</v>
      </c>
      <c r="BF490" t="str">
        <f>HYPERLINK("http://dx.doi.org/10.1039/d1se01666k","http://dx.doi.org/10.1039/d1se01666k")</f>
        <v>http://dx.doi.org/10.1039/d1se01666k</v>
      </c>
      <c r="BG490" t="s">
        <v>74</v>
      </c>
      <c r="BH490" t="s">
        <v>4310</v>
      </c>
      <c r="BI490" t="s">
        <v>74</v>
      </c>
      <c r="BJ490" t="s">
        <v>74</v>
      </c>
      <c r="BK490" t="s">
        <v>74</v>
      </c>
      <c r="BL490" t="s">
        <v>74</v>
      </c>
      <c r="BM490" t="s">
        <v>74</v>
      </c>
      <c r="BN490" t="s">
        <v>74</v>
      </c>
      <c r="BO490" t="s">
        <v>74</v>
      </c>
      <c r="BP490" t="s">
        <v>74</v>
      </c>
      <c r="BQ490" t="s">
        <v>74</v>
      </c>
      <c r="BR490" t="s">
        <v>74</v>
      </c>
      <c r="BS490" t="s">
        <v>4360</v>
      </c>
      <c r="BT490" t="str">
        <f>HYPERLINK("https%3A%2F%2Fwww.webofscience.com%2Fwos%2Fwoscc%2Ffull-record%2FWOS:000732018400001","View Full Record in Web of Science")</f>
        <v>View Full Record in Web of Science</v>
      </c>
    </row>
    <row r="491" spans="1:72" x14ac:dyDescent="0.2">
      <c r="A491" t="s">
        <v>72</v>
      </c>
      <c r="B491" t="s">
        <v>4361</v>
      </c>
      <c r="C491" t="s">
        <v>74</v>
      </c>
      <c r="D491" t="s">
        <v>74</v>
      </c>
      <c r="E491" t="s">
        <v>74</v>
      </c>
      <c r="F491" t="s">
        <v>4362</v>
      </c>
      <c r="G491" t="s">
        <v>74</v>
      </c>
      <c r="H491" t="s">
        <v>74</v>
      </c>
      <c r="I491" t="s">
        <v>4363</v>
      </c>
      <c r="J491" t="s">
        <v>374</v>
      </c>
      <c r="K491" t="s">
        <v>74</v>
      </c>
      <c r="L491" t="s">
        <v>74</v>
      </c>
      <c r="M491" t="s">
        <v>74</v>
      </c>
      <c r="N491" t="s">
        <v>74</v>
      </c>
      <c r="O491" t="s">
        <v>74</v>
      </c>
      <c r="P491" t="s">
        <v>74</v>
      </c>
      <c r="Q491" t="s">
        <v>74</v>
      </c>
      <c r="R491" t="s">
        <v>74</v>
      </c>
      <c r="S491" t="s">
        <v>74</v>
      </c>
      <c r="T491" t="s">
        <v>74</v>
      </c>
      <c r="U491" t="s">
        <v>74</v>
      </c>
      <c r="V491" t="s">
        <v>4364</v>
      </c>
      <c r="W491" t="s">
        <v>74</v>
      </c>
      <c r="X491" t="s">
        <v>74</v>
      </c>
      <c r="Y491" t="s">
        <v>74</v>
      </c>
      <c r="Z491" t="s">
        <v>74</v>
      </c>
      <c r="AA491" t="s">
        <v>74</v>
      </c>
      <c r="AB491" t="s">
        <v>4365</v>
      </c>
      <c r="AC491" t="s">
        <v>74</v>
      </c>
      <c r="AD491" t="s">
        <v>74</v>
      </c>
      <c r="AE491" t="s">
        <v>74</v>
      </c>
      <c r="AF491" t="s">
        <v>74</v>
      </c>
      <c r="AG491" t="s">
        <v>74</v>
      </c>
      <c r="AH491" t="s">
        <v>74</v>
      </c>
      <c r="AI491" t="s">
        <v>74</v>
      </c>
      <c r="AJ491" t="s">
        <v>74</v>
      </c>
      <c r="AK491" t="s">
        <v>74</v>
      </c>
      <c r="AL491" t="s">
        <v>74</v>
      </c>
      <c r="AM491" t="s">
        <v>74</v>
      </c>
      <c r="AN491" t="s">
        <v>74</v>
      </c>
      <c r="AO491" t="s">
        <v>377</v>
      </c>
      <c r="AP491" t="s">
        <v>74</v>
      </c>
      <c r="AQ491" t="s">
        <v>74</v>
      </c>
      <c r="AR491" t="s">
        <v>74</v>
      </c>
      <c r="AS491" t="s">
        <v>74</v>
      </c>
      <c r="AT491" t="s">
        <v>4366</v>
      </c>
      <c r="AU491">
        <v>2022</v>
      </c>
      <c r="AV491">
        <v>7</v>
      </c>
      <c r="AW491">
        <v>1</v>
      </c>
      <c r="AX491" t="s">
        <v>74</v>
      </c>
      <c r="AY491" t="s">
        <v>74</v>
      </c>
      <c r="AZ491" t="s">
        <v>74</v>
      </c>
      <c r="BA491" t="s">
        <v>74</v>
      </c>
      <c r="BB491">
        <v>145</v>
      </c>
      <c r="BC491">
        <v>149</v>
      </c>
      <c r="BD491" t="s">
        <v>74</v>
      </c>
      <c r="BE491" t="s">
        <v>4367</v>
      </c>
      <c r="BF491" t="str">
        <f>HYPERLINK("http://dx.doi.org/10.1021/acsenergylett.1c02307","http://dx.doi.org/10.1021/acsenergylett.1c02307")</f>
        <v>http://dx.doi.org/10.1021/acsenergylett.1c02307</v>
      </c>
      <c r="BG491" t="s">
        <v>74</v>
      </c>
      <c r="BH491" t="s">
        <v>4310</v>
      </c>
      <c r="BI491" t="s">
        <v>74</v>
      </c>
      <c r="BJ491" t="s">
        <v>74</v>
      </c>
      <c r="BK491" t="s">
        <v>74</v>
      </c>
      <c r="BL491" t="s">
        <v>74</v>
      </c>
      <c r="BM491" t="s">
        <v>74</v>
      </c>
      <c r="BN491" t="s">
        <v>74</v>
      </c>
      <c r="BO491" t="s">
        <v>74</v>
      </c>
      <c r="BP491" t="s">
        <v>74</v>
      </c>
      <c r="BQ491" t="s">
        <v>74</v>
      </c>
      <c r="BR491" t="s">
        <v>74</v>
      </c>
      <c r="BS491" t="s">
        <v>4368</v>
      </c>
      <c r="BT491" t="str">
        <f>HYPERLINK("https%3A%2F%2Fwww.webofscience.com%2Fwos%2Fwoscc%2Ffull-record%2FWOS:000729722900001","View Full Record in Web of Science")</f>
        <v>View Full Record in Web of Science</v>
      </c>
    </row>
    <row r="492" spans="1:72" x14ac:dyDescent="0.2">
      <c r="A492" t="s">
        <v>72</v>
      </c>
      <c r="B492" t="s">
        <v>4369</v>
      </c>
      <c r="C492" t="s">
        <v>74</v>
      </c>
      <c r="D492" t="s">
        <v>74</v>
      </c>
      <c r="E492" t="s">
        <v>74</v>
      </c>
      <c r="F492" t="s">
        <v>4370</v>
      </c>
      <c r="G492" t="s">
        <v>74</v>
      </c>
      <c r="H492" t="s">
        <v>74</v>
      </c>
      <c r="I492" t="s">
        <v>4371</v>
      </c>
      <c r="J492" t="s">
        <v>1493</v>
      </c>
      <c r="K492" t="s">
        <v>74</v>
      </c>
      <c r="L492" t="s">
        <v>74</v>
      </c>
      <c r="M492" t="s">
        <v>74</v>
      </c>
      <c r="N492" t="s">
        <v>74</v>
      </c>
      <c r="O492" t="s">
        <v>74</v>
      </c>
      <c r="P492" t="s">
        <v>74</v>
      </c>
      <c r="Q492" t="s">
        <v>74</v>
      </c>
      <c r="R492" t="s">
        <v>74</v>
      </c>
      <c r="S492" t="s">
        <v>74</v>
      </c>
      <c r="T492" t="s">
        <v>74</v>
      </c>
      <c r="U492" t="s">
        <v>74</v>
      </c>
      <c r="V492" t="s">
        <v>4372</v>
      </c>
      <c r="W492" t="s">
        <v>74</v>
      </c>
      <c r="X492" t="s">
        <v>74</v>
      </c>
      <c r="Y492" t="s">
        <v>74</v>
      </c>
      <c r="Z492" t="s">
        <v>74</v>
      </c>
      <c r="AA492" t="s">
        <v>74</v>
      </c>
      <c r="AB492" t="s">
        <v>74</v>
      </c>
      <c r="AC492" t="s">
        <v>74</v>
      </c>
      <c r="AD492" t="s">
        <v>74</v>
      </c>
      <c r="AE492" t="s">
        <v>74</v>
      </c>
      <c r="AF492" t="s">
        <v>74</v>
      </c>
      <c r="AG492" t="s">
        <v>74</v>
      </c>
      <c r="AH492" t="s">
        <v>74</v>
      </c>
      <c r="AI492" t="s">
        <v>74</v>
      </c>
      <c r="AJ492" t="s">
        <v>74</v>
      </c>
      <c r="AK492" t="s">
        <v>74</v>
      </c>
      <c r="AL492" t="s">
        <v>74</v>
      </c>
      <c r="AM492" t="s">
        <v>74</v>
      </c>
      <c r="AN492" t="s">
        <v>74</v>
      </c>
      <c r="AO492" t="s">
        <v>74</v>
      </c>
      <c r="AP492" t="s">
        <v>1497</v>
      </c>
      <c r="AQ492" t="s">
        <v>74</v>
      </c>
      <c r="AR492" t="s">
        <v>74</v>
      </c>
      <c r="AS492" t="s">
        <v>74</v>
      </c>
      <c r="AT492" t="s">
        <v>1318</v>
      </c>
      <c r="AU492">
        <v>2021</v>
      </c>
      <c r="AV492">
        <v>26</v>
      </c>
      <c r="AW492">
        <v>24</v>
      </c>
      <c r="AX492" t="s">
        <v>74</v>
      </c>
      <c r="AY492" t="s">
        <v>74</v>
      </c>
      <c r="AZ492" t="s">
        <v>74</v>
      </c>
      <c r="BA492" t="s">
        <v>74</v>
      </c>
      <c r="BB492" t="s">
        <v>74</v>
      </c>
      <c r="BC492" t="s">
        <v>74</v>
      </c>
      <c r="BD492">
        <v>7425</v>
      </c>
      <c r="BE492" t="s">
        <v>4373</v>
      </c>
      <c r="BF492" t="str">
        <f>HYPERLINK("http://dx.doi.org/10.3390/molecules26247425","http://dx.doi.org/10.3390/molecules26247425")</f>
        <v>http://dx.doi.org/10.3390/molecules26247425</v>
      </c>
      <c r="BG492" t="s">
        <v>74</v>
      </c>
      <c r="BH492" t="s">
        <v>74</v>
      </c>
      <c r="BI492" t="s">
        <v>74</v>
      </c>
      <c r="BJ492" t="s">
        <v>74</v>
      </c>
      <c r="BK492" t="s">
        <v>74</v>
      </c>
      <c r="BL492" t="s">
        <v>74</v>
      </c>
      <c r="BM492" t="s">
        <v>74</v>
      </c>
      <c r="BN492">
        <v>34946503</v>
      </c>
      <c r="BO492" t="s">
        <v>74</v>
      </c>
      <c r="BP492" t="s">
        <v>74</v>
      </c>
      <c r="BQ492" t="s">
        <v>74</v>
      </c>
      <c r="BR492" t="s">
        <v>74</v>
      </c>
      <c r="BS492" t="s">
        <v>4374</v>
      </c>
      <c r="BT492" t="str">
        <f>HYPERLINK("https%3A%2F%2Fwww.webofscience.com%2Fwos%2Fwoscc%2Ffull-record%2FWOS:000736520800001","View Full Record in Web of Science")</f>
        <v>View Full Record in Web of Science</v>
      </c>
    </row>
    <row r="493" spans="1:72" x14ac:dyDescent="0.2">
      <c r="A493" t="s">
        <v>72</v>
      </c>
      <c r="B493" t="s">
        <v>4375</v>
      </c>
      <c r="C493" t="s">
        <v>74</v>
      </c>
      <c r="D493" t="s">
        <v>74</v>
      </c>
      <c r="E493" t="s">
        <v>74</v>
      </c>
      <c r="F493" t="s">
        <v>4376</v>
      </c>
      <c r="G493" t="s">
        <v>74</v>
      </c>
      <c r="H493" t="s">
        <v>74</v>
      </c>
      <c r="I493" t="s">
        <v>4377</v>
      </c>
      <c r="J493" t="s">
        <v>528</v>
      </c>
      <c r="K493" t="s">
        <v>74</v>
      </c>
      <c r="L493" t="s">
        <v>74</v>
      </c>
      <c r="M493" t="s">
        <v>74</v>
      </c>
      <c r="N493" t="s">
        <v>74</v>
      </c>
      <c r="O493" t="s">
        <v>74</v>
      </c>
      <c r="P493" t="s">
        <v>74</v>
      </c>
      <c r="Q493" t="s">
        <v>74</v>
      </c>
      <c r="R493" t="s">
        <v>74</v>
      </c>
      <c r="S493" t="s">
        <v>74</v>
      </c>
      <c r="T493" t="s">
        <v>74</v>
      </c>
      <c r="U493" t="s">
        <v>74</v>
      </c>
      <c r="V493" t="s">
        <v>4378</v>
      </c>
      <c r="W493" t="s">
        <v>74</v>
      </c>
      <c r="X493" t="s">
        <v>74</v>
      </c>
      <c r="Y493" t="s">
        <v>74</v>
      </c>
      <c r="Z493" t="s">
        <v>74</v>
      </c>
      <c r="AA493" t="s">
        <v>4379</v>
      </c>
      <c r="AB493" t="s">
        <v>4380</v>
      </c>
      <c r="AC493" t="s">
        <v>74</v>
      </c>
      <c r="AD493" t="s">
        <v>74</v>
      </c>
      <c r="AE493" t="s">
        <v>74</v>
      </c>
      <c r="AF493" t="s">
        <v>74</v>
      </c>
      <c r="AG493" t="s">
        <v>74</v>
      </c>
      <c r="AH493" t="s">
        <v>74</v>
      </c>
      <c r="AI493" t="s">
        <v>74</v>
      </c>
      <c r="AJ493" t="s">
        <v>74</v>
      </c>
      <c r="AK493" t="s">
        <v>74</v>
      </c>
      <c r="AL493" t="s">
        <v>74</v>
      </c>
      <c r="AM493" t="s">
        <v>74</v>
      </c>
      <c r="AN493" t="s">
        <v>74</v>
      </c>
      <c r="AO493" t="s">
        <v>532</v>
      </c>
      <c r="AP493" t="s">
        <v>533</v>
      </c>
      <c r="AQ493" t="s">
        <v>74</v>
      </c>
      <c r="AR493" t="s">
        <v>74</v>
      </c>
      <c r="AS493" t="s">
        <v>74</v>
      </c>
      <c r="AT493" t="s">
        <v>2571</v>
      </c>
      <c r="AU493">
        <v>2021</v>
      </c>
      <c r="AV493">
        <v>13</v>
      </c>
      <c r="AW493">
        <v>47</v>
      </c>
      <c r="AX493" t="s">
        <v>74</v>
      </c>
      <c r="AY493" t="s">
        <v>74</v>
      </c>
      <c r="AZ493" t="s">
        <v>74</v>
      </c>
      <c r="BA493" t="s">
        <v>74</v>
      </c>
      <c r="BB493">
        <v>56109</v>
      </c>
      <c r="BC493">
        <v>56115</v>
      </c>
      <c r="BD493" t="s">
        <v>74</v>
      </c>
      <c r="BE493" t="s">
        <v>4381</v>
      </c>
      <c r="BF493" t="str">
        <f>HYPERLINK("http://dx.doi.org/10.1021/acsami.1c15980","http://dx.doi.org/10.1021/acsami.1c15980")</f>
        <v>http://dx.doi.org/10.1021/acsami.1c15980</v>
      </c>
      <c r="BG493" t="s">
        <v>74</v>
      </c>
      <c r="BH493" t="s">
        <v>74</v>
      </c>
      <c r="BI493" t="s">
        <v>74</v>
      </c>
      <c r="BJ493" t="s">
        <v>74</v>
      </c>
      <c r="BK493" t="s">
        <v>74</v>
      </c>
      <c r="BL493" t="s">
        <v>74</v>
      </c>
      <c r="BM493" t="s">
        <v>74</v>
      </c>
      <c r="BN493">
        <v>34788007</v>
      </c>
      <c r="BO493" t="s">
        <v>74</v>
      </c>
      <c r="BP493" t="s">
        <v>74</v>
      </c>
      <c r="BQ493" t="s">
        <v>74</v>
      </c>
      <c r="BR493" t="s">
        <v>74</v>
      </c>
      <c r="BS493" t="s">
        <v>4382</v>
      </c>
      <c r="BT493" t="str">
        <f>HYPERLINK("https%3A%2F%2Fwww.webofscience.com%2Fwos%2Fwoscc%2Ffull-record%2FWOS:000751894800030","View Full Record in Web of Science")</f>
        <v>View Full Record in Web of Science</v>
      </c>
    </row>
    <row r="494" spans="1:72" x14ac:dyDescent="0.2">
      <c r="A494" t="s">
        <v>72</v>
      </c>
      <c r="B494" t="s">
        <v>4383</v>
      </c>
      <c r="C494" t="s">
        <v>74</v>
      </c>
      <c r="D494" t="s">
        <v>74</v>
      </c>
      <c r="E494" t="s">
        <v>74</v>
      </c>
      <c r="F494" t="s">
        <v>4384</v>
      </c>
      <c r="G494" t="s">
        <v>74</v>
      </c>
      <c r="H494" t="s">
        <v>74</v>
      </c>
      <c r="I494" t="s">
        <v>4385</v>
      </c>
      <c r="J494" t="s">
        <v>4354</v>
      </c>
      <c r="K494" t="s">
        <v>74</v>
      </c>
      <c r="L494" t="s">
        <v>74</v>
      </c>
      <c r="M494" t="s">
        <v>74</v>
      </c>
      <c r="N494" t="s">
        <v>74</v>
      </c>
      <c r="O494" t="s">
        <v>74</v>
      </c>
      <c r="P494" t="s">
        <v>74</v>
      </c>
      <c r="Q494" t="s">
        <v>74</v>
      </c>
      <c r="R494" t="s">
        <v>74</v>
      </c>
      <c r="S494" t="s">
        <v>74</v>
      </c>
      <c r="T494" t="s">
        <v>74</v>
      </c>
      <c r="U494" t="s">
        <v>74</v>
      </c>
      <c r="V494" t="s">
        <v>4386</v>
      </c>
      <c r="W494" t="s">
        <v>74</v>
      </c>
      <c r="X494" t="s">
        <v>74</v>
      </c>
      <c r="Y494" t="s">
        <v>74</v>
      </c>
      <c r="Z494" t="s">
        <v>74</v>
      </c>
      <c r="AA494" t="s">
        <v>4387</v>
      </c>
      <c r="AB494" t="s">
        <v>4388</v>
      </c>
      <c r="AC494" t="s">
        <v>74</v>
      </c>
      <c r="AD494" t="s">
        <v>74</v>
      </c>
      <c r="AE494" t="s">
        <v>74</v>
      </c>
      <c r="AF494" t="s">
        <v>74</v>
      </c>
      <c r="AG494" t="s">
        <v>74</v>
      </c>
      <c r="AH494" t="s">
        <v>74</v>
      </c>
      <c r="AI494" t="s">
        <v>74</v>
      </c>
      <c r="AJ494" t="s">
        <v>74</v>
      </c>
      <c r="AK494" t="s">
        <v>74</v>
      </c>
      <c r="AL494" t="s">
        <v>74</v>
      </c>
      <c r="AM494" t="s">
        <v>74</v>
      </c>
      <c r="AN494" t="s">
        <v>74</v>
      </c>
      <c r="AO494" t="s">
        <v>4358</v>
      </c>
      <c r="AP494" t="s">
        <v>74</v>
      </c>
      <c r="AQ494" t="s">
        <v>74</v>
      </c>
      <c r="AR494" t="s">
        <v>74</v>
      </c>
      <c r="AS494" t="s">
        <v>74</v>
      </c>
      <c r="AT494" t="s">
        <v>2393</v>
      </c>
      <c r="AU494">
        <v>2022</v>
      </c>
      <c r="AV494">
        <v>6</v>
      </c>
      <c r="AW494">
        <v>2</v>
      </c>
      <c r="AX494" t="s">
        <v>74</v>
      </c>
      <c r="AY494" t="s">
        <v>74</v>
      </c>
      <c r="AZ494" t="s">
        <v>74</v>
      </c>
      <c r="BA494" t="s">
        <v>74</v>
      </c>
      <c r="BB494">
        <v>361</v>
      </c>
      <c r="BC494">
        <v>370</v>
      </c>
      <c r="BD494" t="s">
        <v>74</v>
      </c>
      <c r="BE494" t="s">
        <v>4389</v>
      </c>
      <c r="BF494" t="str">
        <f>HYPERLINK("http://dx.doi.org/10.1039/d1se01649k","http://dx.doi.org/10.1039/d1se01649k")</f>
        <v>http://dx.doi.org/10.1039/d1se01649k</v>
      </c>
      <c r="BG494" t="s">
        <v>74</v>
      </c>
      <c r="BH494" t="s">
        <v>4390</v>
      </c>
      <c r="BI494" t="s">
        <v>74</v>
      </c>
      <c r="BJ494" t="s">
        <v>74</v>
      </c>
      <c r="BK494" t="s">
        <v>74</v>
      </c>
      <c r="BL494" t="s">
        <v>74</v>
      </c>
      <c r="BM494" t="s">
        <v>74</v>
      </c>
      <c r="BN494" t="s">
        <v>74</v>
      </c>
      <c r="BO494" t="s">
        <v>74</v>
      </c>
      <c r="BP494" t="s">
        <v>74</v>
      </c>
      <c r="BQ494" t="s">
        <v>74</v>
      </c>
      <c r="BR494" t="s">
        <v>74</v>
      </c>
      <c r="BS494" t="s">
        <v>4391</v>
      </c>
      <c r="BT494" t="str">
        <f>HYPERLINK("https%3A%2F%2Fwww.webofscience.com%2Fwos%2Fwoscc%2Ffull-record%2FWOS:000729460700001","View Full Record in Web of Science")</f>
        <v>View Full Record in Web of Science</v>
      </c>
    </row>
    <row r="495" spans="1:72" x14ac:dyDescent="0.2">
      <c r="A495" t="s">
        <v>72</v>
      </c>
      <c r="B495" t="s">
        <v>4392</v>
      </c>
      <c r="C495" t="s">
        <v>74</v>
      </c>
      <c r="D495" t="s">
        <v>74</v>
      </c>
      <c r="E495" t="s">
        <v>74</v>
      </c>
      <c r="F495" t="s">
        <v>4393</v>
      </c>
      <c r="G495" t="s">
        <v>74</v>
      </c>
      <c r="H495" t="s">
        <v>74</v>
      </c>
      <c r="I495" t="s">
        <v>4394</v>
      </c>
      <c r="J495" t="s">
        <v>4395</v>
      </c>
      <c r="K495" t="s">
        <v>74</v>
      </c>
      <c r="L495" t="s">
        <v>74</v>
      </c>
      <c r="M495" t="s">
        <v>74</v>
      </c>
      <c r="N495" t="s">
        <v>74</v>
      </c>
      <c r="O495" t="s">
        <v>74</v>
      </c>
      <c r="P495" t="s">
        <v>74</v>
      </c>
      <c r="Q495" t="s">
        <v>74</v>
      </c>
      <c r="R495" t="s">
        <v>74</v>
      </c>
      <c r="S495" t="s">
        <v>74</v>
      </c>
      <c r="T495" t="s">
        <v>74</v>
      </c>
      <c r="U495" t="s">
        <v>74</v>
      </c>
      <c r="V495" t="s">
        <v>4396</v>
      </c>
      <c r="W495" t="s">
        <v>74</v>
      </c>
      <c r="X495" t="s">
        <v>74</v>
      </c>
      <c r="Y495" t="s">
        <v>74</v>
      </c>
      <c r="Z495" t="s">
        <v>74</v>
      </c>
      <c r="AA495" t="s">
        <v>74</v>
      </c>
      <c r="AB495" t="s">
        <v>4202</v>
      </c>
      <c r="AC495" t="s">
        <v>74</v>
      </c>
      <c r="AD495" t="s">
        <v>74</v>
      </c>
      <c r="AE495" t="s">
        <v>74</v>
      </c>
      <c r="AF495" t="s">
        <v>74</v>
      </c>
      <c r="AG495" t="s">
        <v>74</v>
      </c>
      <c r="AH495" t="s">
        <v>74</v>
      </c>
      <c r="AI495" t="s">
        <v>74</v>
      </c>
      <c r="AJ495" t="s">
        <v>74</v>
      </c>
      <c r="AK495" t="s">
        <v>74</v>
      </c>
      <c r="AL495" t="s">
        <v>74</v>
      </c>
      <c r="AM495" t="s">
        <v>74</v>
      </c>
      <c r="AN495" t="s">
        <v>74</v>
      </c>
      <c r="AO495" t="s">
        <v>4397</v>
      </c>
      <c r="AP495" t="s">
        <v>4398</v>
      </c>
      <c r="AQ495" t="s">
        <v>74</v>
      </c>
      <c r="AR495" t="s">
        <v>74</v>
      </c>
      <c r="AS495" t="s">
        <v>74</v>
      </c>
      <c r="AT495" t="s">
        <v>4399</v>
      </c>
      <c r="AU495">
        <v>2022</v>
      </c>
      <c r="AV495">
        <v>12</v>
      </c>
      <c r="AW495">
        <v>1</v>
      </c>
      <c r="AX495" t="s">
        <v>74</v>
      </c>
      <c r="AY495" t="s">
        <v>74</v>
      </c>
      <c r="AZ495" t="s">
        <v>74</v>
      </c>
      <c r="BA495" t="s">
        <v>74</v>
      </c>
      <c r="BB495">
        <v>332</v>
      </c>
      <c r="BC495">
        <v>338</v>
      </c>
      <c r="BD495" t="s">
        <v>74</v>
      </c>
      <c r="BE495" t="s">
        <v>4400</v>
      </c>
      <c r="BF495" t="str">
        <f>HYPERLINK("http://dx.doi.org/10.1039/d1cy01832a","http://dx.doi.org/10.1039/d1cy01832a")</f>
        <v>http://dx.doi.org/10.1039/d1cy01832a</v>
      </c>
      <c r="BG495" t="s">
        <v>74</v>
      </c>
      <c r="BH495" t="s">
        <v>4390</v>
      </c>
      <c r="BI495" t="s">
        <v>74</v>
      </c>
      <c r="BJ495" t="s">
        <v>74</v>
      </c>
      <c r="BK495" t="s">
        <v>74</v>
      </c>
      <c r="BL495" t="s">
        <v>74</v>
      </c>
      <c r="BM495" t="s">
        <v>74</v>
      </c>
      <c r="BN495" t="s">
        <v>74</v>
      </c>
      <c r="BO495" t="s">
        <v>74</v>
      </c>
      <c r="BP495" t="s">
        <v>74</v>
      </c>
      <c r="BQ495" t="s">
        <v>74</v>
      </c>
      <c r="BR495" t="s">
        <v>74</v>
      </c>
      <c r="BS495" t="s">
        <v>4401</v>
      </c>
      <c r="BT495" t="str">
        <f>HYPERLINK("https%3A%2F%2Fwww.webofscience.com%2Fwos%2Fwoscc%2Ffull-record%2FWOS:000725114800001","View Full Record in Web of Science")</f>
        <v>View Full Record in Web of Science</v>
      </c>
    </row>
    <row r="496" spans="1:72" x14ac:dyDescent="0.2">
      <c r="A496" t="s">
        <v>72</v>
      </c>
      <c r="B496" t="s">
        <v>4402</v>
      </c>
      <c r="C496" t="s">
        <v>74</v>
      </c>
      <c r="D496" t="s">
        <v>74</v>
      </c>
      <c r="E496" t="s">
        <v>74</v>
      </c>
      <c r="F496" t="s">
        <v>4403</v>
      </c>
      <c r="G496" t="s">
        <v>74</v>
      </c>
      <c r="H496" t="s">
        <v>74</v>
      </c>
      <c r="I496" t="s">
        <v>4404</v>
      </c>
      <c r="J496" t="s">
        <v>171</v>
      </c>
      <c r="K496" t="s">
        <v>74</v>
      </c>
      <c r="L496" t="s">
        <v>74</v>
      </c>
      <c r="M496" t="s">
        <v>74</v>
      </c>
      <c r="N496" t="s">
        <v>74</v>
      </c>
      <c r="O496" t="s">
        <v>74</v>
      </c>
      <c r="P496" t="s">
        <v>74</v>
      </c>
      <c r="Q496" t="s">
        <v>74</v>
      </c>
      <c r="R496" t="s">
        <v>74</v>
      </c>
      <c r="S496" t="s">
        <v>74</v>
      </c>
      <c r="T496" t="s">
        <v>74</v>
      </c>
      <c r="U496" t="s">
        <v>74</v>
      </c>
      <c r="V496" t="s">
        <v>4405</v>
      </c>
      <c r="W496" t="s">
        <v>74</v>
      </c>
      <c r="X496" t="s">
        <v>74</v>
      </c>
      <c r="Y496" t="s">
        <v>74</v>
      </c>
      <c r="Z496" t="s">
        <v>74</v>
      </c>
      <c r="AA496" t="s">
        <v>4406</v>
      </c>
      <c r="AB496" t="s">
        <v>74</v>
      </c>
      <c r="AC496" t="s">
        <v>74</v>
      </c>
      <c r="AD496" t="s">
        <v>74</v>
      </c>
      <c r="AE496" t="s">
        <v>74</v>
      </c>
      <c r="AF496" t="s">
        <v>74</v>
      </c>
      <c r="AG496" t="s">
        <v>74</v>
      </c>
      <c r="AH496" t="s">
        <v>74</v>
      </c>
      <c r="AI496" t="s">
        <v>74</v>
      </c>
      <c r="AJ496" t="s">
        <v>74</v>
      </c>
      <c r="AK496" t="s">
        <v>74</v>
      </c>
      <c r="AL496" t="s">
        <v>74</v>
      </c>
      <c r="AM496" t="s">
        <v>74</v>
      </c>
      <c r="AN496" t="s">
        <v>74</v>
      </c>
      <c r="AO496" t="s">
        <v>173</v>
      </c>
      <c r="AP496" t="s">
        <v>174</v>
      </c>
      <c r="AQ496" t="s">
        <v>74</v>
      </c>
      <c r="AR496" t="s">
        <v>74</v>
      </c>
      <c r="AS496" t="s">
        <v>74</v>
      </c>
      <c r="AT496" t="s">
        <v>1463</v>
      </c>
      <c r="AU496">
        <v>2022</v>
      </c>
      <c r="AV496">
        <v>608</v>
      </c>
      <c r="AW496" t="s">
        <v>74</v>
      </c>
      <c r="AX496">
        <v>2</v>
      </c>
      <c r="AY496" t="s">
        <v>74</v>
      </c>
      <c r="AZ496" t="s">
        <v>74</v>
      </c>
      <c r="BA496" t="s">
        <v>74</v>
      </c>
      <c r="BB496">
        <v>1471</v>
      </c>
      <c r="BC496">
        <v>1480</v>
      </c>
      <c r="BD496" t="s">
        <v>74</v>
      </c>
      <c r="BE496" t="s">
        <v>4407</v>
      </c>
      <c r="BF496" t="str">
        <f>HYPERLINK("http://dx.doi.org/10.1016/j.jcis.2021.10.061","http://dx.doi.org/10.1016/j.jcis.2021.10.061")</f>
        <v>http://dx.doi.org/10.1016/j.jcis.2021.10.061</v>
      </c>
      <c r="BG496" t="s">
        <v>74</v>
      </c>
      <c r="BH496" t="s">
        <v>4390</v>
      </c>
      <c r="BI496" t="s">
        <v>74</v>
      </c>
      <c r="BJ496" t="s">
        <v>74</v>
      </c>
      <c r="BK496" t="s">
        <v>74</v>
      </c>
      <c r="BL496" t="s">
        <v>74</v>
      </c>
      <c r="BM496" t="s">
        <v>74</v>
      </c>
      <c r="BN496">
        <v>34742066</v>
      </c>
      <c r="BO496" t="s">
        <v>74</v>
      </c>
      <c r="BP496" t="s">
        <v>74</v>
      </c>
      <c r="BQ496" t="s">
        <v>74</v>
      </c>
      <c r="BR496" t="s">
        <v>74</v>
      </c>
      <c r="BS496" t="s">
        <v>4408</v>
      </c>
      <c r="BT496" t="str">
        <f>HYPERLINK("https%3A%2F%2Fwww.webofscience.com%2Fwos%2Fwoscc%2Ffull-record%2FWOS:000744118900003","View Full Record in Web of Science")</f>
        <v>View Full Record in Web of Science</v>
      </c>
    </row>
    <row r="497" spans="1:72" x14ac:dyDescent="0.2">
      <c r="A497" t="s">
        <v>72</v>
      </c>
      <c r="B497" t="s">
        <v>4409</v>
      </c>
      <c r="C497" t="s">
        <v>74</v>
      </c>
      <c r="D497" t="s">
        <v>74</v>
      </c>
      <c r="E497" t="s">
        <v>74</v>
      </c>
      <c r="F497" t="s">
        <v>4410</v>
      </c>
      <c r="G497" t="s">
        <v>74</v>
      </c>
      <c r="H497" t="s">
        <v>74</v>
      </c>
      <c r="I497" t="s">
        <v>4411</v>
      </c>
      <c r="J497" t="s">
        <v>422</v>
      </c>
      <c r="K497" t="s">
        <v>74</v>
      </c>
      <c r="L497" t="s">
        <v>74</v>
      </c>
      <c r="M497" t="s">
        <v>74</v>
      </c>
      <c r="N497" t="s">
        <v>74</v>
      </c>
      <c r="O497" t="s">
        <v>74</v>
      </c>
      <c r="P497" t="s">
        <v>74</v>
      </c>
      <c r="Q497" t="s">
        <v>74</v>
      </c>
      <c r="R497" t="s">
        <v>74</v>
      </c>
      <c r="S497" t="s">
        <v>74</v>
      </c>
      <c r="T497" t="s">
        <v>74</v>
      </c>
      <c r="U497" t="s">
        <v>74</v>
      </c>
      <c r="V497" t="s">
        <v>4412</v>
      </c>
      <c r="W497" t="s">
        <v>74</v>
      </c>
      <c r="X497" t="s">
        <v>74</v>
      </c>
      <c r="Y497" t="s">
        <v>74</v>
      </c>
      <c r="Z497" t="s">
        <v>74</v>
      </c>
      <c r="AA497" t="s">
        <v>4406</v>
      </c>
      <c r="AB497" t="s">
        <v>74</v>
      </c>
      <c r="AC497" t="s">
        <v>74</v>
      </c>
      <c r="AD497" t="s">
        <v>74</v>
      </c>
      <c r="AE497" t="s">
        <v>74</v>
      </c>
      <c r="AF497" t="s">
        <v>74</v>
      </c>
      <c r="AG497" t="s">
        <v>74</v>
      </c>
      <c r="AH497" t="s">
        <v>74</v>
      </c>
      <c r="AI497" t="s">
        <v>74</v>
      </c>
      <c r="AJ497" t="s">
        <v>74</v>
      </c>
      <c r="AK497" t="s">
        <v>74</v>
      </c>
      <c r="AL497" t="s">
        <v>74</v>
      </c>
      <c r="AM497" t="s">
        <v>74</v>
      </c>
      <c r="AN497" t="s">
        <v>74</v>
      </c>
      <c r="AO497" t="s">
        <v>426</v>
      </c>
      <c r="AP497" t="s">
        <v>74</v>
      </c>
      <c r="AQ497" t="s">
        <v>74</v>
      </c>
      <c r="AR497" t="s">
        <v>74</v>
      </c>
      <c r="AS497" t="s">
        <v>74</v>
      </c>
      <c r="AT497" t="s">
        <v>4413</v>
      </c>
      <c r="AU497">
        <v>2021</v>
      </c>
      <c r="AV497">
        <v>4</v>
      </c>
      <c r="AW497">
        <v>11</v>
      </c>
      <c r="AX497" t="s">
        <v>74</v>
      </c>
      <c r="AY497" t="s">
        <v>74</v>
      </c>
      <c r="AZ497" t="s">
        <v>74</v>
      </c>
      <c r="BA497" t="s">
        <v>74</v>
      </c>
      <c r="BB497">
        <v>12954</v>
      </c>
      <c r="BC497">
        <v>12964</v>
      </c>
      <c r="BD497" t="s">
        <v>74</v>
      </c>
      <c r="BE497" t="s">
        <v>4414</v>
      </c>
      <c r="BF497" t="str">
        <f>HYPERLINK("http://dx.doi.org/10.1021/acsaem.1c02593","http://dx.doi.org/10.1021/acsaem.1c02593")</f>
        <v>http://dx.doi.org/10.1021/acsaem.1c02593</v>
      </c>
      <c r="BG497" t="s">
        <v>74</v>
      </c>
      <c r="BH497" t="s">
        <v>4415</v>
      </c>
      <c r="BI497" t="s">
        <v>74</v>
      </c>
      <c r="BJ497" t="s">
        <v>74</v>
      </c>
      <c r="BK497" t="s">
        <v>74</v>
      </c>
      <c r="BL497" t="s">
        <v>74</v>
      </c>
      <c r="BM497" t="s">
        <v>74</v>
      </c>
      <c r="BN497" t="s">
        <v>74</v>
      </c>
      <c r="BO497" t="s">
        <v>74</v>
      </c>
      <c r="BP497" t="s">
        <v>74</v>
      </c>
      <c r="BQ497" t="s">
        <v>74</v>
      </c>
      <c r="BR497" t="s">
        <v>74</v>
      </c>
      <c r="BS497" t="s">
        <v>4416</v>
      </c>
      <c r="BT497" t="str">
        <f>HYPERLINK("https%3A%2F%2Fwww.webofscience.com%2Fwos%2Fwoscc%2Ffull-record%2FWOS:000734172800008","View Full Record in Web of Science")</f>
        <v>View Full Record in Web of Science</v>
      </c>
    </row>
    <row r="498" spans="1:72" x14ac:dyDescent="0.2">
      <c r="A498" t="s">
        <v>72</v>
      </c>
      <c r="B498" t="s">
        <v>4417</v>
      </c>
      <c r="C498" t="s">
        <v>74</v>
      </c>
      <c r="D498" t="s">
        <v>74</v>
      </c>
      <c r="E498" t="s">
        <v>74</v>
      </c>
      <c r="F498" t="s">
        <v>4418</v>
      </c>
      <c r="G498" t="s">
        <v>74</v>
      </c>
      <c r="H498" t="s">
        <v>74</v>
      </c>
      <c r="I498" t="s">
        <v>4419</v>
      </c>
      <c r="J498" t="s">
        <v>4120</v>
      </c>
      <c r="K498" t="s">
        <v>74</v>
      </c>
      <c r="L498" t="s">
        <v>74</v>
      </c>
      <c r="M498" t="s">
        <v>74</v>
      </c>
      <c r="N498" t="s">
        <v>74</v>
      </c>
      <c r="O498" t="s">
        <v>74</v>
      </c>
      <c r="P498" t="s">
        <v>74</v>
      </c>
      <c r="Q498" t="s">
        <v>74</v>
      </c>
      <c r="R498" t="s">
        <v>74</v>
      </c>
      <c r="S498" t="s">
        <v>74</v>
      </c>
      <c r="T498" t="s">
        <v>74</v>
      </c>
      <c r="U498" t="s">
        <v>74</v>
      </c>
      <c r="V498" t="s">
        <v>4420</v>
      </c>
      <c r="W498" t="s">
        <v>74</v>
      </c>
      <c r="X498" t="s">
        <v>74</v>
      </c>
      <c r="Y498" t="s">
        <v>74</v>
      </c>
      <c r="Z498" t="s">
        <v>74</v>
      </c>
      <c r="AA498" t="s">
        <v>4421</v>
      </c>
      <c r="AB498" t="s">
        <v>4422</v>
      </c>
      <c r="AC498" t="s">
        <v>74</v>
      </c>
      <c r="AD498" t="s">
        <v>74</v>
      </c>
      <c r="AE498" t="s">
        <v>74</v>
      </c>
      <c r="AF498" t="s">
        <v>74</v>
      </c>
      <c r="AG498" t="s">
        <v>74</v>
      </c>
      <c r="AH498" t="s">
        <v>74</v>
      </c>
      <c r="AI498" t="s">
        <v>74</v>
      </c>
      <c r="AJ498" t="s">
        <v>74</v>
      </c>
      <c r="AK498" t="s">
        <v>74</v>
      </c>
      <c r="AL498" t="s">
        <v>74</v>
      </c>
      <c r="AM498" t="s">
        <v>74</v>
      </c>
      <c r="AN498" t="s">
        <v>74</v>
      </c>
      <c r="AO498" t="s">
        <v>4124</v>
      </c>
      <c r="AP498" t="s">
        <v>4125</v>
      </c>
      <c r="AQ498" t="s">
        <v>74</v>
      </c>
      <c r="AR498" t="s">
        <v>74</v>
      </c>
      <c r="AS498" t="s">
        <v>74</v>
      </c>
      <c r="AT498" t="s">
        <v>670</v>
      </c>
      <c r="AU498">
        <v>2022</v>
      </c>
      <c r="AV498">
        <v>223</v>
      </c>
      <c r="AW498">
        <v>8</v>
      </c>
      <c r="AX498" t="s">
        <v>74</v>
      </c>
      <c r="AY498" t="s">
        <v>74</v>
      </c>
      <c r="AZ498" t="s">
        <v>2280</v>
      </c>
      <c r="BA498" t="s">
        <v>74</v>
      </c>
      <c r="BB498" t="s">
        <v>74</v>
      </c>
      <c r="BC498" t="s">
        <v>74</v>
      </c>
      <c r="BD498">
        <v>2100325</v>
      </c>
      <c r="BE498" t="s">
        <v>4423</v>
      </c>
      <c r="BF498" t="str">
        <f>HYPERLINK("http://dx.doi.org/10.1002/macp.202100325","http://dx.doi.org/10.1002/macp.202100325")</f>
        <v>http://dx.doi.org/10.1002/macp.202100325</v>
      </c>
      <c r="BG498" t="s">
        <v>74</v>
      </c>
      <c r="BH498" t="s">
        <v>4415</v>
      </c>
      <c r="BI498" t="s">
        <v>74</v>
      </c>
      <c r="BJ498" t="s">
        <v>74</v>
      </c>
      <c r="BK498" t="s">
        <v>74</v>
      </c>
      <c r="BL498" t="s">
        <v>74</v>
      </c>
      <c r="BM498" t="s">
        <v>74</v>
      </c>
      <c r="BN498" t="s">
        <v>74</v>
      </c>
      <c r="BO498" t="s">
        <v>74</v>
      </c>
      <c r="BP498" t="s">
        <v>74</v>
      </c>
      <c r="BQ498" t="s">
        <v>74</v>
      </c>
      <c r="BR498" t="s">
        <v>74</v>
      </c>
      <c r="BS498" t="s">
        <v>4424</v>
      </c>
      <c r="BT498" t="str">
        <f>HYPERLINK("https%3A%2F%2Fwww.webofscience.com%2Fwos%2Fwoscc%2Ffull-record%2FWOS:000709901500001","View Full Record in Web of Science")</f>
        <v>View Full Record in Web of Science</v>
      </c>
    </row>
    <row r="499" spans="1:72" x14ac:dyDescent="0.2">
      <c r="A499" t="s">
        <v>72</v>
      </c>
      <c r="B499" t="s">
        <v>4425</v>
      </c>
      <c r="C499" t="s">
        <v>74</v>
      </c>
      <c r="D499" t="s">
        <v>74</v>
      </c>
      <c r="E499" t="s">
        <v>74</v>
      </c>
      <c r="F499" t="s">
        <v>4426</v>
      </c>
      <c r="G499" t="s">
        <v>74</v>
      </c>
      <c r="H499" t="s">
        <v>74</v>
      </c>
      <c r="I499" t="s">
        <v>4427</v>
      </c>
      <c r="J499" t="s">
        <v>161</v>
      </c>
      <c r="K499" t="s">
        <v>74</v>
      </c>
      <c r="L499" t="s">
        <v>74</v>
      </c>
      <c r="M499" t="s">
        <v>74</v>
      </c>
      <c r="N499" t="s">
        <v>74</v>
      </c>
      <c r="O499" t="s">
        <v>74</v>
      </c>
      <c r="P499" t="s">
        <v>74</v>
      </c>
      <c r="Q499" t="s">
        <v>74</v>
      </c>
      <c r="R499" t="s">
        <v>74</v>
      </c>
      <c r="S499" t="s">
        <v>74</v>
      </c>
      <c r="T499" t="s">
        <v>74</v>
      </c>
      <c r="U499" t="s">
        <v>74</v>
      </c>
      <c r="V499" t="s">
        <v>4428</v>
      </c>
      <c r="W499" t="s">
        <v>74</v>
      </c>
      <c r="X499" t="s">
        <v>74</v>
      </c>
      <c r="Y499" t="s">
        <v>74</v>
      </c>
      <c r="Z499" t="s">
        <v>74</v>
      </c>
      <c r="AA499" t="s">
        <v>4429</v>
      </c>
      <c r="AB499" t="s">
        <v>74</v>
      </c>
      <c r="AC499" t="s">
        <v>74</v>
      </c>
      <c r="AD499" t="s">
        <v>74</v>
      </c>
      <c r="AE499" t="s">
        <v>74</v>
      </c>
      <c r="AF499" t="s">
        <v>74</v>
      </c>
      <c r="AG499" t="s">
        <v>74</v>
      </c>
      <c r="AH499" t="s">
        <v>74</v>
      </c>
      <c r="AI499" t="s">
        <v>74</v>
      </c>
      <c r="AJ499" t="s">
        <v>74</v>
      </c>
      <c r="AK499" t="s">
        <v>74</v>
      </c>
      <c r="AL499" t="s">
        <v>74</v>
      </c>
      <c r="AM499" t="s">
        <v>74</v>
      </c>
      <c r="AN499" t="s">
        <v>74</v>
      </c>
      <c r="AO499" t="s">
        <v>163</v>
      </c>
      <c r="AP499" t="s">
        <v>164</v>
      </c>
      <c r="AQ499" t="s">
        <v>74</v>
      </c>
      <c r="AR499" t="s">
        <v>74</v>
      </c>
      <c r="AS499" t="s">
        <v>74</v>
      </c>
      <c r="AT499" t="s">
        <v>1463</v>
      </c>
      <c r="AU499">
        <v>2022</v>
      </c>
      <c r="AV499">
        <v>430</v>
      </c>
      <c r="AW499" t="s">
        <v>74</v>
      </c>
      <c r="AX499">
        <v>3</v>
      </c>
      <c r="AY499" t="s">
        <v>74</v>
      </c>
      <c r="AZ499" t="s">
        <v>74</v>
      </c>
      <c r="BA499" t="s">
        <v>74</v>
      </c>
      <c r="BB499" t="s">
        <v>74</v>
      </c>
      <c r="BC499" t="s">
        <v>74</v>
      </c>
      <c r="BD499">
        <v>132987</v>
      </c>
      <c r="BE499" t="s">
        <v>4430</v>
      </c>
      <c r="BF499" t="str">
        <f>HYPERLINK("http://dx.doi.org/10.1016/j.cej.2021.132987","http://dx.doi.org/10.1016/j.cej.2021.132987")</f>
        <v>http://dx.doi.org/10.1016/j.cej.2021.132987</v>
      </c>
      <c r="BG499" t="s">
        <v>74</v>
      </c>
      <c r="BH499" t="s">
        <v>4415</v>
      </c>
      <c r="BI499" t="s">
        <v>74</v>
      </c>
      <c r="BJ499" t="s">
        <v>74</v>
      </c>
      <c r="BK499" t="s">
        <v>74</v>
      </c>
      <c r="BL499" t="s">
        <v>74</v>
      </c>
      <c r="BM499" t="s">
        <v>74</v>
      </c>
      <c r="BN499" t="s">
        <v>74</v>
      </c>
      <c r="BO499" t="s">
        <v>74</v>
      </c>
      <c r="BP499" t="s">
        <v>74</v>
      </c>
      <c r="BQ499" t="s">
        <v>74</v>
      </c>
      <c r="BR499" t="s">
        <v>74</v>
      </c>
      <c r="BS499" t="s">
        <v>4431</v>
      </c>
      <c r="BT499" t="str">
        <f>HYPERLINK("https%3A%2F%2Fwww.webofscience.com%2Fwos%2Fwoscc%2Ffull-record%2FWOS:000727839000002","View Full Record in Web of Science")</f>
        <v>View Full Record in Web of Science</v>
      </c>
    </row>
    <row r="500" spans="1:72" x14ac:dyDescent="0.2">
      <c r="A500" t="s">
        <v>72</v>
      </c>
      <c r="B500" t="s">
        <v>4432</v>
      </c>
      <c r="C500" t="s">
        <v>74</v>
      </c>
      <c r="D500" t="s">
        <v>74</v>
      </c>
      <c r="E500" t="s">
        <v>74</v>
      </c>
      <c r="F500" t="s">
        <v>4433</v>
      </c>
      <c r="G500" t="s">
        <v>74</v>
      </c>
      <c r="H500" t="s">
        <v>74</v>
      </c>
      <c r="I500" t="s">
        <v>4434</v>
      </c>
      <c r="J500" t="s">
        <v>3088</v>
      </c>
      <c r="K500" t="s">
        <v>74</v>
      </c>
      <c r="L500" t="s">
        <v>74</v>
      </c>
      <c r="M500" t="s">
        <v>74</v>
      </c>
      <c r="N500" t="s">
        <v>74</v>
      </c>
      <c r="O500" t="s">
        <v>74</v>
      </c>
      <c r="P500" t="s">
        <v>74</v>
      </c>
      <c r="Q500" t="s">
        <v>74</v>
      </c>
      <c r="R500" t="s">
        <v>74</v>
      </c>
      <c r="S500" t="s">
        <v>74</v>
      </c>
      <c r="T500" t="s">
        <v>74</v>
      </c>
      <c r="U500" t="s">
        <v>74</v>
      </c>
      <c r="V500" t="s">
        <v>4435</v>
      </c>
      <c r="W500" t="s">
        <v>74</v>
      </c>
      <c r="X500" t="s">
        <v>74</v>
      </c>
      <c r="Y500" t="s">
        <v>74</v>
      </c>
      <c r="Z500" t="s">
        <v>74</v>
      </c>
      <c r="AA500" t="s">
        <v>4436</v>
      </c>
      <c r="AB500" t="s">
        <v>4437</v>
      </c>
      <c r="AC500" t="s">
        <v>74</v>
      </c>
      <c r="AD500" t="s">
        <v>74</v>
      </c>
      <c r="AE500" t="s">
        <v>74</v>
      </c>
      <c r="AF500" t="s">
        <v>74</v>
      </c>
      <c r="AG500" t="s">
        <v>74</v>
      </c>
      <c r="AH500" t="s">
        <v>74</v>
      </c>
      <c r="AI500" t="s">
        <v>74</v>
      </c>
      <c r="AJ500" t="s">
        <v>74</v>
      </c>
      <c r="AK500" t="s">
        <v>74</v>
      </c>
      <c r="AL500" t="s">
        <v>74</v>
      </c>
      <c r="AM500" t="s">
        <v>74</v>
      </c>
      <c r="AN500" t="s">
        <v>74</v>
      </c>
      <c r="AO500" t="s">
        <v>3092</v>
      </c>
      <c r="AP500" t="s">
        <v>3093</v>
      </c>
      <c r="AQ500" t="s">
        <v>74</v>
      </c>
      <c r="AR500" t="s">
        <v>74</v>
      </c>
      <c r="AS500" t="s">
        <v>74</v>
      </c>
      <c r="AT500" t="s">
        <v>4438</v>
      </c>
      <c r="AU500">
        <v>2021</v>
      </c>
      <c r="AV500">
        <v>46</v>
      </c>
      <c r="AW500">
        <v>73</v>
      </c>
      <c r="AX500" t="s">
        <v>74</v>
      </c>
      <c r="AY500" t="s">
        <v>74</v>
      </c>
      <c r="AZ500" t="s">
        <v>74</v>
      </c>
      <c r="BA500" t="s">
        <v>74</v>
      </c>
      <c r="BB500">
        <v>36221</v>
      </c>
      <c r="BC500">
        <v>36231</v>
      </c>
      <c r="BD500" t="s">
        <v>74</v>
      </c>
      <c r="BE500" t="s">
        <v>4439</v>
      </c>
      <c r="BF500" t="str">
        <f>HYPERLINK("http://dx.doi.org/10.1016/j.ijhydene.2021.08.176","http://dx.doi.org/10.1016/j.ijhydene.2021.08.176")</f>
        <v>http://dx.doi.org/10.1016/j.ijhydene.2021.08.176</v>
      </c>
      <c r="BG500" t="s">
        <v>74</v>
      </c>
      <c r="BH500" t="s">
        <v>4415</v>
      </c>
      <c r="BI500" t="s">
        <v>74</v>
      </c>
      <c r="BJ500" t="s">
        <v>74</v>
      </c>
      <c r="BK500" t="s">
        <v>74</v>
      </c>
      <c r="BL500" t="s">
        <v>74</v>
      </c>
      <c r="BM500" t="s">
        <v>74</v>
      </c>
      <c r="BN500" t="s">
        <v>74</v>
      </c>
      <c r="BO500" t="s">
        <v>74</v>
      </c>
      <c r="BP500" t="s">
        <v>74</v>
      </c>
      <c r="BQ500" t="s">
        <v>74</v>
      </c>
      <c r="BR500" t="s">
        <v>74</v>
      </c>
      <c r="BS500" t="s">
        <v>4440</v>
      </c>
      <c r="BT500" t="str">
        <f>HYPERLINK("https%3A%2F%2Fwww.webofscience.com%2Fwos%2Fwoscc%2Ffull-record%2FWOS:000706707900007","View Full Record in Web of Science")</f>
        <v>View Full Record in Web of Science</v>
      </c>
    </row>
    <row r="501" spans="1:72" x14ac:dyDescent="0.2">
      <c r="A501" t="s">
        <v>72</v>
      </c>
      <c r="B501" t="s">
        <v>4441</v>
      </c>
      <c r="C501" t="s">
        <v>74</v>
      </c>
      <c r="D501" t="s">
        <v>74</v>
      </c>
      <c r="E501" t="s">
        <v>74</v>
      </c>
      <c r="F501" t="s">
        <v>4442</v>
      </c>
      <c r="G501" t="s">
        <v>74</v>
      </c>
      <c r="H501" t="s">
        <v>74</v>
      </c>
      <c r="I501" t="s">
        <v>4443</v>
      </c>
      <c r="J501" t="s">
        <v>278</v>
      </c>
      <c r="K501" t="s">
        <v>74</v>
      </c>
      <c r="L501" t="s">
        <v>74</v>
      </c>
      <c r="M501" t="s">
        <v>74</v>
      </c>
      <c r="N501" t="s">
        <v>74</v>
      </c>
      <c r="O501" t="s">
        <v>74</v>
      </c>
      <c r="P501" t="s">
        <v>74</v>
      </c>
      <c r="Q501" t="s">
        <v>74</v>
      </c>
      <c r="R501" t="s">
        <v>74</v>
      </c>
      <c r="S501" t="s">
        <v>74</v>
      </c>
      <c r="T501" t="s">
        <v>74</v>
      </c>
      <c r="U501" t="s">
        <v>74</v>
      </c>
      <c r="V501" t="s">
        <v>4444</v>
      </c>
      <c r="W501" t="s">
        <v>74</v>
      </c>
      <c r="X501" t="s">
        <v>74</v>
      </c>
      <c r="Y501" t="s">
        <v>74</v>
      </c>
      <c r="Z501" t="s">
        <v>74</v>
      </c>
      <c r="AA501" t="s">
        <v>4445</v>
      </c>
      <c r="AB501" t="s">
        <v>4446</v>
      </c>
      <c r="AC501" t="s">
        <v>74</v>
      </c>
      <c r="AD501" t="s">
        <v>74</v>
      </c>
      <c r="AE501" t="s">
        <v>74</v>
      </c>
      <c r="AF501" t="s">
        <v>74</v>
      </c>
      <c r="AG501" t="s">
        <v>74</v>
      </c>
      <c r="AH501" t="s">
        <v>74</v>
      </c>
      <c r="AI501" t="s">
        <v>74</v>
      </c>
      <c r="AJ501" t="s">
        <v>74</v>
      </c>
      <c r="AK501" t="s">
        <v>74</v>
      </c>
      <c r="AL501" t="s">
        <v>74</v>
      </c>
      <c r="AM501" t="s">
        <v>74</v>
      </c>
      <c r="AN501" t="s">
        <v>74</v>
      </c>
      <c r="AO501" t="s">
        <v>281</v>
      </c>
      <c r="AP501" t="s">
        <v>282</v>
      </c>
      <c r="AQ501" t="s">
        <v>74</v>
      </c>
      <c r="AR501" t="s">
        <v>74</v>
      </c>
      <c r="AS501" t="s">
        <v>74</v>
      </c>
      <c r="AT501" t="s">
        <v>4447</v>
      </c>
      <c r="AU501">
        <v>2021</v>
      </c>
      <c r="AV501">
        <v>9</v>
      </c>
      <c r="AW501">
        <v>44</v>
      </c>
      <c r="AX501" t="s">
        <v>74</v>
      </c>
      <c r="AY501" t="s">
        <v>74</v>
      </c>
      <c r="AZ501" t="s">
        <v>74</v>
      </c>
      <c r="BA501" t="s">
        <v>74</v>
      </c>
      <c r="BB501">
        <v>25004</v>
      </c>
      <c r="BC501">
        <v>25012</v>
      </c>
      <c r="BD501" t="s">
        <v>74</v>
      </c>
      <c r="BE501" t="s">
        <v>4448</v>
      </c>
      <c r="BF501" t="str">
        <f>HYPERLINK("http://dx.doi.org/10.1039/d1ta06742g","http://dx.doi.org/10.1039/d1ta06742g")</f>
        <v>http://dx.doi.org/10.1039/d1ta06742g</v>
      </c>
      <c r="BG501" t="s">
        <v>74</v>
      </c>
      <c r="BH501" t="s">
        <v>4415</v>
      </c>
      <c r="BI501" t="s">
        <v>74</v>
      </c>
      <c r="BJ501" t="s">
        <v>74</v>
      </c>
      <c r="BK501" t="s">
        <v>74</v>
      </c>
      <c r="BL501" t="s">
        <v>74</v>
      </c>
      <c r="BM501" t="s">
        <v>74</v>
      </c>
      <c r="BN501" t="s">
        <v>74</v>
      </c>
      <c r="BO501" t="s">
        <v>74</v>
      </c>
      <c r="BP501" t="s">
        <v>74</v>
      </c>
      <c r="BQ501" t="s">
        <v>74</v>
      </c>
      <c r="BR501" t="s">
        <v>74</v>
      </c>
      <c r="BS501" t="s">
        <v>4449</v>
      </c>
      <c r="BT501" t="str">
        <f>HYPERLINK("https%3A%2F%2Fwww.webofscience.com%2Fwos%2Fwoscc%2Ffull-record%2FWOS:000714141800001","View Full Record in Web of Science")</f>
        <v>View Full Record in Web of Science</v>
      </c>
    </row>
    <row r="502" spans="1:72" x14ac:dyDescent="0.2">
      <c r="A502" t="s">
        <v>72</v>
      </c>
      <c r="B502" t="s">
        <v>4450</v>
      </c>
      <c r="C502" t="s">
        <v>74</v>
      </c>
      <c r="D502" t="s">
        <v>74</v>
      </c>
      <c r="E502" t="s">
        <v>74</v>
      </c>
      <c r="F502" t="s">
        <v>4451</v>
      </c>
      <c r="G502" t="s">
        <v>74</v>
      </c>
      <c r="H502" t="s">
        <v>74</v>
      </c>
      <c r="I502" t="s">
        <v>4452</v>
      </c>
      <c r="J502" t="s">
        <v>4453</v>
      </c>
      <c r="K502" t="s">
        <v>74</v>
      </c>
      <c r="L502" t="s">
        <v>74</v>
      </c>
      <c r="M502" t="s">
        <v>74</v>
      </c>
      <c r="N502" t="s">
        <v>74</v>
      </c>
      <c r="O502" t="s">
        <v>74</v>
      </c>
      <c r="P502" t="s">
        <v>74</v>
      </c>
      <c r="Q502" t="s">
        <v>74</v>
      </c>
      <c r="R502" t="s">
        <v>74</v>
      </c>
      <c r="S502" t="s">
        <v>74</v>
      </c>
      <c r="T502" t="s">
        <v>74</v>
      </c>
      <c r="U502" t="s">
        <v>74</v>
      </c>
      <c r="V502" t="s">
        <v>4454</v>
      </c>
      <c r="W502" t="s">
        <v>74</v>
      </c>
      <c r="X502" t="s">
        <v>74</v>
      </c>
      <c r="Y502" t="s">
        <v>74</v>
      </c>
      <c r="Z502" t="s">
        <v>74</v>
      </c>
      <c r="AA502" t="s">
        <v>4455</v>
      </c>
      <c r="AB502" t="s">
        <v>74</v>
      </c>
      <c r="AC502" t="s">
        <v>74</v>
      </c>
      <c r="AD502" t="s">
        <v>74</v>
      </c>
      <c r="AE502" t="s">
        <v>74</v>
      </c>
      <c r="AF502" t="s">
        <v>74</v>
      </c>
      <c r="AG502" t="s">
        <v>74</v>
      </c>
      <c r="AH502" t="s">
        <v>74</v>
      </c>
      <c r="AI502" t="s">
        <v>74</v>
      </c>
      <c r="AJ502" t="s">
        <v>74</v>
      </c>
      <c r="AK502" t="s">
        <v>74</v>
      </c>
      <c r="AL502" t="s">
        <v>74</v>
      </c>
      <c r="AM502" t="s">
        <v>74</v>
      </c>
      <c r="AN502" t="s">
        <v>74</v>
      </c>
      <c r="AO502" t="s">
        <v>4456</v>
      </c>
      <c r="AP502" t="s">
        <v>74</v>
      </c>
      <c r="AQ502" t="s">
        <v>74</v>
      </c>
      <c r="AR502" t="s">
        <v>74</v>
      </c>
      <c r="AS502" t="s">
        <v>74</v>
      </c>
      <c r="AT502" t="s">
        <v>1318</v>
      </c>
      <c r="AU502">
        <v>2021</v>
      </c>
      <c r="AV502">
        <v>22</v>
      </c>
      <c r="AW502" t="s">
        <v>74</v>
      </c>
      <c r="AX502" t="s">
        <v>74</v>
      </c>
      <c r="AY502" t="s">
        <v>74</v>
      </c>
      <c r="AZ502" t="s">
        <v>74</v>
      </c>
      <c r="BA502" t="s">
        <v>74</v>
      </c>
      <c r="BB502" t="s">
        <v>74</v>
      </c>
      <c r="BC502" t="s">
        <v>74</v>
      </c>
      <c r="BD502">
        <v>100565</v>
      </c>
      <c r="BE502" t="s">
        <v>4457</v>
      </c>
      <c r="BF502" t="str">
        <f>HYPERLINK("http://dx.doi.org/10.1016/j.mtchem.2021.100565","http://dx.doi.org/10.1016/j.mtchem.2021.100565")</f>
        <v>http://dx.doi.org/10.1016/j.mtchem.2021.100565</v>
      </c>
      <c r="BG502" t="s">
        <v>74</v>
      </c>
      <c r="BH502" t="s">
        <v>4415</v>
      </c>
      <c r="BI502" t="s">
        <v>74</v>
      </c>
      <c r="BJ502" t="s">
        <v>74</v>
      </c>
      <c r="BK502" t="s">
        <v>74</v>
      </c>
      <c r="BL502" t="s">
        <v>74</v>
      </c>
      <c r="BM502" t="s">
        <v>74</v>
      </c>
      <c r="BN502" t="s">
        <v>74</v>
      </c>
      <c r="BO502" t="s">
        <v>74</v>
      </c>
      <c r="BP502" t="s">
        <v>74</v>
      </c>
      <c r="BQ502" t="s">
        <v>74</v>
      </c>
      <c r="BR502" t="s">
        <v>74</v>
      </c>
      <c r="BS502" t="s">
        <v>4458</v>
      </c>
      <c r="BT502" t="str">
        <f>HYPERLINK("https%3A%2F%2Fwww.webofscience.com%2Fwos%2Fwoscc%2Ffull-record%2FWOS:000708856900012","View Full Record in Web of Science")</f>
        <v>View Full Record in Web of Science</v>
      </c>
    </row>
    <row r="503" spans="1:72" x14ac:dyDescent="0.2">
      <c r="A503" t="s">
        <v>72</v>
      </c>
      <c r="B503" t="s">
        <v>4459</v>
      </c>
      <c r="C503" t="s">
        <v>74</v>
      </c>
      <c r="D503" t="s">
        <v>74</v>
      </c>
      <c r="E503" t="s">
        <v>74</v>
      </c>
      <c r="F503" t="s">
        <v>4460</v>
      </c>
      <c r="G503" t="s">
        <v>74</v>
      </c>
      <c r="H503" t="s">
        <v>74</v>
      </c>
      <c r="I503" t="s">
        <v>4461</v>
      </c>
      <c r="J503" t="s">
        <v>654</v>
      </c>
      <c r="K503" t="s">
        <v>74</v>
      </c>
      <c r="L503" t="s">
        <v>74</v>
      </c>
      <c r="M503" t="s">
        <v>74</v>
      </c>
      <c r="N503" t="s">
        <v>74</v>
      </c>
      <c r="O503" t="s">
        <v>74</v>
      </c>
      <c r="P503" t="s">
        <v>74</v>
      </c>
      <c r="Q503" t="s">
        <v>74</v>
      </c>
      <c r="R503" t="s">
        <v>74</v>
      </c>
      <c r="S503" t="s">
        <v>74</v>
      </c>
      <c r="T503" t="s">
        <v>74</v>
      </c>
      <c r="U503" t="s">
        <v>74</v>
      </c>
      <c r="V503" t="s">
        <v>4462</v>
      </c>
      <c r="W503" t="s">
        <v>74</v>
      </c>
      <c r="X503" t="s">
        <v>74</v>
      </c>
      <c r="Y503" t="s">
        <v>74</v>
      </c>
      <c r="Z503" t="s">
        <v>74</v>
      </c>
      <c r="AA503" t="s">
        <v>4463</v>
      </c>
      <c r="AB503" t="s">
        <v>4464</v>
      </c>
      <c r="AC503" t="s">
        <v>74</v>
      </c>
      <c r="AD503" t="s">
        <v>74</v>
      </c>
      <c r="AE503" t="s">
        <v>74</v>
      </c>
      <c r="AF503" t="s">
        <v>74</v>
      </c>
      <c r="AG503" t="s">
        <v>74</v>
      </c>
      <c r="AH503" t="s">
        <v>74</v>
      </c>
      <c r="AI503" t="s">
        <v>74</v>
      </c>
      <c r="AJ503" t="s">
        <v>74</v>
      </c>
      <c r="AK503" t="s">
        <v>74</v>
      </c>
      <c r="AL503" t="s">
        <v>74</v>
      </c>
      <c r="AM503" t="s">
        <v>74</v>
      </c>
      <c r="AN503" t="s">
        <v>74</v>
      </c>
      <c r="AO503" t="s">
        <v>657</v>
      </c>
      <c r="AP503" t="s">
        <v>658</v>
      </c>
      <c r="AQ503" t="s">
        <v>74</v>
      </c>
      <c r="AR503" t="s">
        <v>74</v>
      </c>
      <c r="AS503" t="s">
        <v>74</v>
      </c>
      <c r="AT503" t="s">
        <v>3605</v>
      </c>
      <c r="AU503">
        <v>2021</v>
      </c>
      <c r="AV503">
        <v>21</v>
      </c>
      <c r="AW503">
        <v>19</v>
      </c>
      <c r="AX503" t="s">
        <v>74</v>
      </c>
      <c r="AY503" t="s">
        <v>74</v>
      </c>
      <c r="AZ503" t="s">
        <v>74</v>
      </c>
      <c r="BA503" t="s">
        <v>74</v>
      </c>
      <c r="BB503">
        <v>8447</v>
      </c>
      <c r="BC503">
        <v>8454</v>
      </c>
      <c r="BD503" t="s">
        <v>74</v>
      </c>
      <c r="BE503" t="s">
        <v>4465</v>
      </c>
      <c r="BF503" t="str">
        <f>HYPERLINK("http://dx.doi.org/10.1021/acs.nanolett.1c03106","http://dx.doi.org/10.1021/acs.nanolett.1c03106")</f>
        <v>http://dx.doi.org/10.1021/acs.nanolett.1c03106</v>
      </c>
      <c r="BG503" t="s">
        <v>74</v>
      </c>
      <c r="BH503" t="s">
        <v>4466</v>
      </c>
      <c r="BI503" t="s">
        <v>74</v>
      </c>
      <c r="BJ503" t="s">
        <v>74</v>
      </c>
      <c r="BK503" t="s">
        <v>74</v>
      </c>
      <c r="BL503" t="s">
        <v>74</v>
      </c>
      <c r="BM503" t="s">
        <v>74</v>
      </c>
      <c r="BN503">
        <v>34591497</v>
      </c>
      <c r="BO503" t="s">
        <v>74</v>
      </c>
      <c r="BP503" t="s">
        <v>74</v>
      </c>
      <c r="BQ503" t="s">
        <v>74</v>
      </c>
      <c r="BR503" t="s">
        <v>74</v>
      </c>
      <c r="BS503" t="s">
        <v>4467</v>
      </c>
      <c r="BT503" t="str">
        <f>HYPERLINK("https%3A%2F%2Fwww.webofscience.com%2Fwos%2Fwoscc%2Ffull-record%2FWOS:000709549100071","View Full Record in Web of Science")</f>
        <v>View Full Record in Web of Science</v>
      </c>
    </row>
    <row r="504" spans="1:72" x14ac:dyDescent="0.2">
      <c r="A504" t="s">
        <v>72</v>
      </c>
      <c r="B504" t="s">
        <v>4468</v>
      </c>
      <c r="C504" t="s">
        <v>74</v>
      </c>
      <c r="D504" t="s">
        <v>74</v>
      </c>
      <c r="E504" t="s">
        <v>74</v>
      </c>
      <c r="F504" t="s">
        <v>4469</v>
      </c>
      <c r="G504" t="s">
        <v>74</v>
      </c>
      <c r="H504" t="s">
        <v>74</v>
      </c>
      <c r="I504" t="s">
        <v>4470</v>
      </c>
      <c r="J504" t="s">
        <v>151</v>
      </c>
      <c r="K504" t="s">
        <v>74</v>
      </c>
      <c r="L504" t="s">
        <v>74</v>
      </c>
      <c r="M504" t="s">
        <v>74</v>
      </c>
      <c r="N504" t="s">
        <v>74</v>
      </c>
      <c r="O504" t="s">
        <v>74</v>
      </c>
      <c r="P504" t="s">
        <v>74</v>
      </c>
      <c r="Q504" t="s">
        <v>74</v>
      </c>
      <c r="R504" t="s">
        <v>74</v>
      </c>
      <c r="S504" t="s">
        <v>74</v>
      </c>
      <c r="T504" t="s">
        <v>74</v>
      </c>
      <c r="U504" t="s">
        <v>74</v>
      </c>
      <c r="V504" t="s">
        <v>4471</v>
      </c>
      <c r="W504" t="s">
        <v>74</v>
      </c>
      <c r="X504" t="s">
        <v>74</v>
      </c>
      <c r="Y504" t="s">
        <v>74</v>
      </c>
      <c r="Z504" t="s">
        <v>74</v>
      </c>
      <c r="AA504" t="s">
        <v>4472</v>
      </c>
      <c r="AB504" t="s">
        <v>4473</v>
      </c>
      <c r="AC504" t="s">
        <v>74</v>
      </c>
      <c r="AD504" t="s">
        <v>74</v>
      </c>
      <c r="AE504" t="s">
        <v>74</v>
      </c>
      <c r="AF504" t="s">
        <v>74</v>
      </c>
      <c r="AG504" t="s">
        <v>74</v>
      </c>
      <c r="AH504" t="s">
        <v>74</v>
      </c>
      <c r="AI504" t="s">
        <v>74</v>
      </c>
      <c r="AJ504" t="s">
        <v>74</v>
      </c>
      <c r="AK504" t="s">
        <v>74</v>
      </c>
      <c r="AL504" t="s">
        <v>74</v>
      </c>
      <c r="AM504" t="s">
        <v>74</v>
      </c>
      <c r="AN504" t="s">
        <v>74</v>
      </c>
      <c r="AO504" t="s">
        <v>153</v>
      </c>
      <c r="AP504" t="s">
        <v>74</v>
      </c>
      <c r="AQ504" t="s">
        <v>74</v>
      </c>
      <c r="AR504" t="s">
        <v>74</v>
      </c>
      <c r="AS504" t="s">
        <v>74</v>
      </c>
      <c r="AT504" t="s">
        <v>1318</v>
      </c>
      <c r="AU504">
        <v>2021</v>
      </c>
      <c r="AV504">
        <v>43</v>
      </c>
      <c r="AW504" t="s">
        <v>74</v>
      </c>
      <c r="AX504" t="s">
        <v>74</v>
      </c>
      <c r="AY504" t="s">
        <v>74</v>
      </c>
      <c r="AZ504" t="s">
        <v>74</v>
      </c>
      <c r="BA504" t="s">
        <v>74</v>
      </c>
      <c r="BB504">
        <v>358</v>
      </c>
      <c r="BC504">
        <v>364</v>
      </c>
      <c r="BD504" t="s">
        <v>74</v>
      </c>
      <c r="BE504" t="s">
        <v>4474</v>
      </c>
      <c r="BF504" t="str">
        <f>HYPERLINK("http://dx.doi.org/10.1016/j.ensm.2021.09.019","http://dx.doi.org/10.1016/j.ensm.2021.09.019")</f>
        <v>http://dx.doi.org/10.1016/j.ensm.2021.09.019</v>
      </c>
      <c r="BG504" t="s">
        <v>74</v>
      </c>
      <c r="BH504" t="s">
        <v>4466</v>
      </c>
      <c r="BI504" t="s">
        <v>74</v>
      </c>
      <c r="BJ504" t="s">
        <v>74</v>
      </c>
      <c r="BK504" t="s">
        <v>74</v>
      </c>
      <c r="BL504" t="s">
        <v>74</v>
      </c>
      <c r="BM504" t="s">
        <v>74</v>
      </c>
      <c r="BN504" t="s">
        <v>74</v>
      </c>
      <c r="BO504" t="s">
        <v>74</v>
      </c>
      <c r="BP504" t="s">
        <v>74</v>
      </c>
      <c r="BQ504" t="s">
        <v>74</v>
      </c>
      <c r="BR504" t="s">
        <v>74</v>
      </c>
      <c r="BS504" t="s">
        <v>4475</v>
      </c>
      <c r="BT504" t="str">
        <f>HYPERLINK("https%3A%2F%2Fwww.webofscience.com%2Fwos%2Fwoscc%2Ffull-record%2FWOS:000709762700001","View Full Record in Web of Science")</f>
        <v>View Full Record in Web of Science</v>
      </c>
    </row>
    <row r="505" spans="1:72" x14ac:dyDescent="0.2">
      <c r="A505" t="s">
        <v>72</v>
      </c>
      <c r="B505" t="s">
        <v>4476</v>
      </c>
      <c r="C505" t="s">
        <v>74</v>
      </c>
      <c r="D505" t="s">
        <v>74</v>
      </c>
      <c r="E505" t="s">
        <v>74</v>
      </c>
      <c r="F505" t="s">
        <v>4477</v>
      </c>
      <c r="G505" t="s">
        <v>74</v>
      </c>
      <c r="H505" t="s">
        <v>74</v>
      </c>
      <c r="I505" t="s">
        <v>4478</v>
      </c>
      <c r="J505" t="s">
        <v>422</v>
      </c>
      <c r="K505" t="s">
        <v>74</v>
      </c>
      <c r="L505" t="s">
        <v>74</v>
      </c>
      <c r="M505" t="s">
        <v>74</v>
      </c>
      <c r="N505" t="s">
        <v>74</v>
      </c>
      <c r="O505" t="s">
        <v>74</v>
      </c>
      <c r="P505" t="s">
        <v>74</v>
      </c>
      <c r="Q505" t="s">
        <v>74</v>
      </c>
      <c r="R505" t="s">
        <v>74</v>
      </c>
      <c r="S505" t="s">
        <v>74</v>
      </c>
      <c r="T505" t="s">
        <v>74</v>
      </c>
      <c r="U505" t="s">
        <v>74</v>
      </c>
      <c r="V505" t="s">
        <v>4479</v>
      </c>
      <c r="W505" t="s">
        <v>74</v>
      </c>
      <c r="X505" t="s">
        <v>74</v>
      </c>
      <c r="Y505" t="s">
        <v>74</v>
      </c>
      <c r="Z505" t="s">
        <v>74</v>
      </c>
      <c r="AA505" t="s">
        <v>4480</v>
      </c>
      <c r="AB505" t="s">
        <v>4481</v>
      </c>
      <c r="AC505" t="s">
        <v>74</v>
      </c>
      <c r="AD505" t="s">
        <v>74</v>
      </c>
      <c r="AE505" t="s">
        <v>74</v>
      </c>
      <c r="AF505" t="s">
        <v>74</v>
      </c>
      <c r="AG505" t="s">
        <v>74</v>
      </c>
      <c r="AH505" t="s">
        <v>74</v>
      </c>
      <c r="AI505" t="s">
        <v>74</v>
      </c>
      <c r="AJ505" t="s">
        <v>74</v>
      </c>
      <c r="AK505" t="s">
        <v>74</v>
      </c>
      <c r="AL505" t="s">
        <v>74</v>
      </c>
      <c r="AM505" t="s">
        <v>74</v>
      </c>
      <c r="AN505" t="s">
        <v>74</v>
      </c>
      <c r="AO505" t="s">
        <v>426</v>
      </c>
      <c r="AP505" t="s">
        <v>74</v>
      </c>
      <c r="AQ505" t="s">
        <v>74</v>
      </c>
      <c r="AR505" t="s">
        <v>74</v>
      </c>
      <c r="AS505" t="s">
        <v>74</v>
      </c>
      <c r="AT505" t="s">
        <v>2748</v>
      </c>
      <c r="AU505">
        <v>2021</v>
      </c>
      <c r="AV505">
        <v>4</v>
      </c>
      <c r="AW505">
        <v>10</v>
      </c>
      <c r="AX505" t="s">
        <v>74</v>
      </c>
      <c r="AY505" t="s">
        <v>74</v>
      </c>
      <c r="AZ505" t="s">
        <v>74</v>
      </c>
      <c r="BA505" t="s">
        <v>74</v>
      </c>
      <c r="BB505">
        <v>11051</v>
      </c>
      <c r="BC505">
        <v>11061</v>
      </c>
      <c r="BD505" t="s">
        <v>74</v>
      </c>
      <c r="BE505" t="s">
        <v>4482</v>
      </c>
      <c r="BF505" t="str">
        <f>HYPERLINK("http://dx.doi.org/10.1021/acsaem.1c01977","http://dx.doi.org/10.1021/acsaem.1c01977")</f>
        <v>http://dx.doi.org/10.1021/acsaem.1c01977</v>
      </c>
      <c r="BG505" t="s">
        <v>74</v>
      </c>
      <c r="BH505" t="s">
        <v>4466</v>
      </c>
      <c r="BI505" t="s">
        <v>74</v>
      </c>
      <c r="BJ505" t="s">
        <v>74</v>
      </c>
      <c r="BK505" t="s">
        <v>74</v>
      </c>
      <c r="BL505" t="s">
        <v>74</v>
      </c>
      <c r="BM505" t="s">
        <v>74</v>
      </c>
      <c r="BN505" t="s">
        <v>74</v>
      </c>
      <c r="BO505" t="s">
        <v>74</v>
      </c>
      <c r="BP505" t="s">
        <v>74</v>
      </c>
      <c r="BQ505" t="s">
        <v>74</v>
      </c>
      <c r="BR505" t="s">
        <v>74</v>
      </c>
      <c r="BS505" t="s">
        <v>4483</v>
      </c>
      <c r="BT505" t="str">
        <f>HYPERLINK("https%3A%2F%2Fwww.webofscience.com%2Fwos%2Fwoscc%2Ffull-record%2FWOS:000711236300066","View Full Record in Web of Science")</f>
        <v>View Full Record in Web of Science</v>
      </c>
    </row>
    <row r="506" spans="1:72" x14ac:dyDescent="0.2">
      <c r="A506" t="s">
        <v>72</v>
      </c>
      <c r="B506" t="s">
        <v>4484</v>
      </c>
      <c r="C506" t="s">
        <v>74</v>
      </c>
      <c r="D506" t="s">
        <v>74</v>
      </c>
      <c r="E506" t="s">
        <v>74</v>
      </c>
      <c r="F506" t="s">
        <v>4485</v>
      </c>
      <c r="G506" t="s">
        <v>74</v>
      </c>
      <c r="H506" t="s">
        <v>74</v>
      </c>
      <c r="I506" t="s">
        <v>4486</v>
      </c>
      <c r="J506" t="s">
        <v>411</v>
      </c>
      <c r="K506" t="s">
        <v>74</v>
      </c>
      <c r="L506" t="s">
        <v>74</v>
      </c>
      <c r="M506" t="s">
        <v>74</v>
      </c>
      <c r="N506" t="s">
        <v>74</v>
      </c>
      <c r="O506" t="s">
        <v>74</v>
      </c>
      <c r="P506" t="s">
        <v>74</v>
      </c>
      <c r="Q506" t="s">
        <v>74</v>
      </c>
      <c r="R506" t="s">
        <v>74</v>
      </c>
      <c r="S506" t="s">
        <v>74</v>
      </c>
      <c r="T506" t="s">
        <v>74</v>
      </c>
      <c r="U506" t="s">
        <v>74</v>
      </c>
      <c r="V506" t="s">
        <v>4487</v>
      </c>
      <c r="W506" t="s">
        <v>74</v>
      </c>
      <c r="X506" t="s">
        <v>74</v>
      </c>
      <c r="Y506" t="s">
        <v>74</v>
      </c>
      <c r="Z506" t="s">
        <v>74</v>
      </c>
      <c r="AA506" t="s">
        <v>4488</v>
      </c>
      <c r="AB506" t="s">
        <v>4489</v>
      </c>
      <c r="AC506" t="s">
        <v>74</v>
      </c>
      <c r="AD506" t="s">
        <v>74</v>
      </c>
      <c r="AE506" t="s">
        <v>74</v>
      </c>
      <c r="AF506" t="s">
        <v>74</v>
      </c>
      <c r="AG506" t="s">
        <v>74</v>
      </c>
      <c r="AH506" t="s">
        <v>74</v>
      </c>
      <c r="AI506" t="s">
        <v>74</v>
      </c>
      <c r="AJ506" t="s">
        <v>74</v>
      </c>
      <c r="AK506" t="s">
        <v>74</v>
      </c>
      <c r="AL506" t="s">
        <v>74</v>
      </c>
      <c r="AM506" t="s">
        <v>74</v>
      </c>
      <c r="AN506" t="s">
        <v>74</v>
      </c>
      <c r="AO506" t="s">
        <v>414</v>
      </c>
      <c r="AP506" t="s">
        <v>415</v>
      </c>
      <c r="AQ506" t="s">
        <v>74</v>
      </c>
      <c r="AR506" t="s">
        <v>74</v>
      </c>
      <c r="AS506" t="s">
        <v>74</v>
      </c>
      <c r="AT506" t="s">
        <v>113</v>
      </c>
      <c r="AU506">
        <v>2021</v>
      </c>
      <c r="AV506">
        <v>17</v>
      </c>
      <c r="AW506">
        <v>41</v>
      </c>
      <c r="AX506" t="s">
        <v>74</v>
      </c>
      <c r="AY506" t="s">
        <v>74</v>
      </c>
      <c r="AZ506" t="s">
        <v>74</v>
      </c>
      <c r="BA506" t="s">
        <v>74</v>
      </c>
      <c r="BB506" t="s">
        <v>74</v>
      </c>
      <c r="BC506" t="s">
        <v>74</v>
      </c>
      <c r="BD506">
        <v>2102454</v>
      </c>
      <c r="BE506" t="s">
        <v>4490</v>
      </c>
      <c r="BF506" t="str">
        <f>HYPERLINK("http://dx.doi.org/10.1002/smll.202102454","http://dx.doi.org/10.1002/smll.202102454")</f>
        <v>http://dx.doi.org/10.1002/smll.202102454</v>
      </c>
      <c r="BG506" t="s">
        <v>74</v>
      </c>
      <c r="BH506" t="s">
        <v>4466</v>
      </c>
      <c r="BI506" t="s">
        <v>74</v>
      </c>
      <c r="BJ506" t="s">
        <v>74</v>
      </c>
      <c r="BK506" t="s">
        <v>74</v>
      </c>
      <c r="BL506" t="s">
        <v>74</v>
      </c>
      <c r="BM506" t="s">
        <v>74</v>
      </c>
      <c r="BN506">
        <v>34514698</v>
      </c>
      <c r="BO506" t="s">
        <v>74</v>
      </c>
      <c r="BP506" t="s">
        <v>74</v>
      </c>
      <c r="BQ506" t="s">
        <v>74</v>
      </c>
      <c r="BR506" t="s">
        <v>74</v>
      </c>
      <c r="BS506" t="s">
        <v>4491</v>
      </c>
      <c r="BT506" t="str">
        <f>HYPERLINK("https%3A%2F%2Fwww.webofscience.com%2Fwos%2Fwoscc%2Ffull-record%2FWOS:000695135400001","View Full Record in Web of Science")</f>
        <v>View Full Record in Web of Science</v>
      </c>
    </row>
    <row r="507" spans="1:72" x14ac:dyDescent="0.2">
      <c r="A507" t="s">
        <v>72</v>
      </c>
      <c r="B507" t="s">
        <v>4492</v>
      </c>
      <c r="C507" t="s">
        <v>74</v>
      </c>
      <c r="D507" t="s">
        <v>74</v>
      </c>
      <c r="E507" t="s">
        <v>74</v>
      </c>
      <c r="F507" t="s">
        <v>4493</v>
      </c>
      <c r="G507" t="s">
        <v>74</v>
      </c>
      <c r="H507" t="s">
        <v>74</v>
      </c>
      <c r="I507" t="s">
        <v>4494</v>
      </c>
      <c r="J507" t="s">
        <v>754</v>
      </c>
      <c r="K507" t="s">
        <v>74</v>
      </c>
      <c r="L507" t="s">
        <v>74</v>
      </c>
      <c r="M507" t="s">
        <v>74</v>
      </c>
      <c r="N507" t="s">
        <v>74</v>
      </c>
      <c r="O507" t="s">
        <v>74</v>
      </c>
      <c r="P507" t="s">
        <v>74</v>
      </c>
      <c r="Q507" t="s">
        <v>74</v>
      </c>
      <c r="R507" t="s">
        <v>74</v>
      </c>
      <c r="S507" t="s">
        <v>74</v>
      </c>
      <c r="T507" t="s">
        <v>74</v>
      </c>
      <c r="U507" t="s">
        <v>74</v>
      </c>
      <c r="V507" t="s">
        <v>4495</v>
      </c>
      <c r="W507" t="s">
        <v>74</v>
      </c>
      <c r="X507" t="s">
        <v>74</v>
      </c>
      <c r="Y507" t="s">
        <v>74</v>
      </c>
      <c r="Z507" t="s">
        <v>74</v>
      </c>
      <c r="AA507" t="s">
        <v>4496</v>
      </c>
      <c r="AB507" t="s">
        <v>74</v>
      </c>
      <c r="AC507" t="s">
        <v>74</v>
      </c>
      <c r="AD507" t="s">
        <v>74</v>
      </c>
      <c r="AE507" t="s">
        <v>74</v>
      </c>
      <c r="AF507" t="s">
        <v>74</v>
      </c>
      <c r="AG507" t="s">
        <v>74</v>
      </c>
      <c r="AH507" t="s">
        <v>74</v>
      </c>
      <c r="AI507" t="s">
        <v>74</v>
      </c>
      <c r="AJ507" t="s">
        <v>74</v>
      </c>
      <c r="AK507" t="s">
        <v>74</v>
      </c>
      <c r="AL507" t="s">
        <v>74</v>
      </c>
      <c r="AM507" t="s">
        <v>74</v>
      </c>
      <c r="AN507" t="s">
        <v>74</v>
      </c>
      <c r="AO507" t="s">
        <v>757</v>
      </c>
      <c r="AP507" t="s">
        <v>758</v>
      </c>
      <c r="AQ507" t="s">
        <v>74</v>
      </c>
      <c r="AR507" t="s">
        <v>74</v>
      </c>
      <c r="AS507" t="s">
        <v>74</v>
      </c>
      <c r="AT507" t="s">
        <v>103</v>
      </c>
      <c r="AU507">
        <v>2021</v>
      </c>
      <c r="AV507">
        <v>899</v>
      </c>
      <c r="AW507" t="s">
        <v>74</v>
      </c>
      <c r="AX507" t="s">
        <v>74</v>
      </c>
      <c r="AY507" t="s">
        <v>74</v>
      </c>
      <c r="AZ507" t="s">
        <v>74</v>
      </c>
      <c r="BA507" t="s">
        <v>74</v>
      </c>
      <c r="BB507" t="s">
        <v>74</v>
      </c>
      <c r="BC507" t="s">
        <v>74</v>
      </c>
      <c r="BD507">
        <v>115682</v>
      </c>
      <c r="BE507" t="s">
        <v>4497</v>
      </c>
      <c r="BF507" t="str">
        <f>HYPERLINK("http://dx.doi.org/10.1016/j.jelechem.2021.115682","http://dx.doi.org/10.1016/j.jelechem.2021.115682")</f>
        <v>http://dx.doi.org/10.1016/j.jelechem.2021.115682</v>
      </c>
      <c r="BG507" t="s">
        <v>74</v>
      </c>
      <c r="BH507" t="s">
        <v>4466</v>
      </c>
      <c r="BI507" t="s">
        <v>74</v>
      </c>
      <c r="BJ507" t="s">
        <v>74</v>
      </c>
      <c r="BK507" t="s">
        <v>74</v>
      </c>
      <c r="BL507" t="s">
        <v>74</v>
      </c>
      <c r="BM507" t="s">
        <v>74</v>
      </c>
      <c r="BN507" t="s">
        <v>74</v>
      </c>
      <c r="BO507" t="s">
        <v>74</v>
      </c>
      <c r="BP507" t="s">
        <v>74</v>
      </c>
      <c r="BQ507" t="s">
        <v>74</v>
      </c>
      <c r="BR507" t="s">
        <v>74</v>
      </c>
      <c r="BS507" t="s">
        <v>4498</v>
      </c>
      <c r="BT507" t="str">
        <f>HYPERLINK("https%3A%2F%2Fwww.webofscience.com%2Fwos%2Fwoscc%2Ffull-record%2FWOS:000696964200004","View Full Record in Web of Science")</f>
        <v>View Full Record in Web of Science</v>
      </c>
    </row>
    <row r="508" spans="1:72" x14ac:dyDescent="0.2">
      <c r="A508" t="s">
        <v>72</v>
      </c>
      <c r="B508" t="s">
        <v>4499</v>
      </c>
      <c r="C508" t="s">
        <v>74</v>
      </c>
      <c r="D508" t="s">
        <v>74</v>
      </c>
      <c r="E508" t="s">
        <v>74</v>
      </c>
      <c r="F508" t="s">
        <v>4500</v>
      </c>
      <c r="G508" t="s">
        <v>74</v>
      </c>
      <c r="H508" t="s">
        <v>74</v>
      </c>
      <c r="I508" t="s">
        <v>4501</v>
      </c>
      <c r="J508" t="s">
        <v>231</v>
      </c>
      <c r="K508" t="s">
        <v>74</v>
      </c>
      <c r="L508" t="s">
        <v>74</v>
      </c>
      <c r="M508" t="s">
        <v>74</v>
      </c>
      <c r="N508" t="s">
        <v>74</v>
      </c>
      <c r="O508" t="s">
        <v>74</v>
      </c>
      <c r="P508" t="s">
        <v>74</v>
      </c>
      <c r="Q508" t="s">
        <v>74</v>
      </c>
      <c r="R508" t="s">
        <v>74</v>
      </c>
      <c r="S508" t="s">
        <v>74</v>
      </c>
      <c r="T508" t="s">
        <v>74</v>
      </c>
      <c r="U508" t="s">
        <v>74</v>
      </c>
      <c r="V508" t="s">
        <v>4502</v>
      </c>
      <c r="W508" t="s">
        <v>74</v>
      </c>
      <c r="X508" t="s">
        <v>74</v>
      </c>
      <c r="Y508" t="s">
        <v>74</v>
      </c>
      <c r="Z508" t="s">
        <v>74</v>
      </c>
      <c r="AA508" t="s">
        <v>4503</v>
      </c>
      <c r="AB508" t="s">
        <v>4504</v>
      </c>
      <c r="AC508" t="s">
        <v>74</v>
      </c>
      <c r="AD508" t="s">
        <v>74</v>
      </c>
      <c r="AE508" t="s">
        <v>74</v>
      </c>
      <c r="AF508" t="s">
        <v>74</v>
      </c>
      <c r="AG508" t="s">
        <v>74</v>
      </c>
      <c r="AH508" t="s">
        <v>74</v>
      </c>
      <c r="AI508" t="s">
        <v>74</v>
      </c>
      <c r="AJ508" t="s">
        <v>74</v>
      </c>
      <c r="AK508" t="s">
        <v>74</v>
      </c>
      <c r="AL508" t="s">
        <v>74</v>
      </c>
      <c r="AM508" t="s">
        <v>74</v>
      </c>
      <c r="AN508" t="s">
        <v>74</v>
      </c>
      <c r="AO508" t="s">
        <v>1363</v>
      </c>
      <c r="AP508" t="s">
        <v>234</v>
      </c>
      <c r="AQ508" t="s">
        <v>74</v>
      </c>
      <c r="AR508" t="s">
        <v>74</v>
      </c>
      <c r="AS508" t="s">
        <v>74</v>
      </c>
      <c r="AT508" t="s">
        <v>4505</v>
      </c>
      <c r="AU508">
        <v>2021</v>
      </c>
      <c r="AV508">
        <v>60</v>
      </c>
      <c r="AW508">
        <v>42</v>
      </c>
      <c r="AX508" t="s">
        <v>74</v>
      </c>
      <c r="AY508" t="s">
        <v>74</v>
      </c>
      <c r="AZ508" t="s">
        <v>74</v>
      </c>
      <c r="BA508" t="s">
        <v>74</v>
      </c>
      <c r="BB508">
        <v>22683</v>
      </c>
      <c r="BC508">
        <v>22687</v>
      </c>
      <c r="BD508" t="s">
        <v>74</v>
      </c>
      <c r="BE508" t="s">
        <v>4506</v>
      </c>
      <c r="BF508" t="str">
        <f>HYPERLINK("http://dx.doi.org/10.1002/anie.202107732","http://dx.doi.org/10.1002/anie.202107732")</f>
        <v>http://dx.doi.org/10.1002/anie.202107732</v>
      </c>
      <c r="BG508" t="s">
        <v>74</v>
      </c>
      <c r="BH508" t="s">
        <v>4466</v>
      </c>
      <c r="BI508" t="s">
        <v>74</v>
      </c>
      <c r="BJ508" t="s">
        <v>74</v>
      </c>
      <c r="BK508" t="s">
        <v>74</v>
      </c>
      <c r="BL508" t="s">
        <v>74</v>
      </c>
      <c r="BM508" t="s">
        <v>74</v>
      </c>
      <c r="BN508">
        <v>34399018</v>
      </c>
      <c r="BO508" t="s">
        <v>74</v>
      </c>
      <c r="BP508" t="s">
        <v>74</v>
      </c>
      <c r="BQ508" t="s">
        <v>74</v>
      </c>
      <c r="BR508" t="s">
        <v>74</v>
      </c>
      <c r="BS508" t="s">
        <v>4507</v>
      </c>
      <c r="BT508" t="str">
        <f>HYPERLINK("https%3A%2F%2Fwww.webofscience.com%2Fwos%2Fwoscc%2Ffull-record%2FWOS:000695459100001","View Full Record in Web of Science")</f>
        <v>View Full Record in Web of Science</v>
      </c>
    </row>
    <row r="509" spans="1:72" x14ac:dyDescent="0.2">
      <c r="A509" t="s">
        <v>72</v>
      </c>
      <c r="B509" t="s">
        <v>4508</v>
      </c>
      <c r="C509" t="s">
        <v>74</v>
      </c>
      <c r="D509" t="s">
        <v>74</v>
      </c>
      <c r="E509" t="s">
        <v>74</v>
      </c>
      <c r="F509" t="s">
        <v>4509</v>
      </c>
      <c r="G509" t="s">
        <v>74</v>
      </c>
      <c r="H509" t="s">
        <v>74</v>
      </c>
      <c r="I509" t="s">
        <v>4510</v>
      </c>
      <c r="J509" t="s">
        <v>1658</v>
      </c>
      <c r="K509" t="s">
        <v>74</v>
      </c>
      <c r="L509" t="s">
        <v>74</v>
      </c>
      <c r="M509" t="s">
        <v>74</v>
      </c>
      <c r="N509" t="s">
        <v>74</v>
      </c>
      <c r="O509" t="s">
        <v>74</v>
      </c>
      <c r="P509" t="s">
        <v>74</v>
      </c>
      <c r="Q509" t="s">
        <v>74</v>
      </c>
      <c r="R509" t="s">
        <v>74</v>
      </c>
      <c r="S509" t="s">
        <v>74</v>
      </c>
      <c r="T509" t="s">
        <v>74</v>
      </c>
      <c r="U509" t="s">
        <v>74</v>
      </c>
      <c r="V509" t="s">
        <v>4511</v>
      </c>
      <c r="W509" t="s">
        <v>74</v>
      </c>
      <c r="X509" t="s">
        <v>74</v>
      </c>
      <c r="Y509" t="s">
        <v>74</v>
      </c>
      <c r="Z509" t="s">
        <v>74</v>
      </c>
      <c r="AA509" t="s">
        <v>4512</v>
      </c>
      <c r="AB509" t="s">
        <v>4513</v>
      </c>
      <c r="AC509" t="s">
        <v>74</v>
      </c>
      <c r="AD509" t="s">
        <v>74</v>
      </c>
      <c r="AE509" t="s">
        <v>74</v>
      </c>
      <c r="AF509" t="s">
        <v>74</v>
      </c>
      <c r="AG509" t="s">
        <v>74</v>
      </c>
      <c r="AH509" t="s">
        <v>74</v>
      </c>
      <c r="AI509" t="s">
        <v>74</v>
      </c>
      <c r="AJ509" t="s">
        <v>74</v>
      </c>
      <c r="AK509" t="s">
        <v>74</v>
      </c>
      <c r="AL509" t="s">
        <v>74</v>
      </c>
      <c r="AM509" t="s">
        <v>74</v>
      </c>
      <c r="AN509" t="s">
        <v>74</v>
      </c>
      <c r="AO509" t="s">
        <v>74</v>
      </c>
      <c r="AP509" t="s">
        <v>1662</v>
      </c>
      <c r="AQ509" t="s">
        <v>74</v>
      </c>
      <c r="AR509" t="s">
        <v>74</v>
      </c>
      <c r="AS509" t="s">
        <v>74</v>
      </c>
      <c r="AT509" t="s">
        <v>4514</v>
      </c>
      <c r="AU509">
        <v>2021</v>
      </c>
      <c r="AV509">
        <v>12</v>
      </c>
      <c r="AW509">
        <v>1</v>
      </c>
      <c r="AX509" t="s">
        <v>74</v>
      </c>
      <c r="AY509" t="s">
        <v>74</v>
      </c>
      <c r="AZ509" t="s">
        <v>74</v>
      </c>
      <c r="BA509" t="s">
        <v>74</v>
      </c>
      <c r="BB509" t="s">
        <v>74</v>
      </c>
      <c r="BC509" t="s">
        <v>74</v>
      </c>
      <c r="BD509">
        <v>5267</v>
      </c>
      <c r="BE509" t="s">
        <v>4515</v>
      </c>
      <c r="BF509" t="str">
        <f>HYPERLINK("http://dx.doi.org/10.1038/s41467-021-25610-7","http://dx.doi.org/10.1038/s41467-021-25610-7")</f>
        <v>http://dx.doi.org/10.1038/s41467-021-25610-7</v>
      </c>
      <c r="BG509" t="s">
        <v>74</v>
      </c>
      <c r="BH509" t="s">
        <v>74</v>
      </c>
      <c r="BI509" t="s">
        <v>74</v>
      </c>
      <c r="BJ509" t="s">
        <v>74</v>
      </c>
      <c r="BK509" t="s">
        <v>74</v>
      </c>
      <c r="BL509" t="s">
        <v>74</v>
      </c>
      <c r="BM509" t="s">
        <v>74</v>
      </c>
      <c r="BN509">
        <v>34489437</v>
      </c>
      <c r="BO509" t="s">
        <v>74</v>
      </c>
      <c r="BP509" t="s">
        <v>74</v>
      </c>
      <c r="BQ509" t="s">
        <v>74</v>
      </c>
      <c r="BR509" t="s">
        <v>74</v>
      </c>
      <c r="BS509" t="s">
        <v>4516</v>
      </c>
      <c r="BT509" t="str">
        <f>HYPERLINK("https%3A%2F%2Fwww.webofscience.com%2Fwos%2Fwoscc%2Ffull-record%2FWOS:000694666900032","View Full Record in Web of Science")</f>
        <v>View Full Record in Web of Science</v>
      </c>
    </row>
    <row r="510" spans="1:72" x14ac:dyDescent="0.2">
      <c r="A510" t="s">
        <v>72</v>
      </c>
      <c r="B510" t="s">
        <v>4517</v>
      </c>
      <c r="C510" t="s">
        <v>74</v>
      </c>
      <c r="D510" t="s">
        <v>74</v>
      </c>
      <c r="E510" t="s">
        <v>74</v>
      </c>
      <c r="F510" t="s">
        <v>4518</v>
      </c>
      <c r="G510" t="s">
        <v>74</v>
      </c>
      <c r="H510" t="s">
        <v>74</v>
      </c>
      <c r="I510" t="s">
        <v>4519</v>
      </c>
      <c r="J510" t="s">
        <v>4520</v>
      </c>
      <c r="K510" t="s">
        <v>74</v>
      </c>
      <c r="L510" t="s">
        <v>74</v>
      </c>
      <c r="M510" t="s">
        <v>74</v>
      </c>
      <c r="N510" t="s">
        <v>74</v>
      </c>
      <c r="O510" t="s">
        <v>74</v>
      </c>
      <c r="P510" t="s">
        <v>74</v>
      </c>
      <c r="Q510" t="s">
        <v>74</v>
      </c>
      <c r="R510" t="s">
        <v>74</v>
      </c>
      <c r="S510" t="s">
        <v>74</v>
      </c>
      <c r="T510" t="s">
        <v>74</v>
      </c>
      <c r="U510" t="s">
        <v>74</v>
      </c>
      <c r="V510" t="s">
        <v>4521</v>
      </c>
      <c r="W510" t="s">
        <v>74</v>
      </c>
      <c r="X510" t="s">
        <v>74</v>
      </c>
      <c r="Y510" t="s">
        <v>74</v>
      </c>
      <c r="Z510" t="s">
        <v>74</v>
      </c>
      <c r="AA510" t="s">
        <v>74</v>
      </c>
      <c r="AB510" t="s">
        <v>4522</v>
      </c>
      <c r="AC510" t="s">
        <v>74</v>
      </c>
      <c r="AD510" t="s">
        <v>74</v>
      </c>
      <c r="AE510" t="s">
        <v>74</v>
      </c>
      <c r="AF510" t="s">
        <v>74</v>
      </c>
      <c r="AG510" t="s">
        <v>74</v>
      </c>
      <c r="AH510" t="s">
        <v>74</v>
      </c>
      <c r="AI510" t="s">
        <v>74</v>
      </c>
      <c r="AJ510" t="s">
        <v>74</v>
      </c>
      <c r="AK510" t="s">
        <v>74</v>
      </c>
      <c r="AL510" t="s">
        <v>74</v>
      </c>
      <c r="AM510" t="s">
        <v>74</v>
      </c>
      <c r="AN510" t="s">
        <v>74</v>
      </c>
      <c r="AO510" t="s">
        <v>4523</v>
      </c>
      <c r="AP510" t="s">
        <v>4524</v>
      </c>
      <c r="AQ510" t="s">
        <v>74</v>
      </c>
      <c r="AR510" t="s">
        <v>74</v>
      </c>
      <c r="AS510" t="s">
        <v>74</v>
      </c>
      <c r="AT510" t="s">
        <v>1318</v>
      </c>
      <c r="AU510">
        <v>2021</v>
      </c>
      <c r="AV510">
        <v>394</v>
      </c>
      <c r="AW510" t="s">
        <v>74</v>
      </c>
      <c r="AX510" t="s">
        <v>74</v>
      </c>
      <c r="AY510" t="s">
        <v>74</v>
      </c>
      <c r="AZ510" t="s">
        <v>74</v>
      </c>
      <c r="BA510" t="s">
        <v>74</v>
      </c>
      <c r="BB510">
        <v>448</v>
      </c>
      <c r="BC510">
        <v>458</v>
      </c>
      <c r="BD510" t="s">
        <v>74</v>
      </c>
      <c r="BE510" t="s">
        <v>4525</v>
      </c>
      <c r="BF510" t="str">
        <f>HYPERLINK("http://dx.doi.org/10.1016/j.powtec.2021.08.083","http://dx.doi.org/10.1016/j.powtec.2021.08.083")</f>
        <v>http://dx.doi.org/10.1016/j.powtec.2021.08.083</v>
      </c>
      <c r="BG510" t="s">
        <v>74</v>
      </c>
      <c r="BH510" t="s">
        <v>4466</v>
      </c>
      <c r="BI510" t="s">
        <v>74</v>
      </c>
      <c r="BJ510" t="s">
        <v>74</v>
      </c>
      <c r="BK510" t="s">
        <v>74</v>
      </c>
      <c r="BL510" t="s">
        <v>74</v>
      </c>
      <c r="BM510" t="s">
        <v>74</v>
      </c>
      <c r="BN510" t="s">
        <v>74</v>
      </c>
      <c r="BO510" t="s">
        <v>74</v>
      </c>
      <c r="BP510" t="s">
        <v>74</v>
      </c>
      <c r="BQ510" t="s">
        <v>74</v>
      </c>
      <c r="BR510" t="s">
        <v>74</v>
      </c>
      <c r="BS510" t="s">
        <v>4526</v>
      </c>
      <c r="BT510" t="str">
        <f>HYPERLINK("https%3A%2F%2Fwww.webofscience.com%2Fwos%2Fwoscc%2Ffull-record%2FWOS:000709513800002","View Full Record in Web of Science")</f>
        <v>View Full Record in Web of Science</v>
      </c>
    </row>
    <row r="511" spans="1:72" x14ac:dyDescent="0.2">
      <c r="A511" t="s">
        <v>72</v>
      </c>
      <c r="B511" t="s">
        <v>4527</v>
      </c>
      <c r="C511" t="s">
        <v>74</v>
      </c>
      <c r="D511" t="s">
        <v>74</v>
      </c>
      <c r="E511" t="s">
        <v>74</v>
      </c>
      <c r="F511" t="s">
        <v>4528</v>
      </c>
      <c r="G511" t="s">
        <v>74</v>
      </c>
      <c r="H511" t="s">
        <v>74</v>
      </c>
      <c r="I511" t="s">
        <v>4529</v>
      </c>
      <c r="J511" t="s">
        <v>598</v>
      </c>
      <c r="K511" t="s">
        <v>74</v>
      </c>
      <c r="L511" t="s">
        <v>74</v>
      </c>
      <c r="M511" t="s">
        <v>74</v>
      </c>
      <c r="N511" t="s">
        <v>74</v>
      </c>
      <c r="O511" t="s">
        <v>74</v>
      </c>
      <c r="P511" t="s">
        <v>74</v>
      </c>
      <c r="Q511" t="s">
        <v>74</v>
      </c>
      <c r="R511" t="s">
        <v>74</v>
      </c>
      <c r="S511" t="s">
        <v>74</v>
      </c>
      <c r="T511" t="s">
        <v>74</v>
      </c>
      <c r="U511" t="s">
        <v>74</v>
      </c>
      <c r="V511" t="s">
        <v>4530</v>
      </c>
      <c r="W511" t="s">
        <v>74</v>
      </c>
      <c r="X511" t="s">
        <v>74</v>
      </c>
      <c r="Y511" t="s">
        <v>74</v>
      </c>
      <c r="Z511" t="s">
        <v>74</v>
      </c>
      <c r="AA511" t="s">
        <v>4531</v>
      </c>
      <c r="AB511" t="s">
        <v>4532</v>
      </c>
      <c r="AC511" t="s">
        <v>74</v>
      </c>
      <c r="AD511" t="s">
        <v>74</v>
      </c>
      <c r="AE511" t="s">
        <v>74</v>
      </c>
      <c r="AF511" t="s">
        <v>74</v>
      </c>
      <c r="AG511" t="s">
        <v>74</v>
      </c>
      <c r="AH511" t="s">
        <v>74</v>
      </c>
      <c r="AI511" t="s">
        <v>74</v>
      </c>
      <c r="AJ511" t="s">
        <v>74</v>
      </c>
      <c r="AK511" t="s">
        <v>74</v>
      </c>
      <c r="AL511" t="s">
        <v>74</v>
      </c>
      <c r="AM511" t="s">
        <v>74</v>
      </c>
      <c r="AN511" t="s">
        <v>74</v>
      </c>
      <c r="AO511" t="s">
        <v>601</v>
      </c>
      <c r="AP511" t="s">
        <v>602</v>
      </c>
      <c r="AQ511" t="s">
        <v>74</v>
      </c>
      <c r="AR511" t="s">
        <v>74</v>
      </c>
      <c r="AS511" t="s">
        <v>74</v>
      </c>
      <c r="AT511" t="s">
        <v>1773</v>
      </c>
      <c r="AU511">
        <v>2021</v>
      </c>
      <c r="AV511">
        <v>14</v>
      </c>
      <c r="AW511">
        <v>20</v>
      </c>
      <c r="AX511" t="s">
        <v>74</v>
      </c>
      <c r="AY511" t="s">
        <v>74</v>
      </c>
      <c r="AZ511" t="s">
        <v>74</v>
      </c>
      <c r="BA511" t="s">
        <v>74</v>
      </c>
      <c r="BB511">
        <v>4480</v>
      </c>
      <c r="BC511">
        <v>4498</v>
      </c>
      <c r="BD511" t="s">
        <v>74</v>
      </c>
      <c r="BE511" t="s">
        <v>4533</v>
      </c>
      <c r="BF511" t="str">
        <f>HYPERLINK("http://dx.doi.org/10.1002/cssc.202101227","http://dx.doi.org/10.1002/cssc.202101227")</f>
        <v>http://dx.doi.org/10.1002/cssc.202101227</v>
      </c>
      <c r="BG511" t="s">
        <v>74</v>
      </c>
      <c r="BH511" t="s">
        <v>4466</v>
      </c>
      <c r="BI511" t="s">
        <v>74</v>
      </c>
      <c r="BJ511" t="s">
        <v>74</v>
      </c>
      <c r="BK511" t="s">
        <v>74</v>
      </c>
      <c r="BL511" t="s">
        <v>74</v>
      </c>
      <c r="BM511" t="s">
        <v>74</v>
      </c>
      <c r="BN511">
        <v>34339580</v>
      </c>
      <c r="BO511" t="s">
        <v>74</v>
      </c>
      <c r="BP511" t="s">
        <v>74</v>
      </c>
      <c r="BQ511" t="s">
        <v>74</v>
      </c>
      <c r="BR511" t="s">
        <v>74</v>
      </c>
      <c r="BS511" t="s">
        <v>4534</v>
      </c>
      <c r="BT511" t="str">
        <f>HYPERLINK("https%3A%2F%2Fwww.webofscience.com%2Fwos%2Fwoscc%2Ffull-record%2FWOS:000692039600001","View Full Record in Web of Science")</f>
        <v>View Full Record in Web of Science</v>
      </c>
    </row>
    <row r="512" spans="1:72" x14ac:dyDescent="0.2">
      <c r="A512" t="s">
        <v>72</v>
      </c>
      <c r="B512" t="s">
        <v>4535</v>
      </c>
      <c r="C512" t="s">
        <v>74</v>
      </c>
      <c r="D512" t="s">
        <v>74</v>
      </c>
      <c r="E512" t="s">
        <v>74</v>
      </c>
      <c r="F512" t="s">
        <v>4536</v>
      </c>
      <c r="G512" t="s">
        <v>74</v>
      </c>
      <c r="H512" t="s">
        <v>74</v>
      </c>
      <c r="I512" t="s">
        <v>4537</v>
      </c>
      <c r="J512" t="s">
        <v>804</v>
      </c>
      <c r="K512" t="s">
        <v>74</v>
      </c>
      <c r="L512" t="s">
        <v>74</v>
      </c>
      <c r="M512" t="s">
        <v>74</v>
      </c>
      <c r="N512" t="s">
        <v>74</v>
      </c>
      <c r="O512" t="s">
        <v>74</v>
      </c>
      <c r="P512" t="s">
        <v>74</v>
      </c>
      <c r="Q512" t="s">
        <v>74</v>
      </c>
      <c r="R512" t="s">
        <v>74</v>
      </c>
      <c r="S512" t="s">
        <v>74</v>
      </c>
      <c r="T512" t="s">
        <v>74</v>
      </c>
      <c r="U512" t="s">
        <v>74</v>
      </c>
      <c r="V512" t="s">
        <v>4538</v>
      </c>
      <c r="W512" t="s">
        <v>74</v>
      </c>
      <c r="X512" t="s">
        <v>74</v>
      </c>
      <c r="Y512" t="s">
        <v>74</v>
      </c>
      <c r="Z512" t="s">
        <v>74</v>
      </c>
      <c r="AA512" t="s">
        <v>4539</v>
      </c>
      <c r="AB512" t="s">
        <v>4540</v>
      </c>
      <c r="AC512" t="s">
        <v>74</v>
      </c>
      <c r="AD512" t="s">
        <v>74</v>
      </c>
      <c r="AE512" t="s">
        <v>74</v>
      </c>
      <c r="AF512" t="s">
        <v>74</v>
      </c>
      <c r="AG512" t="s">
        <v>74</v>
      </c>
      <c r="AH512" t="s">
        <v>74</v>
      </c>
      <c r="AI512" t="s">
        <v>74</v>
      </c>
      <c r="AJ512" t="s">
        <v>74</v>
      </c>
      <c r="AK512" t="s">
        <v>74</v>
      </c>
      <c r="AL512" t="s">
        <v>74</v>
      </c>
      <c r="AM512" t="s">
        <v>74</v>
      </c>
      <c r="AN512" t="s">
        <v>74</v>
      </c>
      <c r="AO512" t="s">
        <v>74</v>
      </c>
      <c r="AP512" t="s">
        <v>806</v>
      </c>
      <c r="AQ512" t="s">
        <v>74</v>
      </c>
      <c r="AR512" t="s">
        <v>74</v>
      </c>
      <c r="AS512" t="s">
        <v>74</v>
      </c>
      <c r="AT512" t="s">
        <v>155</v>
      </c>
      <c r="AU512">
        <v>2021</v>
      </c>
      <c r="AV512">
        <v>11</v>
      </c>
      <c r="AW512">
        <v>9</v>
      </c>
      <c r="AX512" t="s">
        <v>74</v>
      </c>
      <c r="AY512" t="s">
        <v>74</v>
      </c>
      <c r="AZ512" t="s">
        <v>74</v>
      </c>
      <c r="BA512" t="s">
        <v>74</v>
      </c>
      <c r="BB512" t="s">
        <v>74</v>
      </c>
      <c r="BC512" t="s">
        <v>74</v>
      </c>
      <c r="BD512">
        <v>2391</v>
      </c>
      <c r="BE512" t="s">
        <v>4541</v>
      </c>
      <c r="BF512" t="str">
        <f>HYPERLINK("http://dx.doi.org/10.3390/nano11092391","http://dx.doi.org/10.3390/nano11092391")</f>
        <v>http://dx.doi.org/10.3390/nano11092391</v>
      </c>
      <c r="BG512" t="s">
        <v>74</v>
      </c>
      <c r="BH512" t="s">
        <v>74</v>
      </c>
      <c r="BI512" t="s">
        <v>74</v>
      </c>
      <c r="BJ512" t="s">
        <v>74</v>
      </c>
      <c r="BK512" t="s">
        <v>74</v>
      </c>
      <c r="BL512" t="s">
        <v>74</v>
      </c>
      <c r="BM512" t="s">
        <v>74</v>
      </c>
      <c r="BN512">
        <v>34578707</v>
      </c>
      <c r="BO512" t="s">
        <v>74</v>
      </c>
      <c r="BP512" t="s">
        <v>74</v>
      </c>
      <c r="BQ512" t="s">
        <v>74</v>
      </c>
      <c r="BR512" t="s">
        <v>74</v>
      </c>
      <c r="BS512" t="s">
        <v>4542</v>
      </c>
      <c r="BT512" t="str">
        <f>HYPERLINK("https%3A%2F%2Fwww.webofscience.com%2Fwos%2Fwoscc%2Ffull-record%2FWOS:000701806300001","View Full Record in Web of Science")</f>
        <v>View Full Record in Web of Science</v>
      </c>
    </row>
    <row r="513" spans="1:72" x14ac:dyDescent="0.2">
      <c r="A513" t="s">
        <v>72</v>
      </c>
      <c r="B513" t="s">
        <v>4543</v>
      </c>
      <c r="C513" t="s">
        <v>74</v>
      </c>
      <c r="D513" t="s">
        <v>74</v>
      </c>
      <c r="E513" t="s">
        <v>74</v>
      </c>
      <c r="F513" t="s">
        <v>4544</v>
      </c>
      <c r="G513" t="s">
        <v>74</v>
      </c>
      <c r="H513" t="s">
        <v>74</v>
      </c>
      <c r="I513" t="s">
        <v>4545</v>
      </c>
      <c r="J513" t="s">
        <v>267</v>
      </c>
      <c r="K513" t="s">
        <v>74</v>
      </c>
      <c r="L513" t="s">
        <v>74</v>
      </c>
      <c r="M513" t="s">
        <v>74</v>
      </c>
      <c r="N513" t="s">
        <v>74</v>
      </c>
      <c r="O513" t="s">
        <v>74</v>
      </c>
      <c r="P513" t="s">
        <v>74</v>
      </c>
      <c r="Q513" t="s">
        <v>74</v>
      </c>
      <c r="R513" t="s">
        <v>74</v>
      </c>
      <c r="S513" t="s">
        <v>74</v>
      </c>
      <c r="T513" t="s">
        <v>74</v>
      </c>
      <c r="U513" t="s">
        <v>74</v>
      </c>
      <c r="V513" t="s">
        <v>4546</v>
      </c>
      <c r="W513" t="s">
        <v>74</v>
      </c>
      <c r="X513" t="s">
        <v>74</v>
      </c>
      <c r="Y513" t="s">
        <v>74</v>
      </c>
      <c r="Z513" t="s">
        <v>74</v>
      </c>
      <c r="AA513" t="s">
        <v>4547</v>
      </c>
      <c r="AB513" t="s">
        <v>4548</v>
      </c>
      <c r="AC513" t="s">
        <v>74</v>
      </c>
      <c r="AD513" t="s">
        <v>74</v>
      </c>
      <c r="AE513" t="s">
        <v>74</v>
      </c>
      <c r="AF513" t="s">
        <v>74</v>
      </c>
      <c r="AG513" t="s">
        <v>74</v>
      </c>
      <c r="AH513" t="s">
        <v>74</v>
      </c>
      <c r="AI513" t="s">
        <v>74</v>
      </c>
      <c r="AJ513" t="s">
        <v>74</v>
      </c>
      <c r="AK513" t="s">
        <v>74</v>
      </c>
      <c r="AL513" t="s">
        <v>74</v>
      </c>
      <c r="AM513" t="s">
        <v>74</v>
      </c>
      <c r="AN513" t="s">
        <v>74</v>
      </c>
      <c r="AO513" t="s">
        <v>270</v>
      </c>
      <c r="AP513" t="s">
        <v>271</v>
      </c>
      <c r="AQ513" t="s">
        <v>74</v>
      </c>
      <c r="AR513" t="s">
        <v>74</v>
      </c>
      <c r="AS513" t="s">
        <v>74</v>
      </c>
      <c r="AT513" t="s">
        <v>92</v>
      </c>
      <c r="AU513">
        <v>2021</v>
      </c>
      <c r="AV513">
        <v>31</v>
      </c>
      <c r="AW513">
        <v>48</v>
      </c>
      <c r="AX513" t="s">
        <v>74</v>
      </c>
      <c r="AY513" t="s">
        <v>74</v>
      </c>
      <c r="AZ513" t="s">
        <v>74</v>
      </c>
      <c r="BA513" t="s">
        <v>74</v>
      </c>
      <c r="BB513" t="s">
        <v>74</v>
      </c>
      <c r="BC513" t="s">
        <v>74</v>
      </c>
      <c r="BD513">
        <v>2106315</v>
      </c>
      <c r="BE513" t="s">
        <v>4549</v>
      </c>
      <c r="BF513" t="str">
        <f>HYPERLINK("http://dx.doi.org/10.1002/adfm.202106315","http://dx.doi.org/10.1002/adfm.202106315")</f>
        <v>http://dx.doi.org/10.1002/adfm.202106315</v>
      </c>
      <c r="BG513" t="s">
        <v>74</v>
      </c>
      <c r="BH513" t="s">
        <v>4550</v>
      </c>
      <c r="BI513" t="s">
        <v>74</v>
      </c>
      <c r="BJ513" t="s">
        <v>74</v>
      </c>
      <c r="BK513" t="s">
        <v>74</v>
      </c>
      <c r="BL513" t="s">
        <v>74</v>
      </c>
      <c r="BM513" t="s">
        <v>74</v>
      </c>
      <c r="BN513" t="s">
        <v>74</v>
      </c>
      <c r="BO513" t="s">
        <v>74</v>
      </c>
      <c r="BP513" t="s">
        <v>74</v>
      </c>
      <c r="BQ513" t="s">
        <v>74</v>
      </c>
      <c r="BR513" t="s">
        <v>74</v>
      </c>
      <c r="BS513" t="s">
        <v>4551</v>
      </c>
      <c r="BT513" t="str">
        <f>HYPERLINK("https%3A%2F%2Fwww.webofscience.com%2Fwos%2Fwoscc%2Ffull-record%2FWOS:000690693200001","View Full Record in Web of Science")</f>
        <v>View Full Record in Web of Science</v>
      </c>
    </row>
    <row r="514" spans="1:72" x14ac:dyDescent="0.2">
      <c r="A514" t="s">
        <v>72</v>
      </c>
      <c r="B514" t="s">
        <v>4552</v>
      </c>
      <c r="C514" t="s">
        <v>74</v>
      </c>
      <c r="D514" t="s">
        <v>74</v>
      </c>
      <c r="E514" t="s">
        <v>74</v>
      </c>
      <c r="F514" t="s">
        <v>4553</v>
      </c>
      <c r="G514" t="s">
        <v>74</v>
      </c>
      <c r="H514" t="s">
        <v>74</v>
      </c>
      <c r="I514" t="s">
        <v>4554</v>
      </c>
      <c r="J514" t="s">
        <v>422</v>
      </c>
      <c r="K514" t="s">
        <v>74</v>
      </c>
      <c r="L514" t="s">
        <v>74</v>
      </c>
      <c r="M514" t="s">
        <v>74</v>
      </c>
      <c r="N514" t="s">
        <v>74</v>
      </c>
      <c r="O514" t="s">
        <v>74</v>
      </c>
      <c r="P514" t="s">
        <v>74</v>
      </c>
      <c r="Q514" t="s">
        <v>74</v>
      </c>
      <c r="R514" t="s">
        <v>74</v>
      </c>
      <c r="S514" t="s">
        <v>74</v>
      </c>
      <c r="T514" t="s">
        <v>74</v>
      </c>
      <c r="U514" t="s">
        <v>74</v>
      </c>
      <c r="V514" t="s">
        <v>4555</v>
      </c>
      <c r="W514" t="s">
        <v>74</v>
      </c>
      <c r="X514" t="s">
        <v>74</v>
      </c>
      <c r="Y514" t="s">
        <v>74</v>
      </c>
      <c r="Z514" t="s">
        <v>74</v>
      </c>
      <c r="AA514" t="s">
        <v>4556</v>
      </c>
      <c r="AB514" t="s">
        <v>4557</v>
      </c>
      <c r="AC514" t="s">
        <v>74</v>
      </c>
      <c r="AD514" t="s">
        <v>74</v>
      </c>
      <c r="AE514" t="s">
        <v>74</v>
      </c>
      <c r="AF514" t="s">
        <v>74</v>
      </c>
      <c r="AG514" t="s">
        <v>74</v>
      </c>
      <c r="AH514" t="s">
        <v>74</v>
      </c>
      <c r="AI514" t="s">
        <v>74</v>
      </c>
      <c r="AJ514" t="s">
        <v>74</v>
      </c>
      <c r="AK514" t="s">
        <v>74</v>
      </c>
      <c r="AL514" t="s">
        <v>74</v>
      </c>
      <c r="AM514" t="s">
        <v>74</v>
      </c>
      <c r="AN514" t="s">
        <v>74</v>
      </c>
      <c r="AO514" t="s">
        <v>426</v>
      </c>
      <c r="AP514" t="s">
        <v>74</v>
      </c>
      <c r="AQ514" t="s">
        <v>74</v>
      </c>
      <c r="AR514" t="s">
        <v>74</v>
      </c>
      <c r="AS514" t="s">
        <v>74</v>
      </c>
      <c r="AT514" t="s">
        <v>4558</v>
      </c>
      <c r="AU514">
        <v>2021</v>
      </c>
      <c r="AV514">
        <v>4</v>
      </c>
      <c r="AW514">
        <v>9</v>
      </c>
      <c r="AX514" t="s">
        <v>74</v>
      </c>
      <c r="AY514" t="s">
        <v>74</v>
      </c>
      <c r="AZ514" t="s">
        <v>74</v>
      </c>
      <c r="BA514" t="s">
        <v>74</v>
      </c>
      <c r="BB514">
        <v>9582</v>
      </c>
      <c r="BC514">
        <v>9593</v>
      </c>
      <c r="BD514" t="s">
        <v>74</v>
      </c>
      <c r="BE514" t="s">
        <v>4559</v>
      </c>
      <c r="BF514" t="str">
        <f>HYPERLINK("http://dx.doi.org/10.1021/acsaem.1c01724","http://dx.doi.org/10.1021/acsaem.1c01724")</f>
        <v>http://dx.doi.org/10.1021/acsaem.1c01724</v>
      </c>
      <c r="BG514" t="s">
        <v>74</v>
      </c>
      <c r="BH514" t="s">
        <v>4550</v>
      </c>
      <c r="BI514" t="s">
        <v>74</v>
      </c>
      <c r="BJ514" t="s">
        <v>74</v>
      </c>
      <c r="BK514" t="s">
        <v>74</v>
      </c>
      <c r="BL514" t="s">
        <v>74</v>
      </c>
      <c r="BM514" t="s">
        <v>74</v>
      </c>
      <c r="BN514" t="s">
        <v>74</v>
      </c>
      <c r="BO514" t="s">
        <v>74</v>
      </c>
      <c r="BP514" t="s">
        <v>74</v>
      </c>
      <c r="BQ514" t="s">
        <v>74</v>
      </c>
      <c r="BR514" t="s">
        <v>74</v>
      </c>
      <c r="BS514" t="s">
        <v>4560</v>
      </c>
      <c r="BT514" t="str">
        <f>HYPERLINK("https%3A%2F%2Fwww.webofscience.com%2Fwos%2Fwoscc%2Ffull-record%2FWOS:000703338600093","View Full Record in Web of Science")</f>
        <v>View Full Record in Web of Science</v>
      </c>
    </row>
    <row r="515" spans="1:72" x14ac:dyDescent="0.2">
      <c r="A515" t="s">
        <v>72</v>
      </c>
      <c r="B515" t="s">
        <v>4561</v>
      </c>
      <c r="C515" t="s">
        <v>74</v>
      </c>
      <c r="D515" t="s">
        <v>74</v>
      </c>
      <c r="E515" t="s">
        <v>74</v>
      </c>
      <c r="F515" t="s">
        <v>4562</v>
      </c>
      <c r="G515" t="s">
        <v>74</v>
      </c>
      <c r="H515" t="s">
        <v>74</v>
      </c>
      <c r="I515" t="s">
        <v>4563</v>
      </c>
      <c r="J515" t="s">
        <v>1256</v>
      </c>
      <c r="K515" t="s">
        <v>74</v>
      </c>
      <c r="L515" t="s">
        <v>74</v>
      </c>
      <c r="M515" t="s">
        <v>74</v>
      </c>
      <c r="N515" t="s">
        <v>74</v>
      </c>
      <c r="O515" t="s">
        <v>74</v>
      </c>
      <c r="P515" t="s">
        <v>74</v>
      </c>
      <c r="Q515" t="s">
        <v>74</v>
      </c>
      <c r="R515" t="s">
        <v>74</v>
      </c>
      <c r="S515" t="s">
        <v>74</v>
      </c>
      <c r="T515" t="s">
        <v>74</v>
      </c>
      <c r="U515" t="s">
        <v>74</v>
      </c>
      <c r="V515" t="s">
        <v>4564</v>
      </c>
      <c r="W515" t="s">
        <v>74</v>
      </c>
      <c r="X515" t="s">
        <v>74</v>
      </c>
      <c r="Y515" t="s">
        <v>74</v>
      </c>
      <c r="Z515" t="s">
        <v>74</v>
      </c>
      <c r="AA515" t="s">
        <v>4565</v>
      </c>
      <c r="AB515" t="s">
        <v>4566</v>
      </c>
      <c r="AC515" t="s">
        <v>74</v>
      </c>
      <c r="AD515" t="s">
        <v>74</v>
      </c>
      <c r="AE515" t="s">
        <v>74</v>
      </c>
      <c r="AF515" t="s">
        <v>74</v>
      </c>
      <c r="AG515" t="s">
        <v>74</v>
      </c>
      <c r="AH515" t="s">
        <v>74</v>
      </c>
      <c r="AI515" t="s">
        <v>74</v>
      </c>
      <c r="AJ515" t="s">
        <v>74</v>
      </c>
      <c r="AK515" t="s">
        <v>74</v>
      </c>
      <c r="AL515" t="s">
        <v>74</v>
      </c>
      <c r="AM515" t="s">
        <v>74</v>
      </c>
      <c r="AN515" t="s">
        <v>74</v>
      </c>
      <c r="AO515" t="s">
        <v>1258</v>
      </c>
      <c r="AP515" t="s">
        <v>1259</v>
      </c>
      <c r="AQ515" t="s">
        <v>74</v>
      </c>
      <c r="AR515" t="s">
        <v>74</v>
      </c>
      <c r="AS515" t="s">
        <v>74</v>
      </c>
      <c r="AT515" t="s">
        <v>1696</v>
      </c>
      <c r="AU515">
        <v>2021</v>
      </c>
      <c r="AV515">
        <v>393</v>
      </c>
      <c r="AW515" t="s">
        <v>74</v>
      </c>
      <c r="AX515" t="s">
        <v>74</v>
      </c>
      <c r="AY515" t="s">
        <v>74</v>
      </c>
      <c r="AZ515" t="s">
        <v>74</v>
      </c>
      <c r="BA515" t="s">
        <v>74</v>
      </c>
      <c r="BB515" t="s">
        <v>74</v>
      </c>
      <c r="BC515" t="s">
        <v>74</v>
      </c>
      <c r="BD515">
        <v>139042</v>
      </c>
      <c r="BE515" t="s">
        <v>4567</v>
      </c>
      <c r="BF515" t="str">
        <f>HYPERLINK("http://dx.doi.org/10.1016/j.electacta.2021.139042","http://dx.doi.org/10.1016/j.electacta.2021.139042")</f>
        <v>http://dx.doi.org/10.1016/j.electacta.2021.139042</v>
      </c>
      <c r="BG515" t="s">
        <v>74</v>
      </c>
      <c r="BH515" t="s">
        <v>4550</v>
      </c>
      <c r="BI515" t="s">
        <v>74</v>
      </c>
      <c r="BJ515" t="s">
        <v>74</v>
      </c>
      <c r="BK515" t="s">
        <v>74</v>
      </c>
      <c r="BL515" t="s">
        <v>74</v>
      </c>
      <c r="BM515" t="s">
        <v>74</v>
      </c>
      <c r="BN515" t="s">
        <v>74</v>
      </c>
      <c r="BO515" t="s">
        <v>74</v>
      </c>
      <c r="BP515" t="s">
        <v>74</v>
      </c>
      <c r="BQ515" t="s">
        <v>74</v>
      </c>
      <c r="BR515" t="s">
        <v>74</v>
      </c>
      <c r="BS515" t="s">
        <v>4568</v>
      </c>
      <c r="BT515" t="str">
        <f>HYPERLINK("https%3A%2F%2Fwww.webofscience.com%2Fwos%2Fwoscc%2Ffull-record%2FWOS:000692096000012","View Full Record in Web of Science")</f>
        <v>View Full Record in Web of Science</v>
      </c>
    </row>
    <row r="516" spans="1:72" x14ac:dyDescent="0.2">
      <c r="A516" t="s">
        <v>72</v>
      </c>
      <c r="B516" t="s">
        <v>4569</v>
      </c>
      <c r="C516" t="s">
        <v>74</v>
      </c>
      <c r="D516" t="s">
        <v>74</v>
      </c>
      <c r="E516" t="s">
        <v>74</v>
      </c>
      <c r="F516" t="s">
        <v>4570</v>
      </c>
      <c r="G516" t="s">
        <v>74</v>
      </c>
      <c r="H516" t="s">
        <v>74</v>
      </c>
      <c r="I516" t="s">
        <v>4571</v>
      </c>
      <c r="J516" t="s">
        <v>374</v>
      </c>
      <c r="K516" t="s">
        <v>74</v>
      </c>
      <c r="L516" t="s">
        <v>74</v>
      </c>
      <c r="M516" t="s">
        <v>74</v>
      </c>
      <c r="N516" t="s">
        <v>74</v>
      </c>
      <c r="O516" t="s">
        <v>74</v>
      </c>
      <c r="P516" t="s">
        <v>74</v>
      </c>
      <c r="Q516" t="s">
        <v>74</v>
      </c>
      <c r="R516" t="s">
        <v>74</v>
      </c>
      <c r="S516" t="s">
        <v>74</v>
      </c>
      <c r="T516" t="s">
        <v>74</v>
      </c>
      <c r="U516" t="s">
        <v>74</v>
      </c>
      <c r="V516" t="s">
        <v>4572</v>
      </c>
      <c r="W516" t="s">
        <v>74</v>
      </c>
      <c r="X516" t="s">
        <v>74</v>
      </c>
      <c r="Y516" t="s">
        <v>74</v>
      </c>
      <c r="Z516" t="s">
        <v>74</v>
      </c>
      <c r="AA516" t="s">
        <v>3700</v>
      </c>
      <c r="AB516" t="s">
        <v>3701</v>
      </c>
      <c r="AC516" t="s">
        <v>74</v>
      </c>
      <c r="AD516" t="s">
        <v>74</v>
      </c>
      <c r="AE516" t="s">
        <v>74</v>
      </c>
      <c r="AF516" t="s">
        <v>74</v>
      </c>
      <c r="AG516" t="s">
        <v>74</v>
      </c>
      <c r="AH516" t="s">
        <v>74</v>
      </c>
      <c r="AI516" t="s">
        <v>74</v>
      </c>
      <c r="AJ516" t="s">
        <v>74</v>
      </c>
      <c r="AK516" t="s">
        <v>74</v>
      </c>
      <c r="AL516" t="s">
        <v>74</v>
      </c>
      <c r="AM516" t="s">
        <v>74</v>
      </c>
      <c r="AN516" t="s">
        <v>74</v>
      </c>
      <c r="AO516" t="s">
        <v>377</v>
      </c>
      <c r="AP516" t="s">
        <v>74</v>
      </c>
      <c r="AQ516" t="s">
        <v>74</v>
      </c>
      <c r="AR516" t="s">
        <v>74</v>
      </c>
      <c r="AS516" t="s">
        <v>74</v>
      </c>
      <c r="AT516" t="s">
        <v>1887</v>
      </c>
      <c r="AU516">
        <v>2021</v>
      </c>
      <c r="AV516">
        <v>6</v>
      </c>
      <c r="AW516">
        <v>9</v>
      </c>
      <c r="AX516" t="s">
        <v>74</v>
      </c>
      <c r="AY516" t="s">
        <v>74</v>
      </c>
      <c r="AZ516" t="s">
        <v>74</v>
      </c>
      <c r="BA516" t="s">
        <v>74</v>
      </c>
      <c r="BB516">
        <v>3212</v>
      </c>
      <c r="BC516">
        <v>3220</v>
      </c>
      <c r="BD516" t="s">
        <v>74</v>
      </c>
      <c r="BE516" t="s">
        <v>4573</v>
      </c>
      <c r="BF516" t="str">
        <f>HYPERLINK("http://dx.doi.org/10.1021/acsenergylett.1c01411","http://dx.doi.org/10.1021/acsenergylett.1c01411")</f>
        <v>http://dx.doi.org/10.1021/acsenergylett.1c01411</v>
      </c>
      <c r="BG516" t="s">
        <v>74</v>
      </c>
      <c r="BH516" t="s">
        <v>4550</v>
      </c>
      <c r="BI516" t="s">
        <v>74</v>
      </c>
      <c r="BJ516" t="s">
        <v>74</v>
      </c>
      <c r="BK516" t="s">
        <v>74</v>
      </c>
      <c r="BL516" t="s">
        <v>74</v>
      </c>
      <c r="BM516" t="s">
        <v>74</v>
      </c>
      <c r="BN516" t="s">
        <v>74</v>
      </c>
      <c r="BO516" t="s">
        <v>74</v>
      </c>
      <c r="BP516" t="s">
        <v>74</v>
      </c>
      <c r="BQ516" t="s">
        <v>74</v>
      </c>
      <c r="BR516" t="s">
        <v>74</v>
      </c>
      <c r="BS516" t="s">
        <v>4574</v>
      </c>
      <c r="BT516" t="str">
        <f>HYPERLINK("https%3A%2F%2Fwww.webofscience.com%2Fwos%2Fwoscc%2Ffull-record%2FWOS:000696180500022","View Full Record in Web of Science")</f>
        <v>View Full Record in Web of Science</v>
      </c>
    </row>
    <row r="517" spans="1:72" x14ac:dyDescent="0.2">
      <c r="A517" t="s">
        <v>72</v>
      </c>
      <c r="B517" t="s">
        <v>4575</v>
      </c>
      <c r="C517" t="s">
        <v>74</v>
      </c>
      <c r="D517" t="s">
        <v>74</v>
      </c>
      <c r="E517" t="s">
        <v>74</v>
      </c>
      <c r="F517" t="s">
        <v>4576</v>
      </c>
      <c r="G517" t="s">
        <v>74</v>
      </c>
      <c r="H517" t="s">
        <v>74</v>
      </c>
      <c r="I517" t="s">
        <v>4577</v>
      </c>
      <c r="J517" t="s">
        <v>4578</v>
      </c>
      <c r="K517" t="s">
        <v>74</v>
      </c>
      <c r="L517" t="s">
        <v>74</v>
      </c>
      <c r="M517" t="s">
        <v>74</v>
      </c>
      <c r="N517" t="s">
        <v>74</v>
      </c>
      <c r="O517" t="s">
        <v>74</v>
      </c>
      <c r="P517" t="s">
        <v>74</v>
      </c>
      <c r="Q517" t="s">
        <v>74</v>
      </c>
      <c r="R517" t="s">
        <v>74</v>
      </c>
      <c r="S517" t="s">
        <v>74</v>
      </c>
      <c r="T517" t="s">
        <v>74</v>
      </c>
      <c r="U517" t="s">
        <v>74</v>
      </c>
      <c r="V517" t="s">
        <v>4579</v>
      </c>
      <c r="W517" t="s">
        <v>74</v>
      </c>
      <c r="X517" t="s">
        <v>74</v>
      </c>
      <c r="Y517" t="s">
        <v>74</v>
      </c>
      <c r="Z517" t="s">
        <v>74</v>
      </c>
      <c r="AA517" t="s">
        <v>4580</v>
      </c>
      <c r="AB517" t="s">
        <v>4581</v>
      </c>
      <c r="AC517" t="s">
        <v>74</v>
      </c>
      <c r="AD517" t="s">
        <v>74</v>
      </c>
      <c r="AE517" t="s">
        <v>74</v>
      </c>
      <c r="AF517" t="s">
        <v>74</v>
      </c>
      <c r="AG517" t="s">
        <v>74</v>
      </c>
      <c r="AH517" t="s">
        <v>74</v>
      </c>
      <c r="AI517" t="s">
        <v>74</v>
      </c>
      <c r="AJ517" t="s">
        <v>74</v>
      </c>
      <c r="AK517" t="s">
        <v>74</v>
      </c>
      <c r="AL517" t="s">
        <v>74</v>
      </c>
      <c r="AM517" t="s">
        <v>74</v>
      </c>
      <c r="AN517" t="s">
        <v>74</v>
      </c>
      <c r="AO517" t="s">
        <v>4582</v>
      </c>
      <c r="AP517" t="s">
        <v>74</v>
      </c>
      <c r="AQ517" t="s">
        <v>74</v>
      </c>
      <c r="AR517" t="s">
        <v>74</v>
      </c>
      <c r="AS517" t="s">
        <v>74</v>
      </c>
      <c r="AT517" t="s">
        <v>4583</v>
      </c>
      <c r="AU517">
        <v>2021</v>
      </c>
      <c r="AV517">
        <v>5</v>
      </c>
      <c r="AW517">
        <v>8</v>
      </c>
      <c r="AX517" t="s">
        <v>74</v>
      </c>
      <c r="AY517" t="s">
        <v>74</v>
      </c>
      <c r="AZ517" t="s">
        <v>74</v>
      </c>
      <c r="BA517" t="s">
        <v>74</v>
      </c>
      <c r="BB517" t="s">
        <v>74</v>
      </c>
      <c r="BC517" t="s">
        <v>74</v>
      </c>
      <c r="BD517">
        <v>85402</v>
      </c>
      <c r="BE517" t="s">
        <v>4584</v>
      </c>
      <c r="BF517" t="str">
        <f>HYPERLINK("http://dx.doi.org/10.1103/PhysRevMaterials.5.085402","http://dx.doi.org/10.1103/PhysRevMaterials.5.085402")</f>
        <v>http://dx.doi.org/10.1103/PhysRevMaterials.5.085402</v>
      </c>
      <c r="BG517" t="s">
        <v>74</v>
      </c>
      <c r="BH517" t="s">
        <v>74</v>
      </c>
      <c r="BI517" t="s">
        <v>74</v>
      </c>
      <c r="BJ517" t="s">
        <v>74</v>
      </c>
      <c r="BK517" t="s">
        <v>74</v>
      </c>
      <c r="BL517" t="s">
        <v>74</v>
      </c>
      <c r="BM517" t="s">
        <v>74</v>
      </c>
      <c r="BN517" t="s">
        <v>74</v>
      </c>
      <c r="BO517" t="s">
        <v>74</v>
      </c>
      <c r="BP517" t="s">
        <v>74</v>
      </c>
      <c r="BQ517" t="s">
        <v>74</v>
      </c>
      <c r="BR517" t="s">
        <v>74</v>
      </c>
      <c r="BS517" t="s">
        <v>4585</v>
      </c>
      <c r="BT517" t="str">
        <f>HYPERLINK("https%3A%2F%2Fwww.webofscience.com%2Fwos%2Fwoscc%2Ffull-record%2FWOS:000686915800002","View Full Record in Web of Science")</f>
        <v>View Full Record in Web of Science</v>
      </c>
    </row>
    <row r="518" spans="1:72" x14ac:dyDescent="0.2">
      <c r="A518" t="s">
        <v>72</v>
      </c>
      <c r="B518" t="s">
        <v>4586</v>
      </c>
      <c r="C518" t="s">
        <v>74</v>
      </c>
      <c r="D518" t="s">
        <v>74</v>
      </c>
      <c r="E518" t="s">
        <v>74</v>
      </c>
      <c r="F518" t="s">
        <v>4587</v>
      </c>
      <c r="G518" t="s">
        <v>74</v>
      </c>
      <c r="H518" t="s">
        <v>74</v>
      </c>
      <c r="I518" t="s">
        <v>4588</v>
      </c>
      <c r="J518" t="s">
        <v>278</v>
      </c>
      <c r="K518" t="s">
        <v>74</v>
      </c>
      <c r="L518" t="s">
        <v>74</v>
      </c>
      <c r="M518" t="s">
        <v>74</v>
      </c>
      <c r="N518" t="s">
        <v>74</v>
      </c>
      <c r="O518" t="s">
        <v>74</v>
      </c>
      <c r="P518" t="s">
        <v>74</v>
      </c>
      <c r="Q518" t="s">
        <v>74</v>
      </c>
      <c r="R518" t="s">
        <v>74</v>
      </c>
      <c r="S518" t="s">
        <v>74</v>
      </c>
      <c r="T518" t="s">
        <v>74</v>
      </c>
      <c r="U518" t="s">
        <v>74</v>
      </c>
      <c r="V518" t="s">
        <v>4589</v>
      </c>
      <c r="W518" t="s">
        <v>74</v>
      </c>
      <c r="X518" t="s">
        <v>74</v>
      </c>
      <c r="Y518" t="s">
        <v>74</v>
      </c>
      <c r="Z518" t="s">
        <v>74</v>
      </c>
      <c r="AA518" t="s">
        <v>74</v>
      </c>
      <c r="AB518" t="s">
        <v>4590</v>
      </c>
      <c r="AC518" t="s">
        <v>74</v>
      </c>
      <c r="AD518" t="s">
        <v>74</v>
      </c>
      <c r="AE518" t="s">
        <v>74</v>
      </c>
      <c r="AF518" t="s">
        <v>74</v>
      </c>
      <c r="AG518" t="s">
        <v>74</v>
      </c>
      <c r="AH518" t="s">
        <v>74</v>
      </c>
      <c r="AI518" t="s">
        <v>74</v>
      </c>
      <c r="AJ518" t="s">
        <v>74</v>
      </c>
      <c r="AK518" t="s">
        <v>74</v>
      </c>
      <c r="AL518" t="s">
        <v>74</v>
      </c>
      <c r="AM518" t="s">
        <v>74</v>
      </c>
      <c r="AN518" t="s">
        <v>74</v>
      </c>
      <c r="AO518" t="s">
        <v>281</v>
      </c>
      <c r="AP518" t="s">
        <v>282</v>
      </c>
      <c r="AQ518" t="s">
        <v>74</v>
      </c>
      <c r="AR518" t="s">
        <v>74</v>
      </c>
      <c r="AS518" t="s">
        <v>74</v>
      </c>
      <c r="AT518" t="s">
        <v>2748</v>
      </c>
      <c r="AU518">
        <v>2021</v>
      </c>
      <c r="AV518">
        <v>9</v>
      </c>
      <c r="AW518">
        <v>36</v>
      </c>
      <c r="AX518" t="s">
        <v>74</v>
      </c>
      <c r="AY518" t="s">
        <v>74</v>
      </c>
      <c r="AZ518" t="s">
        <v>74</v>
      </c>
      <c r="BA518" t="s">
        <v>74</v>
      </c>
      <c r="BB518">
        <v>20530</v>
      </c>
      <c r="BC518">
        <v>20543</v>
      </c>
      <c r="BD518" t="s">
        <v>74</v>
      </c>
      <c r="BE518" t="s">
        <v>4591</v>
      </c>
      <c r="BF518" t="str">
        <f>HYPERLINK("http://dx.doi.org/10.1039/d1ta05410d","http://dx.doi.org/10.1039/d1ta05410d")</f>
        <v>http://dx.doi.org/10.1039/d1ta05410d</v>
      </c>
      <c r="BG518" t="s">
        <v>74</v>
      </c>
      <c r="BH518" t="s">
        <v>4550</v>
      </c>
      <c r="BI518" t="s">
        <v>74</v>
      </c>
      <c r="BJ518" t="s">
        <v>74</v>
      </c>
      <c r="BK518" t="s">
        <v>74</v>
      </c>
      <c r="BL518" t="s">
        <v>74</v>
      </c>
      <c r="BM518" t="s">
        <v>74</v>
      </c>
      <c r="BN518" t="s">
        <v>74</v>
      </c>
      <c r="BO518" t="s">
        <v>74</v>
      </c>
      <c r="BP518" t="s">
        <v>74</v>
      </c>
      <c r="BQ518" t="s">
        <v>74</v>
      </c>
      <c r="BR518" t="s">
        <v>74</v>
      </c>
      <c r="BS518" t="s">
        <v>4592</v>
      </c>
      <c r="BT518" t="str">
        <f>HYPERLINK("https%3A%2F%2Fwww.webofscience.com%2Fwos%2Fwoscc%2Ffull-record%2FWOS:000691877100001","View Full Record in Web of Science")</f>
        <v>View Full Record in Web of Science</v>
      </c>
    </row>
    <row r="519" spans="1:72" x14ac:dyDescent="0.2">
      <c r="A519" t="s">
        <v>72</v>
      </c>
      <c r="B519" t="s">
        <v>4593</v>
      </c>
      <c r="C519" t="s">
        <v>74</v>
      </c>
      <c r="D519" t="s">
        <v>74</v>
      </c>
      <c r="E519" t="s">
        <v>74</v>
      </c>
      <c r="F519" t="s">
        <v>4594</v>
      </c>
      <c r="G519" t="s">
        <v>74</v>
      </c>
      <c r="H519" t="s">
        <v>74</v>
      </c>
      <c r="I519" t="s">
        <v>4595</v>
      </c>
      <c r="J519" t="s">
        <v>289</v>
      </c>
      <c r="K519" t="s">
        <v>74</v>
      </c>
      <c r="L519" t="s">
        <v>74</v>
      </c>
      <c r="M519" t="s">
        <v>74</v>
      </c>
      <c r="N519" t="s">
        <v>74</v>
      </c>
      <c r="O519" t="s">
        <v>74</v>
      </c>
      <c r="P519" t="s">
        <v>74</v>
      </c>
      <c r="Q519" t="s">
        <v>74</v>
      </c>
      <c r="R519" t="s">
        <v>74</v>
      </c>
      <c r="S519" t="s">
        <v>74</v>
      </c>
      <c r="T519" t="s">
        <v>74</v>
      </c>
      <c r="U519" t="s">
        <v>74</v>
      </c>
      <c r="V519" t="s">
        <v>4596</v>
      </c>
      <c r="W519" t="s">
        <v>74</v>
      </c>
      <c r="X519" t="s">
        <v>74</v>
      </c>
      <c r="Y519" t="s">
        <v>74</v>
      </c>
      <c r="Z519" t="s">
        <v>74</v>
      </c>
      <c r="AA519" t="s">
        <v>74</v>
      </c>
      <c r="AB519" t="s">
        <v>4597</v>
      </c>
      <c r="AC519" t="s">
        <v>74</v>
      </c>
      <c r="AD519" t="s">
        <v>74</v>
      </c>
      <c r="AE519" t="s">
        <v>74</v>
      </c>
      <c r="AF519" t="s">
        <v>74</v>
      </c>
      <c r="AG519" t="s">
        <v>74</v>
      </c>
      <c r="AH519" t="s">
        <v>74</v>
      </c>
      <c r="AI519" t="s">
        <v>74</v>
      </c>
      <c r="AJ519" t="s">
        <v>74</v>
      </c>
      <c r="AK519" t="s">
        <v>74</v>
      </c>
      <c r="AL519" t="s">
        <v>74</v>
      </c>
      <c r="AM519" t="s">
        <v>74</v>
      </c>
      <c r="AN519" t="s">
        <v>74</v>
      </c>
      <c r="AO519" t="s">
        <v>292</v>
      </c>
      <c r="AP519" t="s">
        <v>293</v>
      </c>
      <c r="AQ519" t="s">
        <v>74</v>
      </c>
      <c r="AR519" t="s">
        <v>74</v>
      </c>
      <c r="AS519" t="s">
        <v>74</v>
      </c>
      <c r="AT519" t="s">
        <v>155</v>
      </c>
      <c r="AU519">
        <v>2021</v>
      </c>
      <c r="AV519">
        <v>33</v>
      </c>
      <c r="AW519">
        <v>38</v>
      </c>
      <c r="AX519" t="s">
        <v>74</v>
      </c>
      <c r="AY519" t="s">
        <v>74</v>
      </c>
      <c r="AZ519" t="s">
        <v>74</v>
      </c>
      <c r="BA519" t="s">
        <v>74</v>
      </c>
      <c r="BB519" t="s">
        <v>74</v>
      </c>
      <c r="BC519" t="s">
        <v>74</v>
      </c>
      <c r="BD519">
        <v>2103178</v>
      </c>
      <c r="BE519" t="s">
        <v>4598</v>
      </c>
      <c r="BF519" t="str">
        <f>HYPERLINK("http://dx.doi.org/10.1002/adma.202103178","http://dx.doi.org/10.1002/adma.202103178")</f>
        <v>http://dx.doi.org/10.1002/adma.202103178</v>
      </c>
      <c r="BG519" t="s">
        <v>74</v>
      </c>
      <c r="BH519" t="s">
        <v>4550</v>
      </c>
      <c r="BI519" t="s">
        <v>74</v>
      </c>
      <c r="BJ519" t="s">
        <v>74</v>
      </c>
      <c r="BK519" t="s">
        <v>74</v>
      </c>
      <c r="BL519" t="s">
        <v>74</v>
      </c>
      <c r="BM519" t="s">
        <v>74</v>
      </c>
      <c r="BN519">
        <v>34342925</v>
      </c>
      <c r="BO519" t="s">
        <v>74</v>
      </c>
      <c r="BP519" t="s">
        <v>74</v>
      </c>
      <c r="BQ519" t="s">
        <v>74</v>
      </c>
      <c r="BR519" t="s">
        <v>74</v>
      </c>
      <c r="BS519" t="s">
        <v>4599</v>
      </c>
      <c r="BT519" t="str">
        <f>HYPERLINK("https%3A%2F%2Fwww.webofscience.com%2Fwos%2Fwoscc%2Ffull-record%2FWOS:000680529800001","View Full Record in Web of Science")</f>
        <v>View Full Record in Web of Science</v>
      </c>
    </row>
    <row r="520" spans="1:72" x14ac:dyDescent="0.2">
      <c r="A520" t="s">
        <v>72</v>
      </c>
      <c r="B520" t="s">
        <v>4600</v>
      </c>
      <c r="C520" t="s">
        <v>74</v>
      </c>
      <c r="D520" t="s">
        <v>74</v>
      </c>
      <c r="E520" t="s">
        <v>74</v>
      </c>
      <c r="F520" t="s">
        <v>4601</v>
      </c>
      <c r="G520" t="s">
        <v>74</v>
      </c>
      <c r="H520" t="s">
        <v>74</v>
      </c>
      <c r="I520" t="s">
        <v>4602</v>
      </c>
      <c r="J520" t="s">
        <v>723</v>
      </c>
      <c r="K520" t="s">
        <v>74</v>
      </c>
      <c r="L520" t="s">
        <v>74</v>
      </c>
      <c r="M520" t="s">
        <v>74</v>
      </c>
      <c r="N520" t="s">
        <v>74</v>
      </c>
      <c r="O520" t="s">
        <v>74</v>
      </c>
      <c r="P520" t="s">
        <v>74</v>
      </c>
      <c r="Q520" t="s">
        <v>74</v>
      </c>
      <c r="R520" t="s">
        <v>74</v>
      </c>
      <c r="S520" t="s">
        <v>74</v>
      </c>
      <c r="T520" t="s">
        <v>74</v>
      </c>
      <c r="U520" t="s">
        <v>74</v>
      </c>
      <c r="V520" t="s">
        <v>4603</v>
      </c>
      <c r="W520" t="s">
        <v>74</v>
      </c>
      <c r="X520" t="s">
        <v>74</v>
      </c>
      <c r="Y520" t="s">
        <v>74</v>
      </c>
      <c r="Z520" t="s">
        <v>74</v>
      </c>
      <c r="AA520" t="s">
        <v>4604</v>
      </c>
      <c r="AB520" t="s">
        <v>4605</v>
      </c>
      <c r="AC520" t="s">
        <v>74</v>
      </c>
      <c r="AD520" t="s">
        <v>74</v>
      </c>
      <c r="AE520" t="s">
        <v>74</v>
      </c>
      <c r="AF520" t="s">
        <v>74</v>
      </c>
      <c r="AG520" t="s">
        <v>74</v>
      </c>
      <c r="AH520" t="s">
        <v>74</v>
      </c>
      <c r="AI520" t="s">
        <v>74</v>
      </c>
      <c r="AJ520" t="s">
        <v>74</v>
      </c>
      <c r="AK520" t="s">
        <v>74</v>
      </c>
      <c r="AL520" t="s">
        <v>74</v>
      </c>
      <c r="AM520" t="s">
        <v>74</v>
      </c>
      <c r="AN520" t="s">
        <v>74</v>
      </c>
      <c r="AO520" t="s">
        <v>727</v>
      </c>
      <c r="AP520" t="s">
        <v>728</v>
      </c>
      <c r="AQ520" t="s">
        <v>74</v>
      </c>
      <c r="AR520" t="s">
        <v>74</v>
      </c>
      <c r="AS520" t="s">
        <v>74</v>
      </c>
      <c r="AT520" t="s">
        <v>4606</v>
      </c>
      <c r="AU520">
        <v>2021</v>
      </c>
      <c r="AV520">
        <v>50</v>
      </c>
      <c r="AW520">
        <v>18</v>
      </c>
      <c r="AX520" t="s">
        <v>74</v>
      </c>
      <c r="AY520" t="s">
        <v>74</v>
      </c>
      <c r="AZ520" t="s">
        <v>74</v>
      </c>
      <c r="BA520" t="s">
        <v>74</v>
      </c>
      <c r="BB520">
        <v>10486</v>
      </c>
      <c r="BC520">
        <v>10566</v>
      </c>
      <c r="BD520" t="s">
        <v>74</v>
      </c>
      <c r="BE520" t="s">
        <v>4607</v>
      </c>
      <c r="BF520" t="str">
        <f>HYPERLINK("http://dx.doi.org/10.1039/d1cs00450f","http://dx.doi.org/10.1039/d1cs00450f")</f>
        <v>http://dx.doi.org/10.1039/d1cs00450f</v>
      </c>
      <c r="BG520" t="s">
        <v>74</v>
      </c>
      <c r="BH520" t="s">
        <v>4550</v>
      </c>
      <c r="BI520" t="s">
        <v>74</v>
      </c>
      <c r="BJ520" t="s">
        <v>74</v>
      </c>
      <c r="BK520" t="s">
        <v>74</v>
      </c>
      <c r="BL520" t="s">
        <v>74</v>
      </c>
      <c r="BM520" t="s">
        <v>74</v>
      </c>
      <c r="BN520">
        <v>34341815</v>
      </c>
      <c r="BO520" t="s">
        <v>74</v>
      </c>
      <c r="BP520" t="s">
        <v>74</v>
      </c>
      <c r="BQ520" t="s">
        <v>74</v>
      </c>
      <c r="BR520" t="s">
        <v>74</v>
      </c>
      <c r="BS520" t="s">
        <v>4608</v>
      </c>
      <c r="BT520" t="str">
        <f>HYPERLINK("https%3A%2F%2Fwww.webofscience.com%2Fwos%2Fwoscc%2Ffull-record%2FWOS:000680430500001","View Full Record in Web of Science")</f>
        <v>View Full Record in Web of Science</v>
      </c>
    </row>
    <row r="521" spans="1:72" x14ac:dyDescent="0.2">
      <c r="A521" t="s">
        <v>72</v>
      </c>
      <c r="B521" t="s">
        <v>4609</v>
      </c>
      <c r="C521" t="s">
        <v>74</v>
      </c>
      <c r="D521" t="s">
        <v>74</v>
      </c>
      <c r="E521" t="s">
        <v>74</v>
      </c>
      <c r="F521" t="s">
        <v>4610</v>
      </c>
      <c r="G521" t="s">
        <v>74</v>
      </c>
      <c r="H521" t="s">
        <v>74</v>
      </c>
      <c r="I521" t="s">
        <v>4611</v>
      </c>
      <c r="J521" t="s">
        <v>422</v>
      </c>
      <c r="K521" t="s">
        <v>74</v>
      </c>
      <c r="L521" t="s">
        <v>74</v>
      </c>
      <c r="M521" t="s">
        <v>74</v>
      </c>
      <c r="N521" t="s">
        <v>74</v>
      </c>
      <c r="O521" t="s">
        <v>74</v>
      </c>
      <c r="P521" t="s">
        <v>74</v>
      </c>
      <c r="Q521" t="s">
        <v>74</v>
      </c>
      <c r="R521" t="s">
        <v>74</v>
      </c>
      <c r="S521" t="s">
        <v>74</v>
      </c>
      <c r="T521" t="s">
        <v>74</v>
      </c>
      <c r="U521" t="s">
        <v>74</v>
      </c>
      <c r="V521" t="s">
        <v>4612</v>
      </c>
      <c r="W521" t="s">
        <v>74</v>
      </c>
      <c r="X521" t="s">
        <v>74</v>
      </c>
      <c r="Y521" t="s">
        <v>74</v>
      </c>
      <c r="Z521" t="s">
        <v>74</v>
      </c>
      <c r="AA521" t="s">
        <v>4613</v>
      </c>
      <c r="AB521" t="s">
        <v>4614</v>
      </c>
      <c r="AC521" t="s">
        <v>74</v>
      </c>
      <c r="AD521" t="s">
        <v>74</v>
      </c>
      <c r="AE521" t="s">
        <v>74</v>
      </c>
      <c r="AF521" t="s">
        <v>74</v>
      </c>
      <c r="AG521" t="s">
        <v>74</v>
      </c>
      <c r="AH521" t="s">
        <v>74</v>
      </c>
      <c r="AI521" t="s">
        <v>74</v>
      </c>
      <c r="AJ521" t="s">
        <v>74</v>
      </c>
      <c r="AK521" t="s">
        <v>74</v>
      </c>
      <c r="AL521" t="s">
        <v>74</v>
      </c>
      <c r="AM521" t="s">
        <v>74</v>
      </c>
      <c r="AN521" t="s">
        <v>74</v>
      </c>
      <c r="AO521" t="s">
        <v>426</v>
      </c>
      <c r="AP521" t="s">
        <v>74</v>
      </c>
      <c r="AQ521" t="s">
        <v>74</v>
      </c>
      <c r="AR521" t="s">
        <v>74</v>
      </c>
      <c r="AS521" t="s">
        <v>74</v>
      </c>
      <c r="AT521" t="s">
        <v>4615</v>
      </c>
      <c r="AU521">
        <v>2021</v>
      </c>
      <c r="AV521">
        <v>4</v>
      </c>
      <c r="AW521">
        <v>8</v>
      </c>
      <c r="AX521" t="s">
        <v>74</v>
      </c>
      <c r="AY521" t="s">
        <v>74</v>
      </c>
      <c r="AZ521" t="s">
        <v>74</v>
      </c>
      <c r="BA521" t="s">
        <v>74</v>
      </c>
      <c r="BB521">
        <v>8294</v>
      </c>
      <c r="BC521">
        <v>8302</v>
      </c>
      <c r="BD521" t="s">
        <v>74</v>
      </c>
      <c r="BE521" t="s">
        <v>4616</v>
      </c>
      <c r="BF521" t="str">
        <f>HYPERLINK("http://dx.doi.org/10.1021/acsaem.1c01522","http://dx.doi.org/10.1021/acsaem.1c01522")</f>
        <v>http://dx.doi.org/10.1021/acsaem.1c01522</v>
      </c>
      <c r="BG521" t="s">
        <v>74</v>
      </c>
      <c r="BH521" t="s">
        <v>4617</v>
      </c>
      <c r="BI521" t="s">
        <v>74</v>
      </c>
      <c r="BJ521" t="s">
        <v>74</v>
      </c>
      <c r="BK521" t="s">
        <v>74</v>
      </c>
      <c r="BL521" t="s">
        <v>74</v>
      </c>
      <c r="BM521" t="s">
        <v>74</v>
      </c>
      <c r="BN521" t="s">
        <v>74</v>
      </c>
      <c r="BO521" t="s">
        <v>74</v>
      </c>
      <c r="BP521" t="s">
        <v>74</v>
      </c>
      <c r="BQ521" t="s">
        <v>74</v>
      </c>
      <c r="BR521" t="s">
        <v>74</v>
      </c>
      <c r="BS521" t="s">
        <v>4618</v>
      </c>
      <c r="BT521" t="str">
        <f>HYPERLINK("https%3A%2F%2Fwww.webofscience.com%2Fwos%2Fwoscc%2Ffull-record%2FWOS:000688250200090","View Full Record in Web of Science")</f>
        <v>View Full Record in Web of Science</v>
      </c>
    </row>
    <row r="522" spans="1:72" x14ac:dyDescent="0.2">
      <c r="A522" t="s">
        <v>72</v>
      </c>
      <c r="B522" t="s">
        <v>4619</v>
      </c>
      <c r="C522" t="s">
        <v>74</v>
      </c>
      <c r="D522" t="s">
        <v>74</v>
      </c>
      <c r="E522" t="s">
        <v>74</v>
      </c>
      <c r="F522" t="s">
        <v>4620</v>
      </c>
      <c r="G522" t="s">
        <v>74</v>
      </c>
      <c r="H522" t="s">
        <v>74</v>
      </c>
      <c r="I522" t="s">
        <v>4621</v>
      </c>
      <c r="J522" t="s">
        <v>171</v>
      </c>
      <c r="K522" t="s">
        <v>74</v>
      </c>
      <c r="L522" t="s">
        <v>74</v>
      </c>
      <c r="M522" t="s">
        <v>74</v>
      </c>
      <c r="N522" t="s">
        <v>74</v>
      </c>
      <c r="O522" t="s">
        <v>74</v>
      </c>
      <c r="P522" t="s">
        <v>74</v>
      </c>
      <c r="Q522" t="s">
        <v>74</v>
      </c>
      <c r="R522" t="s">
        <v>74</v>
      </c>
      <c r="S522" t="s">
        <v>74</v>
      </c>
      <c r="T522" t="s">
        <v>74</v>
      </c>
      <c r="U522" t="s">
        <v>74</v>
      </c>
      <c r="V522" t="s">
        <v>4622</v>
      </c>
      <c r="W522" t="s">
        <v>74</v>
      </c>
      <c r="X522" t="s">
        <v>74</v>
      </c>
      <c r="Y522" t="s">
        <v>74</v>
      </c>
      <c r="Z522" t="s">
        <v>74</v>
      </c>
      <c r="AA522" t="s">
        <v>4623</v>
      </c>
      <c r="AB522" t="s">
        <v>4624</v>
      </c>
      <c r="AC522" t="s">
        <v>74</v>
      </c>
      <c r="AD522" t="s">
        <v>74</v>
      </c>
      <c r="AE522" t="s">
        <v>74</v>
      </c>
      <c r="AF522" t="s">
        <v>74</v>
      </c>
      <c r="AG522" t="s">
        <v>74</v>
      </c>
      <c r="AH522" t="s">
        <v>74</v>
      </c>
      <c r="AI522" t="s">
        <v>74</v>
      </c>
      <c r="AJ522" t="s">
        <v>74</v>
      </c>
      <c r="AK522" t="s">
        <v>74</v>
      </c>
      <c r="AL522" t="s">
        <v>74</v>
      </c>
      <c r="AM522" t="s">
        <v>74</v>
      </c>
      <c r="AN522" t="s">
        <v>74</v>
      </c>
      <c r="AO522" t="s">
        <v>173</v>
      </c>
      <c r="AP522" t="s">
        <v>174</v>
      </c>
      <c r="AQ522" t="s">
        <v>74</v>
      </c>
      <c r="AR522" t="s">
        <v>74</v>
      </c>
      <c r="AS522" t="s">
        <v>74</v>
      </c>
      <c r="AT522" t="s">
        <v>2737</v>
      </c>
      <c r="AU522">
        <v>2021</v>
      </c>
      <c r="AV522">
        <v>604</v>
      </c>
      <c r="AW522" t="s">
        <v>74</v>
      </c>
      <c r="AX522" t="s">
        <v>74</v>
      </c>
      <c r="AY522" t="s">
        <v>74</v>
      </c>
      <c r="AZ522" t="s">
        <v>74</v>
      </c>
      <c r="BA522" t="s">
        <v>74</v>
      </c>
      <c r="BB522">
        <v>746</v>
      </c>
      <c r="BC522">
        <v>756</v>
      </c>
      <c r="BD522" t="s">
        <v>74</v>
      </c>
      <c r="BE522" t="s">
        <v>4625</v>
      </c>
      <c r="BF522" t="str">
        <f>HYPERLINK("http://dx.doi.org/10.1016/j.jcis.2021.07.040","http://dx.doi.org/10.1016/j.jcis.2021.07.040")</f>
        <v>http://dx.doi.org/10.1016/j.jcis.2021.07.040</v>
      </c>
      <c r="BG522" t="s">
        <v>74</v>
      </c>
      <c r="BH522" t="s">
        <v>4617</v>
      </c>
      <c r="BI522" t="s">
        <v>74</v>
      </c>
      <c r="BJ522" t="s">
        <v>74</v>
      </c>
      <c r="BK522" t="s">
        <v>74</v>
      </c>
      <c r="BL522" t="s">
        <v>74</v>
      </c>
      <c r="BM522" t="s">
        <v>74</v>
      </c>
      <c r="BN522">
        <v>34293532</v>
      </c>
      <c r="BO522" t="s">
        <v>74</v>
      </c>
      <c r="BP522" t="s">
        <v>74</v>
      </c>
      <c r="BQ522" t="s">
        <v>74</v>
      </c>
      <c r="BR522" t="s">
        <v>74</v>
      </c>
      <c r="BS522" t="s">
        <v>4626</v>
      </c>
      <c r="BT522" t="str">
        <f>HYPERLINK("https%3A%2F%2Fwww.webofscience.com%2Fwos%2Fwoscc%2Ffull-record%2FWOS:000704406800002","View Full Record in Web of Science")</f>
        <v>View Full Record in Web of Science</v>
      </c>
    </row>
    <row r="523" spans="1:72" x14ac:dyDescent="0.2">
      <c r="A523" t="s">
        <v>72</v>
      </c>
      <c r="B523" t="s">
        <v>4627</v>
      </c>
      <c r="C523" t="s">
        <v>74</v>
      </c>
      <c r="D523" t="s">
        <v>74</v>
      </c>
      <c r="E523" t="s">
        <v>74</v>
      </c>
      <c r="F523" t="s">
        <v>4628</v>
      </c>
      <c r="G523" t="s">
        <v>74</v>
      </c>
      <c r="H523" t="s">
        <v>74</v>
      </c>
      <c r="I523" t="s">
        <v>4629</v>
      </c>
      <c r="J523" t="s">
        <v>161</v>
      </c>
      <c r="K523" t="s">
        <v>74</v>
      </c>
      <c r="L523" t="s">
        <v>74</v>
      </c>
      <c r="M523" t="s">
        <v>74</v>
      </c>
      <c r="N523" t="s">
        <v>74</v>
      </c>
      <c r="O523" t="s">
        <v>74</v>
      </c>
      <c r="P523" t="s">
        <v>74</v>
      </c>
      <c r="Q523" t="s">
        <v>74</v>
      </c>
      <c r="R523" t="s">
        <v>74</v>
      </c>
      <c r="S523" t="s">
        <v>74</v>
      </c>
      <c r="T523" t="s">
        <v>74</v>
      </c>
      <c r="U523" t="s">
        <v>74</v>
      </c>
      <c r="V523" t="s">
        <v>4630</v>
      </c>
      <c r="W523" t="s">
        <v>74</v>
      </c>
      <c r="X523" t="s">
        <v>74</v>
      </c>
      <c r="Y523" t="s">
        <v>74</v>
      </c>
      <c r="Z523" t="s">
        <v>74</v>
      </c>
      <c r="AA523" t="s">
        <v>4631</v>
      </c>
      <c r="AB523" t="s">
        <v>74</v>
      </c>
      <c r="AC523" t="s">
        <v>74</v>
      </c>
      <c r="AD523" t="s">
        <v>74</v>
      </c>
      <c r="AE523" t="s">
        <v>74</v>
      </c>
      <c r="AF523" t="s">
        <v>74</v>
      </c>
      <c r="AG523" t="s">
        <v>74</v>
      </c>
      <c r="AH523" t="s">
        <v>74</v>
      </c>
      <c r="AI523" t="s">
        <v>74</v>
      </c>
      <c r="AJ523" t="s">
        <v>74</v>
      </c>
      <c r="AK523" t="s">
        <v>74</v>
      </c>
      <c r="AL523" t="s">
        <v>74</v>
      </c>
      <c r="AM523" t="s">
        <v>74</v>
      </c>
      <c r="AN523" t="s">
        <v>74</v>
      </c>
      <c r="AO523" t="s">
        <v>163</v>
      </c>
      <c r="AP523" t="s">
        <v>164</v>
      </c>
      <c r="AQ523" t="s">
        <v>74</v>
      </c>
      <c r="AR523" t="s">
        <v>74</v>
      </c>
      <c r="AS523" t="s">
        <v>74</v>
      </c>
      <c r="AT523" t="s">
        <v>1420</v>
      </c>
      <c r="AU523">
        <v>2022</v>
      </c>
      <c r="AV523">
        <v>428</v>
      </c>
      <c r="AW523" t="s">
        <v>74</v>
      </c>
      <c r="AX523" t="s">
        <v>74</v>
      </c>
      <c r="AY523" t="s">
        <v>74</v>
      </c>
      <c r="AZ523" t="s">
        <v>74</v>
      </c>
      <c r="BA523" t="s">
        <v>74</v>
      </c>
      <c r="BB523" t="s">
        <v>74</v>
      </c>
      <c r="BC523" t="s">
        <v>74</v>
      </c>
      <c r="BD523">
        <v>131100</v>
      </c>
      <c r="BE523" t="s">
        <v>4632</v>
      </c>
      <c r="BF523" t="str">
        <f>HYPERLINK("http://dx.doi.org/10.1016/j.cej.2021.131100","http://dx.doi.org/10.1016/j.cej.2021.131100")</f>
        <v>http://dx.doi.org/10.1016/j.cej.2021.131100</v>
      </c>
      <c r="BG523" t="s">
        <v>74</v>
      </c>
      <c r="BH523" t="s">
        <v>4617</v>
      </c>
      <c r="BI523" t="s">
        <v>74</v>
      </c>
      <c r="BJ523" t="s">
        <v>74</v>
      </c>
      <c r="BK523" t="s">
        <v>74</v>
      </c>
      <c r="BL523" t="s">
        <v>74</v>
      </c>
      <c r="BM523" t="s">
        <v>74</v>
      </c>
      <c r="BN523" t="s">
        <v>74</v>
      </c>
      <c r="BO523" t="s">
        <v>74</v>
      </c>
      <c r="BP523" t="s">
        <v>74</v>
      </c>
      <c r="BQ523" t="s">
        <v>74</v>
      </c>
      <c r="BR523" t="s">
        <v>74</v>
      </c>
      <c r="BS523" t="s">
        <v>4633</v>
      </c>
      <c r="BT523" t="str">
        <f>HYPERLINK("https%3A%2F%2Fwww.webofscience.com%2Fwos%2Fwoscc%2Ffull-record%2FWOS:000710916400002","View Full Record in Web of Science")</f>
        <v>View Full Record in Web of Science</v>
      </c>
    </row>
    <row r="524" spans="1:72" x14ac:dyDescent="0.2">
      <c r="A524" t="s">
        <v>72</v>
      </c>
      <c r="B524" t="s">
        <v>4634</v>
      </c>
      <c r="C524" t="s">
        <v>74</v>
      </c>
      <c r="D524" t="s">
        <v>74</v>
      </c>
      <c r="E524" t="s">
        <v>74</v>
      </c>
      <c r="F524" t="s">
        <v>4635</v>
      </c>
      <c r="G524" t="s">
        <v>74</v>
      </c>
      <c r="H524" t="s">
        <v>74</v>
      </c>
      <c r="I524" t="s">
        <v>4636</v>
      </c>
      <c r="J524" t="s">
        <v>307</v>
      </c>
      <c r="K524" t="s">
        <v>74</v>
      </c>
      <c r="L524" t="s">
        <v>74</v>
      </c>
      <c r="M524" t="s">
        <v>74</v>
      </c>
      <c r="N524" t="s">
        <v>74</v>
      </c>
      <c r="O524" t="s">
        <v>74</v>
      </c>
      <c r="P524" t="s">
        <v>74</v>
      </c>
      <c r="Q524" t="s">
        <v>74</v>
      </c>
      <c r="R524" t="s">
        <v>74</v>
      </c>
      <c r="S524" t="s">
        <v>74</v>
      </c>
      <c r="T524" t="s">
        <v>74</v>
      </c>
      <c r="U524" t="s">
        <v>74</v>
      </c>
      <c r="V524" t="s">
        <v>4637</v>
      </c>
      <c r="W524" t="s">
        <v>74</v>
      </c>
      <c r="X524" t="s">
        <v>74</v>
      </c>
      <c r="Y524" t="s">
        <v>74</v>
      </c>
      <c r="Z524" t="s">
        <v>74</v>
      </c>
      <c r="AA524" t="s">
        <v>4638</v>
      </c>
      <c r="AB524" t="s">
        <v>4639</v>
      </c>
      <c r="AC524" t="s">
        <v>74</v>
      </c>
      <c r="AD524" t="s">
        <v>74</v>
      </c>
      <c r="AE524" t="s">
        <v>74</v>
      </c>
      <c r="AF524" t="s">
        <v>74</v>
      </c>
      <c r="AG524" t="s">
        <v>74</v>
      </c>
      <c r="AH524" t="s">
        <v>74</v>
      </c>
      <c r="AI524" t="s">
        <v>74</v>
      </c>
      <c r="AJ524" t="s">
        <v>74</v>
      </c>
      <c r="AK524" t="s">
        <v>74</v>
      </c>
      <c r="AL524" t="s">
        <v>74</v>
      </c>
      <c r="AM524" t="s">
        <v>74</v>
      </c>
      <c r="AN524" t="s">
        <v>74</v>
      </c>
      <c r="AO524" t="s">
        <v>74</v>
      </c>
      <c r="AP524" t="s">
        <v>309</v>
      </c>
      <c r="AQ524" t="s">
        <v>74</v>
      </c>
      <c r="AR524" t="s">
        <v>74</v>
      </c>
      <c r="AS524" t="s">
        <v>74</v>
      </c>
      <c r="AT524" t="s">
        <v>113</v>
      </c>
      <c r="AU524">
        <v>2021</v>
      </c>
      <c r="AV524">
        <v>4</v>
      </c>
      <c r="AW524">
        <v>10</v>
      </c>
      <c r="AX524" t="s">
        <v>74</v>
      </c>
      <c r="AY524" t="s">
        <v>74</v>
      </c>
      <c r="AZ524" t="s">
        <v>74</v>
      </c>
      <c r="BA524" t="s">
        <v>74</v>
      </c>
      <c r="BB524">
        <v>1647</v>
      </c>
      <c r="BC524">
        <v>1653</v>
      </c>
      <c r="BD524" t="s">
        <v>74</v>
      </c>
      <c r="BE524" t="s">
        <v>4640</v>
      </c>
      <c r="BF524" t="str">
        <f>HYPERLINK("http://dx.doi.org/10.1002/batt.202100124","http://dx.doi.org/10.1002/batt.202100124")</f>
        <v>http://dx.doi.org/10.1002/batt.202100124</v>
      </c>
      <c r="BG524" t="s">
        <v>74</v>
      </c>
      <c r="BH524" t="s">
        <v>4617</v>
      </c>
      <c r="BI524" t="s">
        <v>74</v>
      </c>
      <c r="BJ524" t="s">
        <v>74</v>
      </c>
      <c r="BK524" t="s">
        <v>74</v>
      </c>
      <c r="BL524" t="s">
        <v>74</v>
      </c>
      <c r="BM524" t="s">
        <v>74</v>
      </c>
      <c r="BN524" t="s">
        <v>74</v>
      </c>
      <c r="BO524" t="s">
        <v>74</v>
      </c>
      <c r="BP524" t="s">
        <v>74</v>
      </c>
      <c r="BQ524" t="s">
        <v>74</v>
      </c>
      <c r="BR524" t="s">
        <v>74</v>
      </c>
      <c r="BS524" t="s">
        <v>4641</v>
      </c>
      <c r="BT524" t="str">
        <f>HYPERLINK("https%3A%2F%2Fwww.webofscience.com%2Fwos%2Fwoscc%2Ffull-record%2FWOS:000668754700001","View Full Record in Web of Science")</f>
        <v>View Full Record in Web of Science</v>
      </c>
    </row>
    <row r="525" spans="1:72" x14ac:dyDescent="0.2">
      <c r="A525" t="s">
        <v>72</v>
      </c>
      <c r="B525" t="s">
        <v>4642</v>
      </c>
      <c r="C525" t="s">
        <v>74</v>
      </c>
      <c r="D525" t="s">
        <v>74</v>
      </c>
      <c r="E525" t="s">
        <v>74</v>
      </c>
      <c r="F525" t="s">
        <v>4643</v>
      </c>
      <c r="G525" t="s">
        <v>74</v>
      </c>
      <c r="H525" t="s">
        <v>74</v>
      </c>
      <c r="I525" t="s">
        <v>4644</v>
      </c>
      <c r="J525" t="s">
        <v>3988</v>
      </c>
      <c r="K525" t="s">
        <v>74</v>
      </c>
      <c r="L525" t="s">
        <v>74</v>
      </c>
      <c r="M525" t="s">
        <v>74</v>
      </c>
      <c r="N525" t="s">
        <v>74</v>
      </c>
      <c r="O525" t="s">
        <v>74</v>
      </c>
      <c r="P525" t="s">
        <v>74</v>
      </c>
      <c r="Q525" t="s">
        <v>74</v>
      </c>
      <c r="R525" t="s">
        <v>74</v>
      </c>
      <c r="S525" t="s">
        <v>74</v>
      </c>
      <c r="T525" t="s">
        <v>74</v>
      </c>
      <c r="U525" t="s">
        <v>74</v>
      </c>
      <c r="V525" t="s">
        <v>4645</v>
      </c>
      <c r="W525" t="s">
        <v>74</v>
      </c>
      <c r="X525" t="s">
        <v>74</v>
      </c>
      <c r="Y525" t="s">
        <v>74</v>
      </c>
      <c r="Z525" t="s">
        <v>74</v>
      </c>
      <c r="AA525" t="s">
        <v>4646</v>
      </c>
      <c r="AB525" t="s">
        <v>4647</v>
      </c>
      <c r="AC525" t="s">
        <v>74</v>
      </c>
      <c r="AD525" t="s">
        <v>74</v>
      </c>
      <c r="AE525" t="s">
        <v>74</v>
      </c>
      <c r="AF525" t="s">
        <v>74</v>
      </c>
      <c r="AG525" t="s">
        <v>74</v>
      </c>
      <c r="AH525" t="s">
        <v>74</v>
      </c>
      <c r="AI525" t="s">
        <v>74</v>
      </c>
      <c r="AJ525" t="s">
        <v>74</v>
      </c>
      <c r="AK525" t="s">
        <v>74</v>
      </c>
      <c r="AL525" t="s">
        <v>74</v>
      </c>
      <c r="AM525" t="s">
        <v>74</v>
      </c>
      <c r="AN525" t="s">
        <v>74</v>
      </c>
      <c r="AO525" t="s">
        <v>74</v>
      </c>
      <c r="AP525" t="s">
        <v>3992</v>
      </c>
      <c r="AQ525" t="s">
        <v>74</v>
      </c>
      <c r="AR525" t="s">
        <v>74</v>
      </c>
      <c r="AS525" t="s">
        <v>74</v>
      </c>
      <c r="AT525" t="s">
        <v>4648</v>
      </c>
      <c r="AU525">
        <v>2021</v>
      </c>
      <c r="AV525">
        <v>5</v>
      </c>
      <c r="AW525">
        <v>16</v>
      </c>
      <c r="AX525" t="s">
        <v>74</v>
      </c>
      <c r="AY525" t="s">
        <v>74</v>
      </c>
      <c r="AZ525" t="s">
        <v>74</v>
      </c>
      <c r="BA525" t="s">
        <v>74</v>
      </c>
      <c r="BB525">
        <v>6014</v>
      </c>
      <c r="BC525">
        <v>6026</v>
      </c>
      <c r="BD525" t="s">
        <v>74</v>
      </c>
      <c r="BE525" t="s">
        <v>4649</v>
      </c>
      <c r="BF525" t="str">
        <f>HYPERLINK("http://dx.doi.org/10.1039/d1qm00648g","http://dx.doi.org/10.1039/d1qm00648g")</f>
        <v>http://dx.doi.org/10.1039/d1qm00648g</v>
      </c>
      <c r="BG525" t="s">
        <v>74</v>
      </c>
      <c r="BH525" t="s">
        <v>4650</v>
      </c>
      <c r="BI525" t="s">
        <v>74</v>
      </c>
      <c r="BJ525" t="s">
        <v>74</v>
      </c>
      <c r="BK525" t="s">
        <v>74</v>
      </c>
      <c r="BL525" t="s">
        <v>74</v>
      </c>
      <c r="BM525" t="s">
        <v>74</v>
      </c>
      <c r="BN525" t="s">
        <v>74</v>
      </c>
      <c r="BO525" t="s">
        <v>74</v>
      </c>
      <c r="BP525" t="s">
        <v>74</v>
      </c>
      <c r="BQ525" t="s">
        <v>74</v>
      </c>
      <c r="BR525" t="s">
        <v>74</v>
      </c>
      <c r="BS525" t="s">
        <v>4651</v>
      </c>
      <c r="BT525" t="str">
        <f>HYPERLINK("https%3A%2F%2Fwww.webofscience.com%2Fwos%2Fwoscc%2Ffull-record%2FWOS:000668130000001","View Full Record in Web of Science")</f>
        <v>View Full Record in Web of Science</v>
      </c>
    </row>
    <row r="526" spans="1:72" x14ac:dyDescent="0.2">
      <c r="A526" t="s">
        <v>72</v>
      </c>
      <c r="B526" t="s">
        <v>4652</v>
      </c>
      <c r="C526" t="s">
        <v>74</v>
      </c>
      <c r="D526" t="s">
        <v>74</v>
      </c>
      <c r="E526" t="s">
        <v>74</v>
      </c>
      <c r="F526" t="s">
        <v>4653</v>
      </c>
      <c r="G526" t="s">
        <v>74</v>
      </c>
      <c r="H526" t="s">
        <v>74</v>
      </c>
      <c r="I526" t="s">
        <v>4654</v>
      </c>
      <c r="J526" t="s">
        <v>1015</v>
      </c>
      <c r="K526" t="s">
        <v>74</v>
      </c>
      <c r="L526" t="s">
        <v>74</v>
      </c>
      <c r="M526" t="s">
        <v>74</v>
      </c>
      <c r="N526" t="s">
        <v>74</v>
      </c>
      <c r="O526" t="s">
        <v>74</v>
      </c>
      <c r="P526" t="s">
        <v>74</v>
      </c>
      <c r="Q526" t="s">
        <v>74</v>
      </c>
      <c r="R526" t="s">
        <v>74</v>
      </c>
      <c r="S526" t="s">
        <v>74</v>
      </c>
      <c r="T526" t="s">
        <v>74</v>
      </c>
      <c r="U526" t="s">
        <v>74</v>
      </c>
      <c r="V526" t="s">
        <v>4655</v>
      </c>
      <c r="W526" t="s">
        <v>74</v>
      </c>
      <c r="X526" t="s">
        <v>74</v>
      </c>
      <c r="Y526" t="s">
        <v>74</v>
      </c>
      <c r="Z526" t="s">
        <v>74</v>
      </c>
      <c r="AA526" t="s">
        <v>4656</v>
      </c>
      <c r="AB526" t="s">
        <v>4657</v>
      </c>
      <c r="AC526" t="s">
        <v>74</v>
      </c>
      <c r="AD526" t="s">
        <v>74</v>
      </c>
      <c r="AE526" t="s">
        <v>74</v>
      </c>
      <c r="AF526" t="s">
        <v>74</v>
      </c>
      <c r="AG526" t="s">
        <v>74</v>
      </c>
      <c r="AH526" t="s">
        <v>74</v>
      </c>
      <c r="AI526" t="s">
        <v>74</v>
      </c>
      <c r="AJ526" t="s">
        <v>74</v>
      </c>
      <c r="AK526" t="s">
        <v>74</v>
      </c>
      <c r="AL526" t="s">
        <v>74</v>
      </c>
      <c r="AM526" t="s">
        <v>74</v>
      </c>
      <c r="AN526" t="s">
        <v>74</v>
      </c>
      <c r="AO526" t="s">
        <v>1017</v>
      </c>
      <c r="AP526" t="s">
        <v>74</v>
      </c>
      <c r="AQ526" t="s">
        <v>74</v>
      </c>
      <c r="AR526" t="s">
        <v>74</v>
      </c>
      <c r="AS526" t="s">
        <v>74</v>
      </c>
      <c r="AT526" t="s">
        <v>155</v>
      </c>
      <c r="AU526">
        <v>2021</v>
      </c>
      <c r="AV526">
        <v>21</v>
      </c>
      <c r="AW526" t="s">
        <v>74</v>
      </c>
      <c r="AX526" t="s">
        <v>74</v>
      </c>
      <c r="AY526" t="s">
        <v>74</v>
      </c>
      <c r="AZ526" t="s">
        <v>74</v>
      </c>
      <c r="BA526" t="s">
        <v>74</v>
      </c>
      <c r="BB526" t="s">
        <v>74</v>
      </c>
      <c r="BC526" t="s">
        <v>74</v>
      </c>
      <c r="BD526">
        <v>100793</v>
      </c>
      <c r="BE526" t="s">
        <v>4658</v>
      </c>
      <c r="BF526" t="str">
        <f>HYPERLINK("http://dx.doi.org/10.1016/j.mtener.2021.100793","http://dx.doi.org/10.1016/j.mtener.2021.100793")</f>
        <v>http://dx.doi.org/10.1016/j.mtener.2021.100793</v>
      </c>
      <c r="BG526" t="s">
        <v>74</v>
      </c>
      <c r="BH526" t="s">
        <v>4650</v>
      </c>
      <c r="BI526" t="s">
        <v>74</v>
      </c>
      <c r="BJ526" t="s">
        <v>74</v>
      </c>
      <c r="BK526" t="s">
        <v>74</v>
      </c>
      <c r="BL526" t="s">
        <v>74</v>
      </c>
      <c r="BM526" t="s">
        <v>74</v>
      </c>
      <c r="BN526" t="s">
        <v>74</v>
      </c>
      <c r="BO526" t="s">
        <v>74</v>
      </c>
      <c r="BP526" t="s">
        <v>74</v>
      </c>
      <c r="BQ526" t="s">
        <v>74</v>
      </c>
      <c r="BR526" t="s">
        <v>74</v>
      </c>
      <c r="BS526" t="s">
        <v>4659</v>
      </c>
      <c r="BT526" t="str">
        <f>HYPERLINK("https%3A%2F%2Fwww.webofscience.com%2Fwos%2Fwoscc%2Ffull-record%2FWOS:000701824000004","View Full Record in Web of Science")</f>
        <v>View Full Record in Web of Science</v>
      </c>
    </row>
    <row r="527" spans="1:72" x14ac:dyDescent="0.2">
      <c r="A527" t="s">
        <v>72</v>
      </c>
      <c r="B527" t="s">
        <v>4660</v>
      </c>
      <c r="C527" t="s">
        <v>74</v>
      </c>
      <c r="D527" t="s">
        <v>74</v>
      </c>
      <c r="E527" t="s">
        <v>74</v>
      </c>
      <c r="F527" t="s">
        <v>4661</v>
      </c>
      <c r="G527" t="s">
        <v>74</v>
      </c>
      <c r="H527" t="s">
        <v>74</v>
      </c>
      <c r="I527" t="s">
        <v>4662</v>
      </c>
      <c r="J527" t="s">
        <v>4663</v>
      </c>
      <c r="K527" t="s">
        <v>74</v>
      </c>
      <c r="L527" t="s">
        <v>74</v>
      </c>
      <c r="M527" t="s">
        <v>74</v>
      </c>
      <c r="N527" t="s">
        <v>74</v>
      </c>
      <c r="O527" t="s">
        <v>74</v>
      </c>
      <c r="P527" t="s">
        <v>74</v>
      </c>
      <c r="Q527" t="s">
        <v>74</v>
      </c>
      <c r="R527" t="s">
        <v>74</v>
      </c>
      <c r="S527" t="s">
        <v>74</v>
      </c>
      <c r="T527" t="s">
        <v>74</v>
      </c>
      <c r="U527" t="s">
        <v>74</v>
      </c>
      <c r="V527" t="s">
        <v>4664</v>
      </c>
      <c r="W527" t="s">
        <v>74</v>
      </c>
      <c r="X527" t="s">
        <v>74</v>
      </c>
      <c r="Y527" t="s">
        <v>74</v>
      </c>
      <c r="Z527" t="s">
        <v>74</v>
      </c>
      <c r="AA527" t="s">
        <v>4665</v>
      </c>
      <c r="AB527" t="s">
        <v>4666</v>
      </c>
      <c r="AC527" t="s">
        <v>74</v>
      </c>
      <c r="AD527" t="s">
        <v>74</v>
      </c>
      <c r="AE527" t="s">
        <v>74</v>
      </c>
      <c r="AF527" t="s">
        <v>74</v>
      </c>
      <c r="AG527" t="s">
        <v>74</v>
      </c>
      <c r="AH527" t="s">
        <v>74</v>
      </c>
      <c r="AI527" t="s">
        <v>74</v>
      </c>
      <c r="AJ527" t="s">
        <v>74</v>
      </c>
      <c r="AK527" t="s">
        <v>74</v>
      </c>
      <c r="AL527" t="s">
        <v>74</v>
      </c>
      <c r="AM527" t="s">
        <v>74</v>
      </c>
      <c r="AN527" t="s">
        <v>74</v>
      </c>
      <c r="AO527" t="s">
        <v>4667</v>
      </c>
      <c r="AP527" t="s">
        <v>4668</v>
      </c>
      <c r="AQ527" t="s">
        <v>74</v>
      </c>
      <c r="AR527" t="s">
        <v>74</v>
      </c>
      <c r="AS527" t="s">
        <v>74</v>
      </c>
      <c r="AT527" t="s">
        <v>103</v>
      </c>
      <c r="AU527">
        <v>2021</v>
      </c>
      <c r="AV527">
        <v>636</v>
      </c>
      <c r="AW527" t="s">
        <v>74</v>
      </c>
      <c r="AX527" t="s">
        <v>74</v>
      </c>
      <c r="AY527" t="s">
        <v>74</v>
      </c>
      <c r="AZ527" t="s">
        <v>74</v>
      </c>
      <c r="BA527" t="s">
        <v>74</v>
      </c>
      <c r="BB527" t="s">
        <v>74</v>
      </c>
      <c r="BC527" t="s">
        <v>74</v>
      </c>
      <c r="BD527">
        <v>119539</v>
      </c>
      <c r="BE527" t="s">
        <v>4669</v>
      </c>
      <c r="BF527" t="str">
        <f>HYPERLINK("http://dx.doi.org/10.1016/j.memsci.2021.119539","http://dx.doi.org/10.1016/j.memsci.2021.119539")</f>
        <v>http://dx.doi.org/10.1016/j.memsci.2021.119539</v>
      </c>
      <c r="BG527" t="s">
        <v>74</v>
      </c>
      <c r="BH527" t="s">
        <v>4650</v>
      </c>
      <c r="BI527" t="s">
        <v>74</v>
      </c>
      <c r="BJ527" t="s">
        <v>74</v>
      </c>
      <c r="BK527" t="s">
        <v>74</v>
      </c>
      <c r="BL527" t="s">
        <v>74</v>
      </c>
      <c r="BM527" t="s">
        <v>74</v>
      </c>
      <c r="BN527" t="s">
        <v>74</v>
      </c>
      <c r="BO527" t="s">
        <v>74</v>
      </c>
      <c r="BP527" t="s">
        <v>74</v>
      </c>
      <c r="BQ527" t="s">
        <v>74</v>
      </c>
      <c r="BR527" t="s">
        <v>74</v>
      </c>
      <c r="BS527" t="s">
        <v>4670</v>
      </c>
      <c r="BT527" t="str">
        <f>HYPERLINK("https%3A%2F%2Fwww.webofscience.com%2Fwos%2Fwoscc%2Ffull-record%2FWOS:000680024300005","View Full Record in Web of Science")</f>
        <v>View Full Record in Web of Science</v>
      </c>
    </row>
    <row r="528" spans="1:72" x14ac:dyDescent="0.2">
      <c r="A528" t="s">
        <v>72</v>
      </c>
      <c r="B528" t="s">
        <v>4671</v>
      </c>
      <c r="C528" t="s">
        <v>74</v>
      </c>
      <c r="D528" t="s">
        <v>74</v>
      </c>
      <c r="E528" t="s">
        <v>74</v>
      </c>
      <c r="F528" t="s">
        <v>4672</v>
      </c>
      <c r="G528" t="s">
        <v>74</v>
      </c>
      <c r="H528" t="s">
        <v>74</v>
      </c>
      <c r="I528" t="s">
        <v>4673</v>
      </c>
      <c r="J528" t="s">
        <v>278</v>
      </c>
      <c r="K528" t="s">
        <v>74</v>
      </c>
      <c r="L528" t="s">
        <v>74</v>
      </c>
      <c r="M528" t="s">
        <v>74</v>
      </c>
      <c r="N528" t="s">
        <v>74</v>
      </c>
      <c r="O528" t="s">
        <v>74</v>
      </c>
      <c r="P528" t="s">
        <v>74</v>
      </c>
      <c r="Q528" t="s">
        <v>74</v>
      </c>
      <c r="R528" t="s">
        <v>74</v>
      </c>
      <c r="S528" t="s">
        <v>74</v>
      </c>
      <c r="T528" t="s">
        <v>74</v>
      </c>
      <c r="U528" t="s">
        <v>74</v>
      </c>
      <c r="V528" t="s">
        <v>4674</v>
      </c>
      <c r="W528" t="s">
        <v>74</v>
      </c>
      <c r="X528" t="s">
        <v>74</v>
      </c>
      <c r="Y528" t="s">
        <v>74</v>
      </c>
      <c r="Z528" t="s">
        <v>74</v>
      </c>
      <c r="AA528" t="s">
        <v>4675</v>
      </c>
      <c r="AB528" t="s">
        <v>4676</v>
      </c>
      <c r="AC528" t="s">
        <v>74</v>
      </c>
      <c r="AD528" t="s">
        <v>74</v>
      </c>
      <c r="AE528" t="s">
        <v>74</v>
      </c>
      <c r="AF528" t="s">
        <v>74</v>
      </c>
      <c r="AG528" t="s">
        <v>74</v>
      </c>
      <c r="AH528" t="s">
        <v>74</v>
      </c>
      <c r="AI528" t="s">
        <v>74</v>
      </c>
      <c r="AJ528" t="s">
        <v>74</v>
      </c>
      <c r="AK528" t="s">
        <v>74</v>
      </c>
      <c r="AL528" t="s">
        <v>74</v>
      </c>
      <c r="AM528" t="s">
        <v>74</v>
      </c>
      <c r="AN528" t="s">
        <v>74</v>
      </c>
      <c r="AO528" t="s">
        <v>281</v>
      </c>
      <c r="AP528" t="s">
        <v>282</v>
      </c>
      <c r="AQ528" t="s">
        <v>74</v>
      </c>
      <c r="AR528" t="s">
        <v>74</v>
      </c>
      <c r="AS528" t="s">
        <v>74</v>
      </c>
      <c r="AT528" t="s">
        <v>4677</v>
      </c>
      <c r="AU528">
        <v>2021</v>
      </c>
      <c r="AV528">
        <v>9</v>
      </c>
      <c r="AW528">
        <v>26</v>
      </c>
      <c r="AX528" t="s">
        <v>74</v>
      </c>
      <c r="AY528" t="s">
        <v>74</v>
      </c>
      <c r="AZ528" t="s">
        <v>74</v>
      </c>
      <c r="BA528" t="s">
        <v>74</v>
      </c>
      <c r="BB528">
        <v>15027</v>
      </c>
      <c r="BC528">
        <v>15037</v>
      </c>
      <c r="BD528" t="s">
        <v>74</v>
      </c>
      <c r="BE528" t="s">
        <v>4678</v>
      </c>
      <c r="BF528" t="str">
        <f>HYPERLINK("http://dx.doi.org/10.1039/d1ta01551f","http://dx.doi.org/10.1039/d1ta01551f")</f>
        <v>http://dx.doi.org/10.1039/d1ta01551f</v>
      </c>
      <c r="BG528" t="s">
        <v>74</v>
      </c>
      <c r="BH528" t="s">
        <v>4650</v>
      </c>
      <c r="BI528" t="s">
        <v>74</v>
      </c>
      <c r="BJ528" t="s">
        <v>74</v>
      </c>
      <c r="BK528" t="s">
        <v>74</v>
      </c>
      <c r="BL528" t="s">
        <v>74</v>
      </c>
      <c r="BM528" t="s">
        <v>74</v>
      </c>
      <c r="BN528" t="s">
        <v>74</v>
      </c>
      <c r="BO528" t="s">
        <v>74</v>
      </c>
      <c r="BP528" t="s">
        <v>74</v>
      </c>
      <c r="BQ528" t="s">
        <v>74</v>
      </c>
      <c r="BR528" t="s">
        <v>74</v>
      </c>
      <c r="BS528" t="s">
        <v>4679</v>
      </c>
      <c r="BT528" t="str">
        <f>HYPERLINK("https%3A%2F%2Fwww.webofscience.com%2Fwos%2Fwoscc%2Ffull-record%2FWOS:000667335900001","View Full Record in Web of Science")</f>
        <v>View Full Record in Web of Science</v>
      </c>
    </row>
    <row r="529" spans="1:72" x14ac:dyDescent="0.2">
      <c r="A529" t="s">
        <v>72</v>
      </c>
      <c r="B529" t="s">
        <v>4680</v>
      </c>
      <c r="C529" t="s">
        <v>74</v>
      </c>
      <c r="D529" t="s">
        <v>74</v>
      </c>
      <c r="E529" t="s">
        <v>74</v>
      </c>
      <c r="F529" t="s">
        <v>4681</v>
      </c>
      <c r="G529" t="s">
        <v>74</v>
      </c>
      <c r="H529" t="s">
        <v>74</v>
      </c>
      <c r="I529" t="s">
        <v>4682</v>
      </c>
      <c r="J529" t="s">
        <v>1370</v>
      </c>
      <c r="K529" t="s">
        <v>74</v>
      </c>
      <c r="L529" t="s">
        <v>74</v>
      </c>
      <c r="M529" t="s">
        <v>74</v>
      </c>
      <c r="N529" t="s">
        <v>74</v>
      </c>
      <c r="O529" t="s">
        <v>74</v>
      </c>
      <c r="P529" t="s">
        <v>74</v>
      </c>
      <c r="Q529" t="s">
        <v>74</v>
      </c>
      <c r="R529" t="s">
        <v>74</v>
      </c>
      <c r="S529" t="s">
        <v>74</v>
      </c>
      <c r="T529" t="s">
        <v>74</v>
      </c>
      <c r="U529" t="s">
        <v>74</v>
      </c>
      <c r="V529" t="s">
        <v>4683</v>
      </c>
      <c r="W529" t="s">
        <v>74</v>
      </c>
      <c r="X529" t="s">
        <v>74</v>
      </c>
      <c r="Y529" t="s">
        <v>74</v>
      </c>
      <c r="Z529" t="s">
        <v>74</v>
      </c>
      <c r="AA529" t="s">
        <v>4684</v>
      </c>
      <c r="AB529" t="s">
        <v>4685</v>
      </c>
      <c r="AC529" t="s">
        <v>74</v>
      </c>
      <c r="AD529" t="s">
        <v>74</v>
      </c>
      <c r="AE529" t="s">
        <v>74</v>
      </c>
      <c r="AF529" t="s">
        <v>74</v>
      </c>
      <c r="AG529" t="s">
        <v>74</v>
      </c>
      <c r="AH529" t="s">
        <v>74</v>
      </c>
      <c r="AI529" t="s">
        <v>74</v>
      </c>
      <c r="AJ529" t="s">
        <v>74</v>
      </c>
      <c r="AK529" t="s">
        <v>74</v>
      </c>
      <c r="AL529" t="s">
        <v>74</v>
      </c>
      <c r="AM529" t="s">
        <v>74</v>
      </c>
      <c r="AN529" t="s">
        <v>74</v>
      </c>
      <c r="AO529" t="s">
        <v>1374</v>
      </c>
      <c r="AP529" t="s">
        <v>1375</v>
      </c>
      <c r="AQ529" t="s">
        <v>74</v>
      </c>
      <c r="AR529" t="s">
        <v>74</v>
      </c>
      <c r="AS529" t="s">
        <v>74</v>
      </c>
      <c r="AT529" t="s">
        <v>504</v>
      </c>
      <c r="AU529">
        <v>2021</v>
      </c>
      <c r="AV529">
        <v>32</v>
      </c>
      <c r="AW529">
        <v>24</v>
      </c>
      <c r="AX529" t="s">
        <v>74</v>
      </c>
      <c r="AY529" t="s">
        <v>74</v>
      </c>
      <c r="AZ529" t="s">
        <v>74</v>
      </c>
      <c r="BA529" t="s">
        <v>74</v>
      </c>
      <c r="BB529" t="s">
        <v>74</v>
      </c>
      <c r="BC529" t="s">
        <v>74</v>
      </c>
      <c r="BD529">
        <v>245709</v>
      </c>
      <c r="BE529" t="s">
        <v>4686</v>
      </c>
      <c r="BF529" t="str">
        <f>HYPERLINK("http://dx.doi.org/10.1088/1361-6528/abd1a8","http://dx.doi.org/10.1088/1361-6528/abd1a8")</f>
        <v>http://dx.doi.org/10.1088/1361-6528/abd1a8</v>
      </c>
      <c r="BG529" t="s">
        <v>74</v>
      </c>
      <c r="BH529" t="s">
        <v>74</v>
      </c>
      <c r="BI529" t="s">
        <v>74</v>
      </c>
      <c r="BJ529" t="s">
        <v>74</v>
      </c>
      <c r="BK529" t="s">
        <v>74</v>
      </c>
      <c r="BL529" t="s">
        <v>74</v>
      </c>
      <c r="BM529" t="s">
        <v>74</v>
      </c>
      <c r="BN529">
        <v>33760756</v>
      </c>
      <c r="BO529" t="s">
        <v>74</v>
      </c>
      <c r="BP529" t="s">
        <v>74</v>
      </c>
      <c r="BQ529" t="s">
        <v>74</v>
      </c>
      <c r="BR529" t="s">
        <v>74</v>
      </c>
      <c r="BS529" t="s">
        <v>4687</v>
      </c>
      <c r="BT529" t="str">
        <f>HYPERLINK("https%3A%2F%2Fwww.webofscience.com%2Fwos%2Fwoscc%2Ffull-record%2FWOS:000632396800001","View Full Record in Web of Science")</f>
        <v>View Full Record in Web of Science</v>
      </c>
    </row>
    <row r="530" spans="1:72" x14ac:dyDescent="0.2">
      <c r="A530" t="s">
        <v>72</v>
      </c>
      <c r="B530" t="s">
        <v>4688</v>
      </c>
      <c r="C530" t="s">
        <v>74</v>
      </c>
      <c r="D530" t="s">
        <v>74</v>
      </c>
      <c r="E530" t="s">
        <v>74</v>
      </c>
      <c r="F530" t="s">
        <v>4689</v>
      </c>
      <c r="G530" t="s">
        <v>74</v>
      </c>
      <c r="H530" t="s">
        <v>74</v>
      </c>
      <c r="I530" t="s">
        <v>4690</v>
      </c>
      <c r="J530" t="s">
        <v>4691</v>
      </c>
      <c r="K530" t="s">
        <v>74</v>
      </c>
      <c r="L530" t="s">
        <v>74</v>
      </c>
      <c r="M530" t="s">
        <v>74</v>
      </c>
      <c r="N530" t="s">
        <v>74</v>
      </c>
      <c r="O530" t="s">
        <v>74</v>
      </c>
      <c r="P530" t="s">
        <v>74</v>
      </c>
      <c r="Q530" t="s">
        <v>74</v>
      </c>
      <c r="R530" t="s">
        <v>74</v>
      </c>
      <c r="S530" t="s">
        <v>74</v>
      </c>
      <c r="T530" t="s">
        <v>74</v>
      </c>
      <c r="U530" t="s">
        <v>74</v>
      </c>
      <c r="V530" t="s">
        <v>4692</v>
      </c>
      <c r="W530" t="s">
        <v>74</v>
      </c>
      <c r="X530" t="s">
        <v>74</v>
      </c>
      <c r="Y530" t="s">
        <v>74</v>
      </c>
      <c r="Z530" t="s">
        <v>74</v>
      </c>
      <c r="AA530" t="s">
        <v>4693</v>
      </c>
      <c r="AB530" t="s">
        <v>74</v>
      </c>
      <c r="AC530" t="s">
        <v>74</v>
      </c>
      <c r="AD530" t="s">
        <v>74</v>
      </c>
      <c r="AE530" t="s">
        <v>74</v>
      </c>
      <c r="AF530" t="s">
        <v>74</v>
      </c>
      <c r="AG530" t="s">
        <v>74</v>
      </c>
      <c r="AH530" t="s">
        <v>74</v>
      </c>
      <c r="AI530" t="s">
        <v>74</v>
      </c>
      <c r="AJ530" t="s">
        <v>74</v>
      </c>
      <c r="AK530" t="s">
        <v>74</v>
      </c>
      <c r="AL530" t="s">
        <v>74</v>
      </c>
      <c r="AM530" t="s">
        <v>74</v>
      </c>
      <c r="AN530" t="s">
        <v>74</v>
      </c>
      <c r="AO530" t="s">
        <v>4694</v>
      </c>
      <c r="AP530" t="s">
        <v>4695</v>
      </c>
      <c r="AQ530" t="s">
        <v>74</v>
      </c>
      <c r="AR530" t="s">
        <v>74</v>
      </c>
      <c r="AS530" t="s">
        <v>74</v>
      </c>
      <c r="AT530" t="s">
        <v>545</v>
      </c>
      <c r="AU530">
        <v>2021</v>
      </c>
      <c r="AV530">
        <v>31</v>
      </c>
      <c r="AW530">
        <v>5</v>
      </c>
      <c r="AX530" t="s">
        <v>74</v>
      </c>
      <c r="AY530" t="s">
        <v>74</v>
      </c>
      <c r="AZ530" t="s">
        <v>74</v>
      </c>
      <c r="BA530" t="s">
        <v>74</v>
      </c>
      <c r="BB530">
        <v>1439</v>
      </c>
      <c r="BC530">
        <v>1451</v>
      </c>
      <c r="BD530" t="s">
        <v>74</v>
      </c>
      <c r="BE530" t="s">
        <v>4696</v>
      </c>
      <c r="BF530" t="str">
        <f>HYPERLINK("http://dx.doi.org/10.1016/S1003-6326(21)65588-7","http://dx.doi.org/10.1016/S1003-6326(21)65588-7")</f>
        <v>http://dx.doi.org/10.1016/S1003-6326(21)65588-7</v>
      </c>
      <c r="BG530" t="s">
        <v>74</v>
      </c>
      <c r="BH530" t="s">
        <v>4650</v>
      </c>
      <c r="BI530" t="s">
        <v>74</v>
      </c>
      <c r="BJ530" t="s">
        <v>74</v>
      </c>
      <c r="BK530" t="s">
        <v>74</v>
      </c>
      <c r="BL530" t="s">
        <v>74</v>
      </c>
      <c r="BM530" t="s">
        <v>74</v>
      </c>
      <c r="BN530" t="s">
        <v>74</v>
      </c>
      <c r="BO530" t="s">
        <v>74</v>
      </c>
      <c r="BP530" t="s">
        <v>74</v>
      </c>
      <c r="BQ530" t="s">
        <v>74</v>
      </c>
      <c r="BR530" t="s">
        <v>74</v>
      </c>
      <c r="BS530" t="s">
        <v>4697</v>
      </c>
      <c r="BT530" t="str">
        <f>HYPERLINK("https%3A%2F%2Fwww.webofscience.com%2Fwos%2Fwoscc%2Ffull-record%2FWOS:000660035300007","View Full Record in Web of Science")</f>
        <v>View Full Record in Web of Science</v>
      </c>
    </row>
    <row r="531" spans="1:72" x14ac:dyDescent="0.2">
      <c r="A531" t="s">
        <v>72</v>
      </c>
      <c r="B531" t="s">
        <v>4698</v>
      </c>
      <c r="C531" t="s">
        <v>74</v>
      </c>
      <c r="D531" t="s">
        <v>74</v>
      </c>
      <c r="E531" t="s">
        <v>74</v>
      </c>
      <c r="F531" t="s">
        <v>4699</v>
      </c>
      <c r="G531" t="s">
        <v>74</v>
      </c>
      <c r="H531" t="s">
        <v>74</v>
      </c>
      <c r="I531" t="s">
        <v>4700</v>
      </c>
      <c r="J531" t="s">
        <v>161</v>
      </c>
      <c r="K531" t="s">
        <v>74</v>
      </c>
      <c r="L531" t="s">
        <v>74</v>
      </c>
      <c r="M531" t="s">
        <v>74</v>
      </c>
      <c r="N531" t="s">
        <v>74</v>
      </c>
      <c r="O531" t="s">
        <v>74</v>
      </c>
      <c r="P531" t="s">
        <v>74</v>
      </c>
      <c r="Q531" t="s">
        <v>74</v>
      </c>
      <c r="R531" t="s">
        <v>74</v>
      </c>
      <c r="S531" t="s">
        <v>74</v>
      </c>
      <c r="T531" t="s">
        <v>74</v>
      </c>
      <c r="U531" t="s">
        <v>74</v>
      </c>
      <c r="V531" t="s">
        <v>4701</v>
      </c>
      <c r="W531" t="s">
        <v>74</v>
      </c>
      <c r="X531" t="s">
        <v>74</v>
      </c>
      <c r="Y531" t="s">
        <v>74</v>
      </c>
      <c r="Z531" t="s">
        <v>74</v>
      </c>
      <c r="AA531" t="s">
        <v>4702</v>
      </c>
      <c r="AB531" t="s">
        <v>74</v>
      </c>
      <c r="AC531" t="s">
        <v>74</v>
      </c>
      <c r="AD531" t="s">
        <v>74</v>
      </c>
      <c r="AE531" t="s">
        <v>74</v>
      </c>
      <c r="AF531" t="s">
        <v>74</v>
      </c>
      <c r="AG531" t="s">
        <v>74</v>
      </c>
      <c r="AH531" t="s">
        <v>74</v>
      </c>
      <c r="AI531" t="s">
        <v>74</v>
      </c>
      <c r="AJ531" t="s">
        <v>74</v>
      </c>
      <c r="AK531" t="s">
        <v>74</v>
      </c>
      <c r="AL531" t="s">
        <v>74</v>
      </c>
      <c r="AM531" t="s">
        <v>74</v>
      </c>
      <c r="AN531" t="s">
        <v>74</v>
      </c>
      <c r="AO531" t="s">
        <v>163</v>
      </c>
      <c r="AP531" t="s">
        <v>164</v>
      </c>
      <c r="AQ531" t="s">
        <v>74</v>
      </c>
      <c r="AR531" t="s">
        <v>74</v>
      </c>
      <c r="AS531" t="s">
        <v>74</v>
      </c>
      <c r="AT531" t="s">
        <v>2571</v>
      </c>
      <c r="AU531">
        <v>2021</v>
      </c>
      <c r="AV531">
        <v>425</v>
      </c>
      <c r="AW531" t="s">
        <v>74</v>
      </c>
      <c r="AX531" t="s">
        <v>74</v>
      </c>
      <c r="AY531" t="s">
        <v>74</v>
      </c>
      <c r="AZ531" t="s">
        <v>74</v>
      </c>
      <c r="BA531" t="s">
        <v>74</v>
      </c>
      <c r="BB531" t="s">
        <v>74</v>
      </c>
      <c r="BC531" t="s">
        <v>74</v>
      </c>
      <c r="BD531">
        <v>130659</v>
      </c>
      <c r="BE531" t="s">
        <v>4703</v>
      </c>
      <c r="BF531" t="str">
        <f>HYPERLINK("http://dx.doi.org/10.1016/j.cej.2021.130659","http://dx.doi.org/10.1016/j.cej.2021.130659")</f>
        <v>http://dx.doi.org/10.1016/j.cej.2021.130659</v>
      </c>
      <c r="BG531" t="s">
        <v>74</v>
      </c>
      <c r="BH531" t="s">
        <v>4650</v>
      </c>
      <c r="BI531" t="s">
        <v>74</v>
      </c>
      <c r="BJ531" t="s">
        <v>74</v>
      </c>
      <c r="BK531" t="s">
        <v>74</v>
      </c>
      <c r="BL531" t="s">
        <v>74</v>
      </c>
      <c r="BM531" t="s">
        <v>74</v>
      </c>
      <c r="BN531" t="s">
        <v>74</v>
      </c>
      <c r="BO531" t="s">
        <v>74</v>
      </c>
      <c r="BP531" t="s">
        <v>74</v>
      </c>
      <c r="BQ531" t="s">
        <v>74</v>
      </c>
      <c r="BR531" t="s">
        <v>74</v>
      </c>
      <c r="BS531" t="s">
        <v>4704</v>
      </c>
      <c r="BT531" t="str">
        <f>HYPERLINK("https%3A%2F%2Fwww.webofscience.com%2Fwos%2Fwoscc%2Ffull-record%2FWOS:000707126000119","View Full Record in Web of Science")</f>
        <v>View Full Record in Web of Science</v>
      </c>
    </row>
    <row r="532" spans="1:72" x14ac:dyDescent="0.2">
      <c r="A532" t="s">
        <v>72</v>
      </c>
      <c r="B532" t="s">
        <v>4705</v>
      </c>
      <c r="C532" t="s">
        <v>74</v>
      </c>
      <c r="D532" t="s">
        <v>74</v>
      </c>
      <c r="E532" t="s">
        <v>74</v>
      </c>
      <c r="F532" t="s">
        <v>4706</v>
      </c>
      <c r="G532" t="s">
        <v>74</v>
      </c>
      <c r="H532" t="s">
        <v>74</v>
      </c>
      <c r="I532" t="s">
        <v>4707</v>
      </c>
      <c r="J532" t="s">
        <v>4708</v>
      </c>
      <c r="K532" t="s">
        <v>74</v>
      </c>
      <c r="L532" t="s">
        <v>74</v>
      </c>
      <c r="M532" t="s">
        <v>74</v>
      </c>
      <c r="N532" t="s">
        <v>74</v>
      </c>
      <c r="O532" t="s">
        <v>74</v>
      </c>
      <c r="P532" t="s">
        <v>74</v>
      </c>
      <c r="Q532" t="s">
        <v>74</v>
      </c>
      <c r="R532" t="s">
        <v>74</v>
      </c>
      <c r="S532" t="s">
        <v>74</v>
      </c>
      <c r="T532" t="s">
        <v>74</v>
      </c>
      <c r="U532" t="s">
        <v>74</v>
      </c>
      <c r="V532" t="s">
        <v>4709</v>
      </c>
      <c r="W532" t="s">
        <v>74</v>
      </c>
      <c r="X532" t="s">
        <v>74</v>
      </c>
      <c r="Y532" t="s">
        <v>74</v>
      </c>
      <c r="Z532" t="s">
        <v>74</v>
      </c>
      <c r="AA532" t="s">
        <v>4710</v>
      </c>
      <c r="AB532" t="s">
        <v>4711</v>
      </c>
      <c r="AC532" t="s">
        <v>74</v>
      </c>
      <c r="AD532" t="s">
        <v>74</v>
      </c>
      <c r="AE532" t="s">
        <v>74</v>
      </c>
      <c r="AF532" t="s">
        <v>74</v>
      </c>
      <c r="AG532" t="s">
        <v>74</v>
      </c>
      <c r="AH532" t="s">
        <v>74</v>
      </c>
      <c r="AI532" t="s">
        <v>74</v>
      </c>
      <c r="AJ532" t="s">
        <v>74</v>
      </c>
      <c r="AK532" t="s">
        <v>74</v>
      </c>
      <c r="AL532" t="s">
        <v>74</v>
      </c>
      <c r="AM532" t="s">
        <v>74</v>
      </c>
      <c r="AN532" t="s">
        <v>74</v>
      </c>
      <c r="AO532" t="s">
        <v>4712</v>
      </c>
      <c r="AP532" t="s">
        <v>4713</v>
      </c>
      <c r="AQ532" t="s">
        <v>74</v>
      </c>
      <c r="AR532" t="s">
        <v>74</v>
      </c>
      <c r="AS532" t="s">
        <v>74</v>
      </c>
      <c r="AT532" t="s">
        <v>629</v>
      </c>
      <c r="AU532">
        <v>2021</v>
      </c>
      <c r="AV532">
        <v>73</v>
      </c>
      <c r="AW532">
        <v>8</v>
      </c>
      <c r="AX532" t="s">
        <v>74</v>
      </c>
      <c r="AY532" t="s">
        <v>74</v>
      </c>
      <c r="AZ532" t="s">
        <v>74</v>
      </c>
      <c r="BA532" t="s">
        <v>74</v>
      </c>
      <c r="BB532">
        <v>2531</v>
      </c>
      <c r="BC532">
        <v>2539</v>
      </c>
      <c r="BD532" t="s">
        <v>74</v>
      </c>
      <c r="BE532" t="s">
        <v>4714</v>
      </c>
      <c r="BF532" t="str">
        <f>HYPERLINK("http://dx.doi.org/10.1007/s11837-021-04750-7","http://dx.doi.org/10.1007/s11837-021-04750-7")</f>
        <v>http://dx.doi.org/10.1007/s11837-021-04750-7</v>
      </c>
      <c r="BG532" t="s">
        <v>74</v>
      </c>
      <c r="BH532" t="s">
        <v>4650</v>
      </c>
      <c r="BI532" t="s">
        <v>74</v>
      </c>
      <c r="BJ532" t="s">
        <v>74</v>
      </c>
      <c r="BK532" t="s">
        <v>74</v>
      </c>
      <c r="BL532" t="s">
        <v>74</v>
      </c>
      <c r="BM532" t="s">
        <v>74</v>
      </c>
      <c r="BN532" t="s">
        <v>74</v>
      </c>
      <c r="BO532" t="s">
        <v>74</v>
      </c>
      <c r="BP532" t="s">
        <v>74</v>
      </c>
      <c r="BQ532" t="s">
        <v>74</v>
      </c>
      <c r="BR532" t="s">
        <v>74</v>
      </c>
      <c r="BS532" t="s">
        <v>4715</v>
      </c>
      <c r="BT532" t="str">
        <f>HYPERLINK("https%3A%2F%2Fwww.webofscience.com%2Fwos%2Fwoscc%2Ffull-record%2FWOS:000658592600001","View Full Record in Web of Science")</f>
        <v>View Full Record in Web of Science</v>
      </c>
    </row>
    <row r="533" spans="1:72" x14ac:dyDescent="0.2">
      <c r="A533" t="s">
        <v>72</v>
      </c>
      <c r="B533" t="s">
        <v>4716</v>
      </c>
      <c r="C533" t="s">
        <v>74</v>
      </c>
      <c r="D533" t="s">
        <v>74</v>
      </c>
      <c r="E533" t="s">
        <v>74</v>
      </c>
      <c r="F533" t="s">
        <v>4717</v>
      </c>
      <c r="G533" t="s">
        <v>74</v>
      </c>
      <c r="H533" t="s">
        <v>74</v>
      </c>
      <c r="I533" t="s">
        <v>4718</v>
      </c>
      <c r="J533" t="s">
        <v>1493</v>
      </c>
      <c r="K533" t="s">
        <v>74</v>
      </c>
      <c r="L533" t="s">
        <v>74</v>
      </c>
      <c r="M533" t="s">
        <v>74</v>
      </c>
      <c r="N533" t="s">
        <v>74</v>
      </c>
      <c r="O533" t="s">
        <v>74</v>
      </c>
      <c r="P533" t="s">
        <v>74</v>
      </c>
      <c r="Q533" t="s">
        <v>74</v>
      </c>
      <c r="R533" t="s">
        <v>74</v>
      </c>
      <c r="S533" t="s">
        <v>74</v>
      </c>
      <c r="T533" t="s">
        <v>74</v>
      </c>
      <c r="U533" t="s">
        <v>74</v>
      </c>
      <c r="V533" t="s">
        <v>4719</v>
      </c>
      <c r="W533" t="s">
        <v>74</v>
      </c>
      <c r="X533" t="s">
        <v>74</v>
      </c>
      <c r="Y533" t="s">
        <v>74</v>
      </c>
      <c r="Z533" t="s">
        <v>74</v>
      </c>
      <c r="AA533" t="s">
        <v>74</v>
      </c>
      <c r="AB533" t="s">
        <v>4720</v>
      </c>
      <c r="AC533" t="s">
        <v>74</v>
      </c>
      <c r="AD533" t="s">
        <v>74</v>
      </c>
      <c r="AE533" t="s">
        <v>74</v>
      </c>
      <c r="AF533" t="s">
        <v>74</v>
      </c>
      <c r="AG533" t="s">
        <v>74</v>
      </c>
      <c r="AH533" t="s">
        <v>74</v>
      </c>
      <c r="AI533" t="s">
        <v>74</v>
      </c>
      <c r="AJ533" t="s">
        <v>74</v>
      </c>
      <c r="AK533" t="s">
        <v>74</v>
      </c>
      <c r="AL533" t="s">
        <v>74</v>
      </c>
      <c r="AM533" t="s">
        <v>74</v>
      </c>
      <c r="AN533" t="s">
        <v>74</v>
      </c>
      <c r="AO533" t="s">
        <v>74</v>
      </c>
      <c r="AP533" t="s">
        <v>1497</v>
      </c>
      <c r="AQ533" t="s">
        <v>74</v>
      </c>
      <c r="AR533" t="s">
        <v>74</v>
      </c>
      <c r="AS533" t="s">
        <v>74</v>
      </c>
      <c r="AT533" t="s">
        <v>1972</v>
      </c>
      <c r="AU533">
        <v>2021</v>
      </c>
      <c r="AV533">
        <v>26</v>
      </c>
      <c r="AW533">
        <v>11</v>
      </c>
      <c r="AX533" t="s">
        <v>74</v>
      </c>
      <c r="AY533" t="s">
        <v>74</v>
      </c>
      <c r="AZ533" t="s">
        <v>74</v>
      </c>
      <c r="BA533" t="s">
        <v>74</v>
      </c>
      <c r="BB533" t="s">
        <v>74</v>
      </c>
      <c r="BC533" t="s">
        <v>74</v>
      </c>
      <c r="BD533">
        <v>3239</v>
      </c>
      <c r="BE533" t="s">
        <v>4721</v>
      </c>
      <c r="BF533" t="str">
        <f>HYPERLINK("http://dx.doi.org/10.3390/molecules26113239","http://dx.doi.org/10.3390/molecules26113239")</f>
        <v>http://dx.doi.org/10.3390/molecules26113239</v>
      </c>
      <c r="BG533" t="s">
        <v>74</v>
      </c>
      <c r="BH533" t="s">
        <v>74</v>
      </c>
      <c r="BI533" t="s">
        <v>74</v>
      </c>
      <c r="BJ533" t="s">
        <v>74</v>
      </c>
      <c r="BK533" t="s">
        <v>74</v>
      </c>
      <c r="BL533" t="s">
        <v>74</v>
      </c>
      <c r="BM533" t="s">
        <v>74</v>
      </c>
      <c r="BN533">
        <v>34071198</v>
      </c>
      <c r="BO533" t="s">
        <v>74</v>
      </c>
      <c r="BP533" t="s">
        <v>74</v>
      </c>
      <c r="BQ533" t="s">
        <v>74</v>
      </c>
      <c r="BR533" t="s">
        <v>74</v>
      </c>
      <c r="BS533" t="s">
        <v>4722</v>
      </c>
      <c r="BT533" t="str">
        <f>HYPERLINK("https%3A%2F%2Fwww.webofscience.com%2Fwos%2Fwoscc%2Ffull-record%2FWOS:000660442800001","View Full Record in Web of Science")</f>
        <v>View Full Record in Web of Science</v>
      </c>
    </row>
    <row r="534" spans="1:72" x14ac:dyDescent="0.2">
      <c r="A534" t="s">
        <v>72</v>
      </c>
      <c r="B534" t="s">
        <v>4723</v>
      </c>
      <c r="C534" t="s">
        <v>74</v>
      </c>
      <c r="D534" t="s">
        <v>74</v>
      </c>
      <c r="E534" t="s">
        <v>74</v>
      </c>
      <c r="F534" t="s">
        <v>4724</v>
      </c>
      <c r="G534" t="s">
        <v>74</v>
      </c>
      <c r="H534" t="s">
        <v>74</v>
      </c>
      <c r="I534" t="s">
        <v>4725</v>
      </c>
      <c r="J534" t="s">
        <v>4726</v>
      </c>
      <c r="K534" t="s">
        <v>74</v>
      </c>
      <c r="L534" t="s">
        <v>74</v>
      </c>
      <c r="M534" t="s">
        <v>74</v>
      </c>
      <c r="N534" t="s">
        <v>74</v>
      </c>
      <c r="O534" t="s">
        <v>74</v>
      </c>
      <c r="P534" t="s">
        <v>74</v>
      </c>
      <c r="Q534" t="s">
        <v>74</v>
      </c>
      <c r="R534" t="s">
        <v>74</v>
      </c>
      <c r="S534" t="s">
        <v>74</v>
      </c>
      <c r="T534" t="s">
        <v>74</v>
      </c>
      <c r="U534" t="s">
        <v>74</v>
      </c>
      <c r="V534" t="s">
        <v>4727</v>
      </c>
      <c r="W534" t="s">
        <v>74</v>
      </c>
      <c r="X534" t="s">
        <v>74</v>
      </c>
      <c r="Y534" t="s">
        <v>74</v>
      </c>
      <c r="Z534" t="s">
        <v>74</v>
      </c>
      <c r="AA534" t="s">
        <v>4728</v>
      </c>
      <c r="AB534" t="s">
        <v>4729</v>
      </c>
      <c r="AC534" t="s">
        <v>74</v>
      </c>
      <c r="AD534" t="s">
        <v>74</v>
      </c>
      <c r="AE534" t="s">
        <v>74</v>
      </c>
      <c r="AF534" t="s">
        <v>74</v>
      </c>
      <c r="AG534" t="s">
        <v>74</v>
      </c>
      <c r="AH534" t="s">
        <v>74</v>
      </c>
      <c r="AI534" t="s">
        <v>74</v>
      </c>
      <c r="AJ534" t="s">
        <v>74</v>
      </c>
      <c r="AK534" t="s">
        <v>74</v>
      </c>
      <c r="AL534" t="s">
        <v>74</v>
      </c>
      <c r="AM534" t="s">
        <v>74</v>
      </c>
      <c r="AN534" t="s">
        <v>74</v>
      </c>
      <c r="AO534" t="s">
        <v>4730</v>
      </c>
      <c r="AP534" t="s">
        <v>4731</v>
      </c>
      <c r="AQ534" t="s">
        <v>74</v>
      </c>
      <c r="AR534" t="s">
        <v>74</v>
      </c>
      <c r="AS534" t="s">
        <v>74</v>
      </c>
      <c r="AT534" t="s">
        <v>3505</v>
      </c>
      <c r="AU534">
        <v>2021</v>
      </c>
      <c r="AV534">
        <v>59</v>
      </c>
      <c r="AW534">
        <v>21</v>
      </c>
      <c r="AX534" t="s">
        <v>74</v>
      </c>
      <c r="AY534" t="s">
        <v>74</v>
      </c>
      <c r="AZ534" t="s">
        <v>74</v>
      </c>
      <c r="BA534" t="s">
        <v>74</v>
      </c>
      <c r="BB534">
        <v>2492</v>
      </c>
      <c r="BC534">
        <v>2501</v>
      </c>
      <c r="BD534" t="s">
        <v>74</v>
      </c>
      <c r="BE534" t="s">
        <v>4732</v>
      </c>
      <c r="BF534" t="str">
        <f>HYPERLINK("http://dx.doi.org/10.1002/pol.20210207","http://dx.doi.org/10.1002/pol.20210207")</f>
        <v>http://dx.doi.org/10.1002/pol.20210207</v>
      </c>
      <c r="BG534" t="s">
        <v>74</v>
      </c>
      <c r="BH534" t="s">
        <v>4650</v>
      </c>
      <c r="BI534" t="s">
        <v>74</v>
      </c>
      <c r="BJ534" t="s">
        <v>74</v>
      </c>
      <c r="BK534" t="s">
        <v>74</v>
      </c>
      <c r="BL534" t="s">
        <v>74</v>
      </c>
      <c r="BM534" t="s">
        <v>74</v>
      </c>
      <c r="BN534" t="s">
        <v>74</v>
      </c>
      <c r="BO534" t="s">
        <v>74</v>
      </c>
      <c r="BP534" t="s">
        <v>74</v>
      </c>
      <c r="BQ534" t="s">
        <v>74</v>
      </c>
      <c r="BR534" t="s">
        <v>74</v>
      </c>
      <c r="BS534" t="s">
        <v>4733</v>
      </c>
      <c r="BT534" t="str">
        <f>HYPERLINK("https%3A%2F%2Fwww.webofscience.com%2Fwos%2Fwoscc%2Ffull-record%2FWOS:000656576300001","View Full Record in Web of Science")</f>
        <v>View Full Record in Web of Science</v>
      </c>
    </row>
    <row r="535" spans="1:72" x14ac:dyDescent="0.2">
      <c r="A535" t="s">
        <v>72</v>
      </c>
      <c r="B535" t="s">
        <v>4734</v>
      </c>
      <c r="C535" t="s">
        <v>74</v>
      </c>
      <c r="D535" t="s">
        <v>74</v>
      </c>
      <c r="E535" t="s">
        <v>74</v>
      </c>
      <c r="F535" t="s">
        <v>4735</v>
      </c>
      <c r="G535" t="s">
        <v>74</v>
      </c>
      <c r="H535" t="s">
        <v>74</v>
      </c>
      <c r="I535" t="s">
        <v>4736</v>
      </c>
      <c r="J535" t="s">
        <v>374</v>
      </c>
      <c r="K535" t="s">
        <v>74</v>
      </c>
      <c r="L535" t="s">
        <v>74</v>
      </c>
      <c r="M535" t="s">
        <v>74</v>
      </c>
      <c r="N535" t="s">
        <v>74</v>
      </c>
      <c r="O535" t="s">
        <v>74</v>
      </c>
      <c r="P535" t="s">
        <v>74</v>
      </c>
      <c r="Q535" t="s">
        <v>74</v>
      </c>
      <c r="R535" t="s">
        <v>74</v>
      </c>
      <c r="S535" t="s">
        <v>74</v>
      </c>
      <c r="T535" t="s">
        <v>74</v>
      </c>
      <c r="U535" t="s">
        <v>74</v>
      </c>
      <c r="V535" t="s">
        <v>4737</v>
      </c>
      <c r="W535" t="s">
        <v>74</v>
      </c>
      <c r="X535" t="s">
        <v>74</v>
      </c>
      <c r="Y535" t="s">
        <v>74</v>
      </c>
      <c r="Z535" t="s">
        <v>74</v>
      </c>
      <c r="AA535" t="s">
        <v>4738</v>
      </c>
      <c r="AB535" t="s">
        <v>4739</v>
      </c>
      <c r="AC535" t="s">
        <v>74</v>
      </c>
      <c r="AD535" t="s">
        <v>74</v>
      </c>
      <c r="AE535" t="s">
        <v>74</v>
      </c>
      <c r="AF535" t="s">
        <v>74</v>
      </c>
      <c r="AG535" t="s">
        <v>74</v>
      </c>
      <c r="AH535" t="s">
        <v>74</v>
      </c>
      <c r="AI535" t="s">
        <v>74</v>
      </c>
      <c r="AJ535" t="s">
        <v>74</v>
      </c>
      <c r="AK535" t="s">
        <v>74</v>
      </c>
      <c r="AL535" t="s">
        <v>74</v>
      </c>
      <c r="AM535" t="s">
        <v>74</v>
      </c>
      <c r="AN535" t="s">
        <v>74</v>
      </c>
      <c r="AO535" t="s">
        <v>377</v>
      </c>
      <c r="AP535" t="s">
        <v>74</v>
      </c>
      <c r="AQ535" t="s">
        <v>74</v>
      </c>
      <c r="AR535" t="s">
        <v>74</v>
      </c>
      <c r="AS535" t="s">
        <v>74</v>
      </c>
      <c r="AT535" t="s">
        <v>504</v>
      </c>
      <c r="AU535">
        <v>2021</v>
      </c>
      <c r="AV535">
        <v>6</v>
      </c>
      <c r="AW535">
        <v>6</v>
      </c>
      <c r="AX535" t="s">
        <v>74</v>
      </c>
      <c r="AY535" t="s">
        <v>74</v>
      </c>
      <c r="AZ535" t="s">
        <v>74</v>
      </c>
      <c r="BA535" t="s">
        <v>74</v>
      </c>
      <c r="BB535">
        <v>2320</v>
      </c>
      <c r="BC535">
        <v>2327</v>
      </c>
      <c r="BD535" t="s">
        <v>74</v>
      </c>
      <c r="BE535" t="s">
        <v>4740</v>
      </c>
      <c r="BF535" t="str">
        <f>HYPERLINK("http://dx.doi.org/10.1021/acsenergylett.1c00907","http://dx.doi.org/10.1021/acsenergylett.1c00907")</f>
        <v>http://dx.doi.org/10.1021/acsenergylett.1c00907</v>
      </c>
      <c r="BG535" t="s">
        <v>74</v>
      </c>
      <c r="BH535" t="s">
        <v>4650</v>
      </c>
      <c r="BI535" t="s">
        <v>74</v>
      </c>
      <c r="BJ535" t="s">
        <v>74</v>
      </c>
      <c r="BK535" t="s">
        <v>74</v>
      </c>
      <c r="BL535" t="s">
        <v>74</v>
      </c>
      <c r="BM535" t="s">
        <v>74</v>
      </c>
      <c r="BN535" t="s">
        <v>74</v>
      </c>
      <c r="BO535" t="s">
        <v>74</v>
      </c>
      <c r="BP535" t="s">
        <v>74</v>
      </c>
      <c r="BQ535" t="s">
        <v>74</v>
      </c>
      <c r="BR535" t="s">
        <v>74</v>
      </c>
      <c r="BS535" t="s">
        <v>4741</v>
      </c>
      <c r="BT535" t="str">
        <f>HYPERLINK("https%3A%2F%2Fwww.webofscience.com%2Fwos%2Fwoscc%2Ffull-record%2FWOS:000662227100036","View Full Record in Web of Science")</f>
        <v>View Full Record in Web of Science</v>
      </c>
    </row>
    <row r="536" spans="1:72" x14ac:dyDescent="0.2">
      <c r="A536" t="s">
        <v>72</v>
      </c>
      <c r="B536" t="s">
        <v>4742</v>
      </c>
      <c r="C536" t="s">
        <v>74</v>
      </c>
      <c r="D536" t="s">
        <v>74</v>
      </c>
      <c r="E536" t="s">
        <v>74</v>
      </c>
      <c r="F536" t="s">
        <v>4743</v>
      </c>
      <c r="G536" t="s">
        <v>74</v>
      </c>
      <c r="H536" t="s">
        <v>74</v>
      </c>
      <c r="I536" t="s">
        <v>4744</v>
      </c>
      <c r="J536" t="s">
        <v>498</v>
      </c>
      <c r="K536" t="s">
        <v>74</v>
      </c>
      <c r="L536" t="s">
        <v>74</v>
      </c>
      <c r="M536" t="s">
        <v>74</v>
      </c>
      <c r="N536" t="s">
        <v>74</v>
      </c>
      <c r="O536" t="s">
        <v>74</v>
      </c>
      <c r="P536" t="s">
        <v>74</v>
      </c>
      <c r="Q536" t="s">
        <v>74</v>
      </c>
      <c r="R536" t="s">
        <v>74</v>
      </c>
      <c r="S536" t="s">
        <v>74</v>
      </c>
      <c r="T536" t="s">
        <v>74</v>
      </c>
      <c r="U536" t="s">
        <v>74</v>
      </c>
      <c r="V536" t="s">
        <v>4745</v>
      </c>
      <c r="W536" t="s">
        <v>74</v>
      </c>
      <c r="X536" t="s">
        <v>74</v>
      </c>
      <c r="Y536" t="s">
        <v>74</v>
      </c>
      <c r="Z536" t="s">
        <v>74</v>
      </c>
      <c r="AA536" t="s">
        <v>4746</v>
      </c>
      <c r="AB536" t="s">
        <v>4747</v>
      </c>
      <c r="AC536" t="s">
        <v>74</v>
      </c>
      <c r="AD536" t="s">
        <v>74</v>
      </c>
      <c r="AE536" t="s">
        <v>74</v>
      </c>
      <c r="AF536" t="s">
        <v>74</v>
      </c>
      <c r="AG536" t="s">
        <v>74</v>
      </c>
      <c r="AH536" t="s">
        <v>74</v>
      </c>
      <c r="AI536" t="s">
        <v>74</v>
      </c>
      <c r="AJ536" t="s">
        <v>74</v>
      </c>
      <c r="AK536" t="s">
        <v>74</v>
      </c>
      <c r="AL536" t="s">
        <v>74</v>
      </c>
      <c r="AM536" t="s">
        <v>74</v>
      </c>
      <c r="AN536" t="s">
        <v>74</v>
      </c>
      <c r="AO536" t="s">
        <v>502</v>
      </c>
      <c r="AP536" t="s">
        <v>503</v>
      </c>
      <c r="AQ536" t="s">
        <v>74</v>
      </c>
      <c r="AR536" t="s">
        <v>74</v>
      </c>
      <c r="AS536" t="s">
        <v>74</v>
      </c>
      <c r="AT536" t="s">
        <v>4748</v>
      </c>
      <c r="AU536">
        <v>2021</v>
      </c>
      <c r="AV536">
        <v>125</v>
      </c>
      <c r="AW536">
        <v>21</v>
      </c>
      <c r="AX536" t="s">
        <v>74</v>
      </c>
      <c r="AY536" t="s">
        <v>74</v>
      </c>
      <c r="AZ536" t="s">
        <v>74</v>
      </c>
      <c r="BA536" t="s">
        <v>74</v>
      </c>
      <c r="BB536">
        <v>11310</v>
      </c>
      <c r="BC536">
        <v>11317</v>
      </c>
      <c r="BD536" t="s">
        <v>74</v>
      </c>
      <c r="BE536" t="s">
        <v>4749</v>
      </c>
      <c r="BF536" t="str">
        <f>HYPERLINK("http://dx.doi.org/10.1021/acs.jpcc.1c01437","http://dx.doi.org/10.1021/acs.jpcc.1c01437")</f>
        <v>http://dx.doi.org/10.1021/acs.jpcc.1c01437</v>
      </c>
      <c r="BG536" t="s">
        <v>74</v>
      </c>
      <c r="BH536" t="s">
        <v>4750</v>
      </c>
      <c r="BI536" t="s">
        <v>74</v>
      </c>
      <c r="BJ536" t="s">
        <v>74</v>
      </c>
      <c r="BK536" t="s">
        <v>74</v>
      </c>
      <c r="BL536" t="s">
        <v>74</v>
      </c>
      <c r="BM536" t="s">
        <v>74</v>
      </c>
      <c r="BN536" t="s">
        <v>74</v>
      </c>
      <c r="BO536" t="s">
        <v>74</v>
      </c>
      <c r="BP536" t="s">
        <v>74</v>
      </c>
      <c r="BQ536" t="s">
        <v>74</v>
      </c>
      <c r="BR536" t="s">
        <v>74</v>
      </c>
      <c r="BS536" t="s">
        <v>4751</v>
      </c>
      <c r="BT536" t="str">
        <f>HYPERLINK("https%3A%2F%2Fwww.webofscience.com%2Fwos%2Fwoscc%2Ffull-record%2FWOS:000661114000002","View Full Record in Web of Science")</f>
        <v>View Full Record in Web of Science</v>
      </c>
    </row>
    <row r="537" spans="1:72" x14ac:dyDescent="0.2">
      <c r="A537" t="s">
        <v>72</v>
      </c>
      <c r="B537" t="s">
        <v>4752</v>
      </c>
      <c r="C537" t="s">
        <v>74</v>
      </c>
      <c r="D537" t="s">
        <v>74</v>
      </c>
      <c r="E537" t="s">
        <v>74</v>
      </c>
      <c r="F537" t="s">
        <v>4753</v>
      </c>
      <c r="G537" t="s">
        <v>74</v>
      </c>
      <c r="H537" t="s">
        <v>74</v>
      </c>
      <c r="I537" t="s">
        <v>4754</v>
      </c>
      <c r="J537" t="s">
        <v>4755</v>
      </c>
      <c r="K537" t="s">
        <v>74</v>
      </c>
      <c r="L537" t="s">
        <v>74</v>
      </c>
      <c r="M537" t="s">
        <v>74</v>
      </c>
      <c r="N537" t="s">
        <v>74</v>
      </c>
      <c r="O537" t="s">
        <v>74</v>
      </c>
      <c r="P537" t="s">
        <v>74</v>
      </c>
      <c r="Q537" t="s">
        <v>74</v>
      </c>
      <c r="R537" t="s">
        <v>74</v>
      </c>
      <c r="S537" t="s">
        <v>74</v>
      </c>
      <c r="T537" t="s">
        <v>74</v>
      </c>
      <c r="U537" t="s">
        <v>74</v>
      </c>
      <c r="V537" t="s">
        <v>4756</v>
      </c>
      <c r="W537" t="s">
        <v>74</v>
      </c>
      <c r="X537" t="s">
        <v>74</v>
      </c>
      <c r="Y537" t="s">
        <v>74</v>
      </c>
      <c r="Z537" t="s">
        <v>74</v>
      </c>
      <c r="AA537" t="s">
        <v>4757</v>
      </c>
      <c r="AB537" t="s">
        <v>4758</v>
      </c>
      <c r="AC537" t="s">
        <v>74</v>
      </c>
      <c r="AD537" t="s">
        <v>74</v>
      </c>
      <c r="AE537" t="s">
        <v>74</v>
      </c>
      <c r="AF537" t="s">
        <v>74</v>
      </c>
      <c r="AG537" t="s">
        <v>74</v>
      </c>
      <c r="AH537" t="s">
        <v>74</v>
      </c>
      <c r="AI537" t="s">
        <v>74</v>
      </c>
      <c r="AJ537" t="s">
        <v>74</v>
      </c>
      <c r="AK537" t="s">
        <v>74</v>
      </c>
      <c r="AL537" t="s">
        <v>74</v>
      </c>
      <c r="AM537" t="s">
        <v>74</v>
      </c>
      <c r="AN537" t="s">
        <v>74</v>
      </c>
      <c r="AO537" t="s">
        <v>4759</v>
      </c>
      <c r="AP537" t="s">
        <v>4760</v>
      </c>
      <c r="AQ537" t="s">
        <v>74</v>
      </c>
      <c r="AR537" t="s">
        <v>74</v>
      </c>
      <c r="AS537" t="s">
        <v>74</v>
      </c>
      <c r="AT537" t="s">
        <v>4761</v>
      </c>
      <c r="AU537">
        <v>2021</v>
      </c>
      <c r="AV537">
        <v>125</v>
      </c>
      <c r="AW537">
        <v>20</v>
      </c>
      <c r="AX537" t="s">
        <v>74</v>
      </c>
      <c r="AY537" t="s">
        <v>74</v>
      </c>
      <c r="AZ537" t="s">
        <v>74</v>
      </c>
      <c r="BA537" t="s">
        <v>74</v>
      </c>
      <c r="BB537">
        <v>5443</v>
      </c>
      <c r="BC537">
        <v>5450</v>
      </c>
      <c r="BD537" t="s">
        <v>74</v>
      </c>
      <c r="BE537" t="s">
        <v>4762</v>
      </c>
      <c r="BF537" t="str">
        <f>HYPERLINK("http://dx.doi.org/10.1021/acs.jpcb.1c02383","http://dx.doi.org/10.1021/acs.jpcb.1c02383")</f>
        <v>http://dx.doi.org/10.1021/acs.jpcb.1c02383</v>
      </c>
      <c r="BG537" t="s">
        <v>74</v>
      </c>
      <c r="BH537" t="s">
        <v>4750</v>
      </c>
      <c r="BI537" t="s">
        <v>74</v>
      </c>
      <c r="BJ537" t="s">
        <v>74</v>
      </c>
      <c r="BK537" t="s">
        <v>74</v>
      </c>
      <c r="BL537" t="s">
        <v>74</v>
      </c>
      <c r="BM537" t="s">
        <v>74</v>
      </c>
      <c r="BN537">
        <v>34003647</v>
      </c>
      <c r="BO537" t="s">
        <v>74</v>
      </c>
      <c r="BP537" t="s">
        <v>74</v>
      </c>
      <c r="BQ537" t="s">
        <v>74</v>
      </c>
      <c r="BR537" t="s">
        <v>74</v>
      </c>
      <c r="BS537" t="s">
        <v>4763</v>
      </c>
      <c r="BT537" t="str">
        <f>HYPERLINK("https%3A%2F%2Fwww.webofscience.com%2Fwos%2Fwoscc%2Ffull-record%2FWOS:000657362700025","View Full Record in Web of Science")</f>
        <v>View Full Record in Web of Science</v>
      </c>
    </row>
    <row r="538" spans="1:72" x14ac:dyDescent="0.2">
      <c r="A538" t="s">
        <v>72</v>
      </c>
      <c r="B538" t="s">
        <v>4764</v>
      </c>
      <c r="C538" t="s">
        <v>74</v>
      </c>
      <c r="D538" t="s">
        <v>74</v>
      </c>
      <c r="E538" t="s">
        <v>74</v>
      </c>
      <c r="F538" t="s">
        <v>4765</v>
      </c>
      <c r="G538" t="s">
        <v>74</v>
      </c>
      <c r="H538" t="s">
        <v>74</v>
      </c>
      <c r="I538" t="s">
        <v>4766</v>
      </c>
      <c r="J538" t="s">
        <v>109</v>
      </c>
      <c r="K538" t="s">
        <v>74</v>
      </c>
      <c r="L538" t="s">
        <v>74</v>
      </c>
      <c r="M538" t="s">
        <v>74</v>
      </c>
      <c r="N538" t="s">
        <v>74</v>
      </c>
      <c r="O538" t="s">
        <v>74</v>
      </c>
      <c r="P538" t="s">
        <v>74</v>
      </c>
      <c r="Q538" t="s">
        <v>74</v>
      </c>
      <c r="R538" t="s">
        <v>74</v>
      </c>
      <c r="S538" t="s">
        <v>74</v>
      </c>
      <c r="T538" t="s">
        <v>74</v>
      </c>
      <c r="U538" t="s">
        <v>74</v>
      </c>
      <c r="V538" t="s">
        <v>4767</v>
      </c>
      <c r="W538" t="s">
        <v>74</v>
      </c>
      <c r="X538" t="s">
        <v>74</v>
      </c>
      <c r="Y538" t="s">
        <v>74</v>
      </c>
      <c r="Z538" t="s">
        <v>74</v>
      </c>
      <c r="AA538" t="s">
        <v>4768</v>
      </c>
      <c r="AB538" t="s">
        <v>4769</v>
      </c>
      <c r="AC538" t="s">
        <v>74</v>
      </c>
      <c r="AD538" t="s">
        <v>74</v>
      </c>
      <c r="AE538" t="s">
        <v>74</v>
      </c>
      <c r="AF538" t="s">
        <v>74</v>
      </c>
      <c r="AG538" t="s">
        <v>74</v>
      </c>
      <c r="AH538" t="s">
        <v>74</v>
      </c>
      <c r="AI538" t="s">
        <v>74</v>
      </c>
      <c r="AJ538" t="s">
        <v>74</v>
      </c>
      <c r="AK538" t="s">
        <v>74</v>
      </c>
      <c r="AL538" t="s">
        <v>74</v>
      </c>
      <c r="AM538" t="s">
        <v>74</v>
      </c>
      <c r="AN538" t="s">
        <v>74</v>
      </c>
      <c r="AO538" t="s">
        <v>112</v>
      </c>
      <c r="AP538" t="s">
        <v>74</v>
      </c>
      <c r="AQ538" t="s">
        <v>74</v>
      </c>
      <c r="AR538" t="s">
        <v>74</v>
      </c>
      <c r="AS538" t="s">
        <v>74</v>
      </c>
      <c r="AT538" t="s">
        <v>92</v>
      </c>
      <c r="AU538">
        <v>2021</v>
      </c>
      <c r="AV538">
        <v>62</v>
      </c>
      <c r="AW538" t="s">
        <v>74</v>
      </c>
      <c r="AX538" t="s">
        <v>74</v>
      </c>
      <c r="AY538" t="s">
        <v>74</v>
      </c>
      <c r="AZ538" t="s">
        <v>74</v>
      </c>
      <c r="BA538" t="s">
        <v>74</v>
      </c>
      <c r="BB538">
        <v>660</v>
      </c>
      <c r="BC538">
        <v>691</v>
      </c>
      <c r="BD538" t="s">
        <v>74</v>
      </c>
      <c r="BE538" t="s">
        <v>4770</v>
      </c>
      <c r="BF538" t="str">
        <f>HYPERLINK("http://dx.doi.org/10.1016/j.jechem.2021.04.031","http://dx.doi.org/10.1016/j.jechem.2021.04.031")</f>
        <v>http://dx.doi.org/10.1016/j.jechem.2021.04.031</v>
      </c>
      <c r="BG538" t="s">
        <v>74</v>
      </c>
      <c r="BH538" t="s">
        <v>4750</v>
      </c>
      <c r="BI538" t="s">
        <v>74</v>
      </c>
      <c r="BJ538" t="s">
        <v>74</v>
      </c>
      <c r="BK538" t="s">
        <v>74</v>
      </c>
      <c r="BL538" t="s">
        <v>74</v>
      </c>
      <c r="BM538" t="s">
        <v>74</v>
      </c>
      <c r="BN538" t="s">
        <v>74</v>
      </c>
      <c r="BO538" t="s">
        <v>74</v>
      </c>
      <c r="BP538" t="s">
        <v>74</v>
      </c>
      <c r="BQ538" t="s">
        <v>74</v>
      </c>
      <c r="BR538" t="s">
        <v>74</v>
      </c>
      <c r="BS538" t="s">
        <v>4771</v>
      </c>
      <c r="BT538" t="str">
        <f>HYPERLINK("https%3A%2F%2Fwww.webofscience.com%2Fwos%2Fwoscc%2Ffull-record%2FWOS:000662273400007","View Full Record in Web of Science")</f>
        <v>View Full Record in Web of Science</v>
      </c>
    </row>
    <row r="539" spans="1:72" x14ac:dyDescent="0.2">
      <c r="A539" t="s">
        <v>72</v>
      </c>
      <c r="B539" t="s">
        <v>4772</v>
      </c>
      <c r="C539" t="s">
        <v>74</v>
      </c>
      <c r="D539" t="s">
        <v>74</v>
      </c>
      <c r="E539" t="s">
        <v>74</v>
      </c>
      <c r="F539" t="s">
        <v>4773</v>
      </c>
      <c r="G539" t="s">
        <v>74</v>
      </c>
      <c r="H539" t="s">
        <v>74</v>
      </c>
      <c r="I539" t="s">
        <v>4774</v>
      </c>
      <c r="J539" t="s">
        <v>587</v>
      </c>
      <c r="K539" t="s">
        <v>74</v>
      </c>
      <c r="L539" t="s">
        <v>74</v>
      </c>
      <c r="M539" t="s">
        <v>74</v>
      </c>
      <c r="N539" t="s">
        <v>74</v>
      </c>
      <c r="O539" t="s">
        <v>74</v>
      </c>
      <c r="P539" t="s">
        <v>74</v>
      </c>
      <c r="Q539" t="s">
        <v>74</v>
      </c>
      <c r="R539" t="s">
        <v>74</v>
      </c>
      <c r="S539" t="s">
        <v>74</v>
      </c>
      <c r="T539" t="s">
        <v>74</v>
      </c>
      <c r="U539" t="s">
        <v>74</v>
      </c>
      <c r="V539" t="s">
        <v>4775</v>
      </c>
      <c r="W539" t="s">
        <v>74</v>
      </c>
      <c r="X539" t="s">
        <v>74</v>
      </c>
      <c r="Y539" t="s">
        <v>74</v>
      </c>
      <c r="Z539" t="s">
        <v>74</v>
      </c>
      <c r="AA539" t="s">
        <v>4776</v>
      </c>
      <c r="AB539" t="s">
        <v>1980</v>
      </c>
      <c r="AC539" t="s">
        <v>74</v>
      </c>
      <c r="AD539" t="s">
        <v>74</v>
      </c>
      <c r="AE539" t="s">
        <v>74</v>
      </c>
      <c r="AF539" t="s">
        <v>74</v>
      </c>
      <c r="AG539" t="s">
        <v>74</v>
      </c>
      <c r="AH539" t="s">
        <v>74</v>
      </c>
      <c r="AI539" t="s">
        <v>74</v>
      </c>
      <c r="AJ539" t="s">
        <v>74</v>
      </c>
      <c r="AK539" t="s">
        <v>74</v>
      </c>
      <c r="AL539" t="s">
        <v>74</v>
      </c>
      <c r="AM539" t="s">
        <v>74</v>
      </c>
      <c r="AN539" t="s">
        <v>74</v>
      </c>
      <c r="AO539" t="s">
        <v>591</v>
      </c>
      <c r="AP539" t="s">
        <v>74</v>
      </c>
      <c r="AQ539" t="s">
        <v>74</v>
      </c>
      <c r="AR539" t="s">
        <v>74</v>
      </c>
      <c r="AS539" t="s">
        <v>74</v>
      </c>
      <c r="AT539" t="s">
        <v>2174</v>
      </c>
      <c r="AU539">
        <v>2021</v>
      </c>
      <c r="AV539">
        <v>8</v>
      </c>
      <c r="AW539">
        <v>11</v>
      </c>
      <c r="AX539" t="s">
        <v>74</v>
      </c>
      <c r="AY539" t="s">
        <v>74</v>
      </c>
      <c r="AZ539" t="s">
        <v>74</v>
      </c>
      <c r="BA539" t="s">
        <v>74</v>
      </c>
      <c r="BB539">
        <v>2014</v>
      </c>
      <c r="BC539">
        <v>2021</v>
      </c>
      <c r="BD539" t="s">
        <v>74</v>
      </c>
      <c r="BE539" t="s">
        <v>4777</v>
      </c>
      <c r="BF539" t="str">
        <f>HYPERLINK("http://dx.doi.org/10.1002/celc.202100125","http://dx.doi.org/10.1002/celc.202100125")</f>
        <v>http://dx.doi.org/10.1002/celc.202100125</v>
      </c>
      <c r="BG539" t="s">
        <v>74</v>
      </c>
      <c r="BH539" t="s">
        <v>4750</v>
      </c>
      <c r="BI539" t="s">
        <v>74</v>
      </c>
      <c r="BJ539" t="s">
        <v>74</v>
      </c>
      <c r="BK539" t="s">
        <v>74</v>
      </c>
      <c r="BL539" t="s">
        <v>74</v>
      </c>
      <c r="BM539" t="s">
        <v>74</v>
      </c>
      <c r="BN539" t="s">
        <v>74</v>
      </c>
      <c r="BO539" t="s">
        <v>74</v>
      </c>
      <c r="BP539" t="s">
        <v>74</v>
      </c>
      <c r="BQ539" t="s">
        <v>74</v>
      </c>
      <c r="BR539" t="s">
        <v>74</v>
      </c>
      <c r="BS539" t="s">
        <v>4778</v>
      </c>
      <c r="BT539" t="str">
        <f>HYPERLINK("https%3A%2F%2Fwww.webofscience.com%2Fwos%2Fwoscc%2Ffull-record%2FWOS:000649195500001","View Full Record in Web of Science")</f>
        <v>View Full Record in Web of Science</v>
      </c>
    </row>
    <row r="540" spans="1:72" x14ac:dyDescent="0.2">
      <c r="A540" t="s">
        <v>72</v>
      </c>
      <c r="B540" t="s">
        <v>4779</v>
      </c>
      <c r="C540" t="s">
        <v>74</v>
      </c>
      <c r="D540" t="s">
        <v>74</v>
      </c>
      <c r="E540" t="s">
        <v>74</v>
      </c>
      <c r="F540" t="s">
        <v>4780</v>
      </c>
      <c r="G540" t="s">
        <v>74</v>
      </c>
      <c r="H540" t="s">
        <v>74</v>
      </c>
      <c r="I540" t="s">
        <v>4781</v>
      </c>
      <c r="J540" t="s">
        <v>161</v>
      </c>
      <c r="K540" t="s">
        <v>74</v>
      </c>
      <c r="L540" t="s">
        <v>74</v>
      </c>
      <c r="M540" t="s">
        <v>74</v>
      </c>
      <c r="N540" t="s">
        <v>74</v>
      </c>
      <c r="O540" t="s">
        <v>74</v>
      </c>
      <c r="P540" t="s">
        <v>74</v>
      </c>
      <c r="Q540" t="s">
        <v>74</v>
      </c>
      <c r="R540" t="s">
        <v>74</v>
      </c>
      <c r="S540" t="s">
        <v>74</v>
      </c>
      <c r="T540" t="s">
        <v>74</v>
      </c>
      <c r="U540" t="s">
        <v>74</v>
      </c>
      <c r="V540" t="s">
        <v>4782</v>
      </c>
      <c r="W540" t="s">
        <v>74</v>
      </c>
      <c r="X540" t="s">
        <v>74</v>
      </c>
      <c r="Y540" t="s">
        <v>74</v>
      </c>
      <c r="Z540" t="s">
        <v>74</v>
      </c>
      <c r="AA540" t="s">
        <v>4783</v>
      </c>
      <c r="AB540" t="s">
        <v>4784</v>
      </c>
      <c r="AC540" t="s">
        <v>74</v>
      </c>
      <c r="AD540" t="s">
        <v>74</v>
      </c>
      <c r="AE540" t="s">
        <v>74</v>
      </c>
      <c r="AF540" t="s">
        <v>74</v>
      </c>
      <c r="AG540" t="s">
        <v>74</v>
      </c>
      <c r="AH540" t="s">
        <v>74</v>
      </c>
      <c r="AI540" t="s">
        <v>74</v>
      </c>
      <c r="AJ540" t="s">
        <v>74</v>
      </c>
      <c r="AK540" t="s">
        <v>74</v>
      </c>
      <c r="AL540" t="s">
        <v>74</v>
      </c>
      <c r="AM540" t="s">
        <v>74</v>
      </c>
      <c r="AN540" t="s">
        <v>74</v>
      </c>
      <c r="AO540" t="s">
        <v>163</v>
      </c>
      <c r="AP540" t="s">
        <v>164</v>
      </c>
      <c r="AQ540" t="s">
        <v>74</v>
      </c>
      <c r="AR540" t="s">
        <v>74</v>
      </c>
      <c r="AS540" t="s">
        <v>74</v>
      </c>
      <c r="AT540" t="s">
        <v>103</v>
      </c>
      <c r="AU540">
        <v>2021</v>
      </c>
      <c r="AV540">
        <v>422</v>
      </c>
      <c r="AW540" t="s">
        <v>74</v>
      </c>
      <c r="AX540" t="s">
        <v>74</v>
      </c>
      <c r="AY540" t="s">
        <v>74</v>
      </c>
      <c r="AZ540" t="s">
        <v>74</v>
      </c>
      <c r="BA540" t="s">
        <v>74</v>
      </c>
      <c r="BB540" t="s">
        <v>74</v>
      </c>
      <c r="BC540" t="s">
        <v>74</v>
      </c>
      <c r="BD540">
        <v>130134</v>
      </c>
      <c r="BE540" t="s">
        <v>4785</v>
      </c>
      <c r="BF540" t="str">
        <f>HYPERLINK("http://dx.doi.org/10.1016/j.cej.2021.130134","http://dx.doi.org/10.1016/j.cej.2021.130134")</f>
        <v>http://dx.doi.org/10.1016/j.cej.2021.130134</v>
      </c>
      <c r="BG540" t="s">
        <v>74</v>
      </c>
      <c r="BH540" t="s">
        <v>4750</v>
      </c>
      <c r="BI540" t="s">
        <v>74</v>
      </c>
      <c r="BJ540" t="s">
        <v>74</v>
      </c>
      <c r="BK540" t="s">
        <v>74</v>
      </c>
      <c r="BL540" t="s">
        <v>74</v>
      </c>
      <c r="BM540" t="s">
        <v>74</v>
      </c>
      <c r="BN540" t="s">
        <v>74</v>
      </c>
      <c r="BO540" t="s">
        <v>74</v>
      </c>
      <c r="BP540" t="s">
        <v>74</v>
      </c>
      <c r="BQ540" t="s">
        <v>74</v>
      </c>
      <c r="BR540" t="s">
        <v>74</v>
      </c>
      <c r="BS540" t="s">
        <v>4786</v>
      </c>
      <c r="BT540" t="str">
        <f>HYPERLINK("https%3A%2F%2Fwww.webofscience.com%2Fwos%2Fwoscc%2Ffull-record%2FWOS:000672572000003","View Full Record in Web of Science")</f>
        <v>View Full Record in Web of Science</v>
      </c>
    </row>
    <row r="541" spans="1:72" x14ac:dyDescent="0.2">
      <c r="A541" t="s">
        <v>72</v>
      </c>
      <c r="B541" t="s">
        <v>4787</v>
      </c>
      <c r="C541" t="s">
        <v>74</v>
      </c>
      <c r="D541" t="s">
        <v>74</v>
      </c>
      <c r="E541" t="s">
        <v>74</v>
      </c>
      <c r="F541" t="s">
        <v>4788</v>
      </c>
      <c r="G541" t="s">
        <v>74</v>
      </c>
      <c r="H541" t="s">
        <v>74</v>
      </c>
      <c r="I541" t="s">
        <v>4789</v>
      </c>
      <c r="J541" t="s">
        <v>171</v>
      </c>
      <c r="K541" t="s">
        <v>74</v>
      </c>
      <c r="L541" t="s">
        <v>74</v>
      </c>
      <c r="M541" t="s">
        <v>74</v>
      </c>
      <c r="N541" t="s">
        <v>74</v>
      </c>
      <c r="O541" t="s">
        <v>74</v>
      </c>
      <c r="P541" t="s">
        <v>74</v>
      </c>
      <c r="Q541" t="s">
        <v>74</v>
      </c>
      <c r="R541" t="s">
        <v>74</v>
      </c>
      <c r="S541" t="s">
        <v>74</v>
      </c>
      <c r="T541" t="s">
        <v>74</v>
      </c>
      <c r="U541" t="s">
        <v>74</v>
      </c>
      <c r="V541" t="s">
        <v>4790</v>
      </c>
      <c r="W541" t="s">
        <v>74</v>
      </c>
      <c r="X541" t="s">
        <v>74</v>
      </c>
      <c r="Y541" t="s">
        <v>74</v>
      </c>
      <c r="Z541" t="s">
        <v>74</v>
      </c>
      <c r="AA541" t="s">
        <v>4791</v>
      </c>
      <c r="AB541" t="s">
        <v>4792</v>
      </c>
      <c r="AC541" t="s">
        <v>74</v>
      </c>
      <c r="AD541" t="s">
        <v>74</v>
      </c>
      <c r="AE541" t="s">
        <v>74</v>
      </c>
      <c r="AF541" t="s">
        <v>74</v>
      </c>
      <c r="AG541" t="s">
        <v>74</v>
      </c>
      <c r="AH541" t="s">
        <v>74</v>
      </c>
      <c r="AI541" t="s">
        <v>74</v>
      </c>
      <c r="AJ541" t="s">
        <v>74</v>
      </c>
      <c r="AK541" t="s">
        <v>74</v>
      </c>
      <c r="AL541" t="s">
        <v>74</v>
      </c>
      <c r="AM541" t="s">
        <v>74</v>
      </c>
      <c r="AN541" t="s">
        <v>74</v>
      </c>
      <c r="AO541" t="s">
        <v>173</v>
      </c>
      <c r="AP541" t="s">
        <v>174</v>
      </c>
      <c r="AQ541" t="s">
        <v>74</v>
      </c>
      <c r="AR541" t="s">
        <v>74</v>
      </c>
      <c r="AS541" t="s">
        <v>74</v>
      </c>
      <c r="AT541" t="s">
        <v>113</v>
      </c>
      <c r="AU541">
        <v>2021</v>
      </c>
      <c r="AV541">
        <v>599</v>
      </c>
      <c r="AW541" t="s">
        <v>74</v>
      </c>
      <c r="AX541" t="s">
        <v>74</v>
      </c>
      <c r="AY541" t="s">
        <v>74</v>
      </c>
      <c r="AZ541" t="s">
        <v>74</v>
      </c>
      <c r="BA541" t="s">
        <v>74</v>
      </c>
      <c r="BB541">
        <v>556</v>
      </c>
      <c r="BC541">
        <v>565</v>
      </c>
      <c r="BD541" t="s">
        <v>74</v>
      </c>
      <c r="BE541" t="s">
        <v>4793</v>
      </c>
      <c r="BF541" t="str">
        <f>HYPERLINK("http://dx.doi.org/10.1016/j.jcis.2021.04.114","http://dx.doi.org/10.1016/j.jcis.2021.04.114")</f>
        <v>http://dx.doi.org/10.1016/j.jcis.2021.04.114</v>
      </c>
      <c r="BG541" t="s">
        <v>74</v>
      </c>
      <c r="BH541" t="s">
        <v>4750</v>
      </c>
      <c r="BI541" t="s">
        <v>74</v>
      </c>
      <c r="BJ541" t="s">
        <v>74</v>
      </c>
      <c r="BK541" t="s">
        <v>74</v>
      </c>
      <c r="BL541" t="s">
        <v>74</v>
      </c>
      <c r="BM541" t="s">
        <v>74</v>
      </c>
      <c r="BN541">
        <v>33964700</v>
      </c>
      <c r="BO541" t="s">
        <v>74</v>
      </c>
      <c r="BP541" t="s">
        <v>74</v>
      </c>
      <c r="BQ541" t="s">
        <v>74</v>
      </c>
      <c r="BR541" t="s">
        <v>74</v>
      </c>
      <c r="BS541" t="s">
        <v>4794</v>
      </c>
      <c r="BT541" t="str">
        <f>HYPERLINK("https%3A%2F%2Fwww.webofscience.com%2Fwos%2Fwoscc%2Ffull-record%2FWOS:000659388400002","View Full Record in Web of Science")</f>
        <v>View Full Record in Web of Science</v>
      </c>
    </row>
    <row r="542" spans="1:72" x14ac:dyDescent="0.2">
      <c r="A542" t="s">
        <v>72</v>
      </c>
      <c r="B542" t="s">
        <v>4795</v>
      </c>
      <c r="C542" t="s">
        <v>74</v>
      </c>
      <c r="D542" t="s">
        <v>74</v>
      </c>
      <c r="E542" t="s">
        <v>74</v>
      </c>
      <c r="F542" t="s">
        <v>4796</v>
      </c>
      <c r="G542" t="s">
        <v>74</v>
      </c>
      <c r="H542" t="s">
        <v>74</v>
      </c>
      <c r="I542" t="s">
        <v>4797</v>
      </c>
      <c r="J542" t="s">
        <v>587</v>
      </c>
      <c r="K542" t="s">
        <v>74</v>
      </c>
      <c r="L542" t="s">
        <v>74</v>
      </c>
      <c r="M542" t="s">
        <v>74</v>
      </c>
      <c r="N542" t="s">
        <v>74</v>
      </c>
      <c r="O542" t="s">
        <v>74</v>
      </c>
      <c r="P542" t="s">
        <v>74</v>
      </c>
      <c r="Q542" t="s">
        <v>74</v>
      </c>
      <c r="R542" t="s">
        <v>74</v>
      </c>
      <c r="S542" t="s">
        <v>74</v>
      </c>
      <c r="T542" t="s">
        <v>74</v>
      </c>
      <c r="U542" t="s">
        <v>74</v>
      </c>
      <c r="V542" t="s">
        <v>4798</v>
      </c>
      <c r="W542" t="s">
        <v>74</v>
      </c>
      <c r="X542" t="s">
        <v>74</v>
      </c>
      <c r="Y542" t="s">
        <v>74</v>
      </c>
      <c r="Z542" t="s">
        <v>74</v>
      </c>
      <c r="AA542" t="s">
        <v>4799</v>
      </c>
      <c r="AB542" t="s">
        <v>4800</v>
      </c>
      <c r="AC542" t="s">
        <v>74</v>
      </c>
      <c r="AD542" t="s">
        <v>74</v>
      </c>
      <c r="AE542" t="s">
        <v>74</v>
      </c>
      <c r="AF542" t="s">
        <v>74</v>
      </c>
      <c r="AG542" t="s">
        <v>74</v>
      </c>
      <c r="AH542" t="s">
        <v>74</v>
      </c>
      <c r="AI542" t="s">
        <v>74</v>
      </c>
      <c r="AJ542" t="s">
        <v>74</v>
      </c>
      <c r="AK542" t="s">
        <v>74</v>
      </c>
      <c r="AL542" t="s">
        <v>74</v>
      </c>
      <c r="AM542" t="s">
        <v>74</v>
      </c>
      <c r="AN542" t="s">
        <v>74</v>
      </c>
      <c r="AO542" t="s">
        <v>591</v>
      </c>
      <c r="AP542" t="s">
        <v>74</v>
      </c>
      <c r="AQ542" t="s">
        <v>74</v>
      </c>
      <c r="AR542" t="s">
        <v>74</v>
      </c>
      <c r="AS542" t="s">
        <v>74</v>
      </c>
      <c r="AT542" t="s">
        <v>3178</v>
      </c>
      <c r="AU542">
        <v>2021</v>
      </c>
      <c r="AV542">
        <v>8</v>
      </c>
      <c r="AW542">
        <v>9</v>
      </c>
      <c r="AX542" t="s">
        <v>74</v>
      </c>
      <c r="AY542" t="s">
        <v>74</v>
      </c>
      <c r="AZ542" t="s">
        <v>74</v>
      </c>
      <c r="BA542" t="s">
        <v>74</v>
      </c>
      <c r="BB542">
        <v>1685</v>
      </c>
      <c r="BC542">
        <v>1693</v>
      </c>
      <c r="BD542" t="s">
        <v>74</v>
      </c>
      <c r="BE542" t="s">
        <v>4801</v>
      </c>
      <c r="BF542" t="str">
        <f>HYPERLINK("http://dx.doi.org/10.1002/celc.202100374","http://dx.doi.org/10.1002/celc.202100374")</f>
        <v>http://dx.doi.org/10.1002/celc.202100374</v>
      </c>
      <c r="BG542" t="s">
        <v>74</v>
      </c>
      <c r="BH542" t="s">
        <v>74</v>
      </c>
      <c r="BI542" t="s">
        <v>74</v>
      </c>
      <c r="BJ542" t="s">
        <v>74</v>
      </c>
      <c r="BK542" t="s">
        <v>74</v>
      </c>
      <c r="BL542" t="s">
        <v>74</v>
      </c>
      <c r="BM542" t="s">
        <v>74</v>
      </c>
      <c r="BN542" t="s">
        <v>74</v>
      </c>
      <c r="BO542" t="s">
        <v>74</v>
      </c>
      <c r="BP542" t="s">
        <v>74</v>
      </c>
      <c r="BQ542" t="s">
        <v>74</v>
      </c>
      <c r="BR542" t="s">
        <v>74</v>
      </c>
      <c r="BS542" t="s">
        <v>4802</v>
      </c>
      <c r="BT542" t="str">
        <f>HYPERLINK("https%3A%2F%2Fwww.webofscience.com%2Fwos%2Fwoscc%2Ffull-record%2FWOS:000664219100018","View Full Record in Web of Science")</f>
        <v>View Full Record in Web of Science</v>
      </c>
    </row>
    <row r="543" spans="1:72" x14ac:dyDescent="0.2">
      <c r="A543" t="s">
        <v>72</v>
      </c>
      <c r="B543" t="s">
        <v>4803</v>
      </c>
      <c r="C543" t="s">
        <v>74</v>
      </c>
      <c r="D543" t="s">
        <v>74</v>
      </c>
      <c r="E543" t="s">
        <v>74</v>
      </c>
      <c r="F543" t="s">
        <v>4804</v>
      </c>
      <c r="G543" t="s">
        <v>74</v>
      </c>
      <c r="H543" t="s">
        <v>74</v>
      </c>
      <c r="I543" t="s">
        <v>4805</v>
      </c>
      <c r="J543" t="s">
        <v>109</v>
      </c>
      <c r="K543" t="s">
        <v>74</v>
      </c>
      <c r="L543" t="s">
        <v>74</v>
      </c>
      <c r="M543" t="s">
        <v>74</v>
      </c>
      <c r="N543" t="s">
        <v>74</v>
      </c>
      <c r="O543" t="s">
        <v>74</v>
      </c>
      <c r="P543" t="s">
        <v>74</v>
      </c>
      <c r="Q543" t="s">
        <v>74</v>
      </c>
      <c r="R543" t="s">
        <v>74</v>
      </c>
      <c r="S543" t="s">
        <v>74</v>
      </c>
      <c r="T543" t="s">
        <v>74</v>
      </c>
      <c r="U543" t="s">
        <v>74</v>
      </c>
      <c r="V543" t="s">
        <v>4806</v>
      </c>
      <c r="W543" t="s">
        <v>74</v>
      </c>
      <c r="X543" t="s">
        <v>74</v>
      </c>
      <c r="Y543" t="s">
        <v>74</v>
      </c>
      <c r="Z543" t="s">
        <v>74</v>
      </c>
      <c r="AA543" t="s">
        <v>4807</v>
      </c>
      <c r="AB543" t="s">
        <v>74</v>
      </c>
      <c r="AC543" t="s">
        <v>74</v>
      </c>
      <c r="AD543" t="s">
        <v>74</v>
      </c>
      <c r="AE543" t="s">
        <v>74</v>
      </c>
      <c r="AF543" t="s">
        <v>74</v>
      </c>
      <c r="AG543" t="s">
        <v>74</v>
      </c>
      <c r="AH543" t="s">
        <v>74</v>
      </c>
      <c r="AI543" t="s">
        <v>74</v>
      </c>
      <c r="AJ543" t="s">
        <v>74</v>
      </c>
      <c r="AK543" t="s">
        <v>74</v>
      </c>
      <c r="AL543" t="s">
        <v>74</v>
      </c>
      <c r="AM543" t="s">
        <v>74</v>
      </c>
      <c r="AN543" t="s">
        <v>74</v>
      </c>
      <c r="AO543" t="s">
        <v>112</v>
      </c>
      <c r="AP543" t="s">
        <v>74</v>
      </c>
      <c r="AQ543" t="s">
        <v>74</v>
      </c>
      <c r="AR543" t="s">
        <v>74</v>
      </c>
      <c r="AS543" t="s">
        <v>74</v>
      </c>
      <c r="AT543" t="s">
        <v>545</v>
      </c>
      <c r="AU543">
        <v>2021</v>
      </c>
      <c r="AV543">
        <v>56</v>
      </c>
      <c r="AW543" t="s">
        <v>74</v>
      </c>
      <c r="AX543" t="s">
        <v>74</v>
      </c>
      <c r="AY543" t="s">
        <v>74</v>
      </c>
      <c r="AZ543" t="s">
        <v>74</v>
      </c>
      <c r="BA543" t="s">
        <v>74</v>
      </c>
      <c r="BB543">
        <v>463</v>
      </c>
      <c r="BC543">
        <v>469</v>
      </c>
      <c r="BD543" t="s">
        <v>74</v>
      </c>
      <c r="BE543" t="s">
        <v>4808</v>
      </c>
      <c r="BF543" t="str">
        <f>HYPERLINK("http://dx.doi.org/10.1016/j.jechem.2020.08.0192095-4956/","http://dx.doi.org/10.1016/j.jechem.2020.08.0192095-4956/")</f>
        <v>http://dx.doi.org/10.1016/j.jechem.2020.08.0192095-4956/</v>
      </c>
      <c r="BG543" t="s">
        <v>74</v>
      </c>
      <c r="BH543" t="s">
        <v>74</v>
      </c>
      <c r="BI543" t="s">
        <v>74</v>
      </c>
      <c r="BJ543" t="s">
        <v>74</v>
      </c>
      <c r="BK543" t="s">
        <v>74</v>
      </c>
      <c r="BL543" t="s">
        <v>74</v>
      </c>
      <c r="BM543" t="s">
        <v>74</v>
      </c>
      <c r="BN543" t="s">
        <v>74</v>
      </c>
      <c r="BO543" t="s">
        <v>74</v>
      </c>
      <c r="BP543" t="s">
        <v>74</v>
      </c>
      <c r="BQ543" t="s">
        <v>74</v>
      </c>
      <c r="BR543" t="s">
        <v>74</v>
      </c>
      <c r="BS543" t="s">
        <v>4809</v>
      </c>
      <c r="BT543" t="str">
        <f>HYPERLINK("https%3A%2F%2Fwww.webofscience.com%2Fwos%2Fwoscc%2Ffull-record%2FWOS:000634451900004","View Full Record in Web of Science")</f>
        <v>View Full Record in Web of Science</v>
      </c>
    </row>
    <row r="544" spans="1:72" x14ac:dyDescent="0.2">
      <c r="A544" t="s">
        <v>72</v>
      </c>
      <c r="B544" t="s">
        <v>4810</v>
      </c>
      <c r="C544" t="s">
        <v>74</v>
      </c>
      <c r="D544" t="s">
        <v>74</v>
      </c>
      <c r="E544" t="s">
        <v>74</v>
      </c>
      <c r="F544" t="s">
        <v>4811</v>
      </c>
      <c r="G544" t="s">
        <v>74</v>
      </c>
      <c r="H544" t="s">
        <v>74</v>
      </c>
      <c r="I544" t="s">
        <v>4812</v>
      </c>
      <c r="J544" t="s">
        <v>399</v>
      </c>
      <c r="K544" t="s">
        <v>74</v>
      </c>
      <c r="L544" t="s">
        <v>74</v>
      </c>
      <c r="M544" t="s">
        <v>74</v>
      </c>
      <c r="N544" t="s">
        <v>74</v>
      </c>
      <c r="O544" t="s">
        <v>74</v>
      </c>
      <c r="P544" t="s">
        <v>74</v>
      </c>
      <c r="Q544" t="s">
        <v>74</v>
      </c>
      <c r="R544" t="s">
        <v>74</v>
      </c>
      <c r="S544" t="s">
        <v>74</v>
      </c>
      <c r="T544" t="s">
        <v>74</v>
      </c>
      <c r="U544" t="s">
        <v>74</v>
      </c>
      <c r="V544" t="s">
        <v>4813</v>
      </c>
      <c r="W544" t="s">
        <v>74</v>
      </c>
      <c r="X544" t="s">
        <v>74</v>
      </c>
      <c r="Y544" t="s">
        <v>74</v>
      </c>
      <c r="Z544" t="s">
        <v>74</v>
      </c>
      <c r="AA544" t="s">
        <v>4814</v>
      </c>
      <c r="AB544" t="s">
        <v>4815</v>
      </c>
      <c r="AC544" t="s">
        <v>74</v>
      </c>
      <c r="AD544" t="s">
        <v>74</v>
      </c>
      <c r="AE544" t="s">
        <v>74</v>
      </c>
      <c r="AF544" t="s">
        <v>74</v>
      </c>
      <c r="AG544" t="s">
        <v>74</v>
      </c>
      <c r="AH544" t="s">
        <v>74</v>
      </c>
      <c r="AI544" t="s">
        <v>74</v>
      </c>
      <c r="AJ544" t="s">
        <v>74</v>
      </c>
      <c r="AK544" t="s">
        <v>74</v>
      </c>
      <c r="AL544" t="s">
        <v>74</v>
      </c>
      <c r="AM544" t="s">
        <v>74</v>
      </c>
      <c r="AN544" t="s">
        <v>74</v>
      </c>
      <c r="AO544" t="s">
        <v>402</v>
      </c>
      <c r="AP544" t="s">
        <v>403</v>
      </c>
      <c r="AQ544" t="s">
        <v>74</v>
      </c>
      <c r="AR544" t="s">
        <v>74</v>
      </c>
      <c r="AS544" t="s">
        <v>74</v>
      </c>
      <c r="AT544" t="s">
        <v>3082</v>
      </c>
      <c r="AU544">
        <v>2021</v>
      </c>
      <c r="AV544">
        <v>143</v>
      </c>
      <c r="AW544">
        <v>18</v>
      </c>
      <c r="AX544" t="s">
        <v>74</v>
      </c>
      <c r="AY544" t="s">
        <v>74</v>
      </c>
      <c r="AZ544" t="s">
        <v>74</v>
      </c>
      <c r="BA544" t="s">
        <v>74</v>
      </c>
      <c r="BB544">
        <v>6952</v>
      </c>
      <c r="BC544">
        <v>6961</v>
      </c>
      <c r="BD544" t="s">
        <v>74</v>
      </c>
      <c r="BE544" t="s">
        <v>4816</v>
      </c>
      <c r="BF544" t="str">
        <f>HYPERLINK("http://dx.doi.org/10.1021/jacs.1c00941","http://dx.doi.org/10.1021/jacs.1c00941")</f>
        <v>http://dx.doi.org/10.1021/jacs.1c00941</v>
      </c>
      <c r="BG544" t="s">
        <v>74</v>
      </c>
      <c r="BH544" t="s">
        <v>4817</v>
      </c>
      <c r="BI544" t="s">
        <v>74</v>
      </c>
      <c r="BJ544" t="s">
        <v>74</v>
      </c>
      <c r="BK544" t="s">
        <v>74</v>
      </c>
      <c r="BL544" t="s">
        <v>74</v>
      </c>
      <c r="BM544" t="s">
        <v>74</v>
      </c>
      <c r="BN544">
        <v>33929830</v>
      </c>
      <c r="BO544" t="s">
        <v>74</v>
      </c>
      <c r="BP544" t="s">
        <v>74</v>
      </c>
      <c r="BQ544" t="s">
        <v>74</v>
      </c>
      <c r="BR544" t="s">
        <v>74</v>
      </c>
      <c r="BS544" t="s">
        <v>4818</v>
      </c>
      <c r="BT544" t="str">
        <f>HYPERLINK("https%3A%2F%2Fwww.webofscience.com%2Fwos%2Fwoscc%2Ffull-record%2FWOS:000651748000026","View Full Record in Web of Science")</f>
        <v>View Full Record in Web of Science</v>
      </c>
    </row>
    <row r="545" spans="1:72" x14ac:dyDescent="0.2">
      <c r="A545" t="s">
        <v>72</v>
      </c>
      <c r="B545" t="s">
        <v>4819</v>
      </c>
      <c r="C545" t="s">
        <v>74</v>
      </c>
      <c r="D545" t="s">
        <v>74</v>
      </c>
      <c r="E545" t="s">
        <v>74</v>
      </c>
      <c r="F545" t="s">
        <v>4820</v>
      </c>
      <c r="G545" t="s">
        <v>74</v>
      </c>
      <c r="H545" t="s">
        <v>74</v>
      </c>
      <c r="I545" t="s">
        <v>4821</v>
      </c>
      <c r="J545" t="s">
        <v>1332</v>
      </c>
      <c r="K545" t="s">
        <v>74</v>
      </c>
      <c r="L545" t="s">
        <v>74</v>
      </c>
      <c r="M545" t="s">
        <v>74</v>
      </c>
      <c r="N545" t="s">
        <v>74</v>
      </c>
      <c r="O545" t="s">
        <v>74</v>
      </c>
      <c r="P545" t="s">
        <v>74</v>
      </c>
      <c r="Q545" t="s">
        <v>74</v>
      </c>
      <c r="R545" t="s">
        <v>74</v>
      </c>
      <c r="S545" t="s">
        <v>74</v>
      </c>
      <c r="T545" t="s">
        <v>74</v>
      </c>
      <c r="U545" t="s">
        <v>74</v>
      </c>
      <c r="V545" t="s">
        <v>4822</v>
      </c>
      <c r="W545" t="s">
        <v>74</v>
      </c>
      <c r="X545" t="s">
        <v>74</v>
      </c>
      <c r="Y545" t="s">
        <v>74</v>
      </c>
      <c r="Z545" t="s">
        <v>74</v>
      </c>
      <c r="AA545" t="s">
        <v>4823</v>
      </c>
      <c r="AB545" t="s">
        <v>4824</v>
      </c>
      <c r="AC545" t="s">
        <v>74</v>
      </c>
      <c r="AD545" t="s">
        <v>74</v>
      </c>
      <c r="AE545" t="s">
        <v>74</v>
      </c>
      <c r="AF545" t="s">
        <v>74</v>
      </c>
      <c r="AG545" t="s">
        <v>74</v>
      </c>
      <c r="AH545" t="s">
        <v>74</v>
      </c>
      <c r="AI545" t="s">
        <v>74</v>
      </c>
      <c r="AJ545" t="s">
        <v>74</v>
      </c>
      <c r="AK545" t="s">
        <v>74</v>
      </c>
      <c r="AL545" t="s">
        <v>74</v>
      </c>
      <c r="AM545" t="s">
        <v>74</v>
      </c>
      <c r="AN545" t="s">
        <v>74</v>
      </c>
      <c r="AO545" t="s">
        <v>1336</v>
      </c>
      <c r="AP545" t="s">
        <v>1337</v>
      </c>
      <c r="AQ545" t="s">
        <v>74</v>
      </c>
      <c r="AR545" t="s">
        <v>74</v>
      </c>
      <c r="AS545" t="s">
        <v>74</v>
      </c>
      <c r="AT545" t="s">
        <v>4825</v>
      </c>
      <c r="AU545">
        <v>2021</v>
      </c>
      <c r="AV545">
        <v>50</v>
      </c>
      <c r="AW545">
        <v>19</v>
      </c>
      <c r="AX545" t="s">
        <v>74</v>
      </c>
      <c r="AY545" t="s">
        <v>74</v>
      </c>
      <c r="AZ545" t="s">
        <v>74</v>
      </c>
      <c r="BA545" t="s">
        <v>74</v>
      </c>
      <c r="BB545">
        <v>6667</v>
      </c>
      <c r="BC545">
        <v>6672</v>
      </c>
      <c r="BD545" t="s">
        <v>74</v>
      </c>
      <c r="BE545" t="s">
        <v>4826</v>
      </c>
      <c r="BF545" t="str">
        <f>HYPERLINK("http://dx.doi.org/10.1039/d1dt00601k","http://dx.doi.org/10.1039/d1dt00601k")</f>
        <v>http://dx.doi.org/10.1039/d1dt00601k</v>
      </c>
      <c r="BG545" t="s">
        <v>74</v>
      </c>
      <c r="BH545" t="s">
        <v>4817</v>
      </c>
      <c r="BI545" t="s">
        <v>74</v>
      </c>
      <c r="BJ545" t="s">
        <v>74</v>
      </c>
      <c r="BK545" t="s">
        <v>74</v>
      </c>
      <c r="BL545" t="s">
        <v>74</v>
      </c>
      <c r="BM545" t="s">
        <v>74</v>
      </c>
      <c r="BN545">
        <v>33908542</v>
      </c>
      <c r="BO545" t="s">
        <v>74</v>
      </c>
      <c r="BP545" t="s">
        <v>74</v>
      </c>
      <c r="BQ545" t="s">
        <v>74</v>
      </c>
      <c r="BR545" t="s">
        <v>74</v>
      </c>
      <c r="BS545" t="s">
        <v>4827</v>
      </c>
      <c r="BT545" t="str">
        <f>HYPERLINK("https%3A%2F%2Fwww.webofscience.com%2Fwos%2Fwoscc%2Ffull-record%2FWOS:000644857200001","View Full Record in Web of Science")</f>
        <v>View Full Record in Web of Science</v>
      </c>
    </row>
    <row r="546" spans="1:72" x14ac:dyDescent="0.2">
      <c r="A546" t="s">
        <v>72</v>
      </c>
      <c r="B546" t="s">
        <v>4828</v>
      </c>
      <c r="C546" t="s">
        <v>74</v>
      </c>
      <c r="D546" t="s">
        <v>74</v>
      </c>
      <c r="E546" t="s">
        <v>74</v>
      </c>
      <c r="F546" t="s">
        <v>4829</v>
      </c>
      <c r="G546" t="s">
        <v>74</v>
      </c>
      <c r="H546" t="s">
        <v>74</v>
      </c>
      <c r="I546" t="s">
        <v>4830</v>
      </c>
      <c r="J546" t="s">
        <v>528</v>
      </c>
      <c r="K546" t="s">
        <v>74</v>
      </c>
      <c r="L546" t="s">
        <v>74</v>
      </c>
      <c r="M546" t="s">
        <v>74</v>
      </c>
      <c r="N546" t="s">
        <v>74</v>
      </c>
      <c r="O546" t="s">
        <v>74</v>
      </c>
      <c r="P546" t="s">
        <v>74</v>
      </c>
      <c r="Q546" t="s">
        <v>74</v>
      </c>
      <c r="R546" t="s">
        <v>74</v>
      </c>
      <c r="S546" t="s">
        <v>74</v>
      </c>
      <c r="T546" t="s">
        <v>74</v>
      </c>
      <c r="U546" t="s">
        <v>74</v>
      </c>
      <c r="V546" t="s">
        <v>4831</v>
      </c>
      <c r="W546" t="s">
        <v>74</v>
      </c>
      <c r="X546" t="s">
        <v>74</v>
      </c>
      <c r="Y546" t="s">
        <v>74</v>
      </c>
      <c r="Z546" t="s">
        <v>74</v>
      </c>
      <c r="AA546" t="s">
        <v>4832</v>
      </c>
      <c r="AB546" t="s">
        <v>4833</v>
      </c>
      <c r="AC546" t="s">
        <v>74</v>
      </c>
      <c r="AD546" t="s">
        <v>74</v>
      </c>
      <c r="AE546" t="s">
        <v>74</v>
      </c>
      <c r="AF546" t="s">
        <v>74</v>
      </c>
      <c r="AG546" t="s">
        <v>74</v>
      </c>
      <c r="AH546" t="s">
        <v>74</v>
      </c>
      <c r="AI546" t="s">
        <v>74</v>
      </c>
      <c r="AJ546" t="s">
        <v>74</v>
      </c>
      <c r="AK546" t="s">
        <v>74</v>
      </c>
      <c r="AL546" t="s">
        <v>74</v>
      </c>
      <c r="AM546" t="s">
        <v>74</v>
      </c>
      <c r="AN546" t="s">
        <v>74</v>
      </c>
      <c r="AO546" t="s">
        <v>532</v>
      </c>
      <c r="AP546" t="s">
        <v>533</v>
      </c>
      <c r="AQ546" t="s">
        <v>74</v>
      </c>
      <c r="AR546" t="s">
        <v>74</v>
      </c>
      <c r="AS546" t="s">
        <v>74</v>
      </c>
      <c r="AT546" t="s">
        <v>4051</v>
      </c>
      <c r="AU546">
        <v>2021</v>
      </c>
      <c r="AV546">
        <v>13</v>
      </c>
      <c r="AW546">
        <v>17</v>
      </c>
      <c r="AX546" t="s">
        <v>74</v>
      </c>
      <c r="AY546" t="s">
        <v>74</v>
      </c>
      <c r="AZ546" t="s">
        <v>74</v>
      </c>
      <c r="BA546" t="s">
        <v>74</v>
      </c>
      <c r="BB546">
        <v>20222</v>
      </c>
      <c r="BC546">
        <v>20232</v>
      </c>
      <c r="BD546" t="s">
        <v>74</v>
      </c>
      <c r="BE546" t="s">
        <v>4834</v>
      </c>
      <c r="BF546" t="str">
        <f>HYPERLINK("http://dx.doi.org/10.1021/acsami.1c03791","http://dx.doi.org/10.1021/acsami.1c03791")</f>
        <v>http://dx.doi.org/10.1021/acsami.1c03791</v>
      </c>
      <c r="BG546" t="s">
        <v>74</v>
      </c>
      <c r="BH546" t="s">
        <v>4817</v>
      </c>
      <c r="BI546" t="s">
        <v>74</v>
      </c>
      <c r="BJ546" t="s">
        <v>74</v>
      </c>
      <c r="BK546" t="s">
        <v>74</v>
      </c>
      <c r="BL546" t="s">
        <v>74</v>
      </c>
      <c r="BM546" t="s">
        <v>74</v>
      </c>
      <c r="BN546">
        <v>33878274</v>
      </c>
      <c r="BO546" t="s">
        <v>74</v>
      </c>
      <c r="BP546" t="s">
        <v>74</v>
      </c>
      <c r="BQ546" t="s">
        <v>74</v>
      </c>
      <c r="BR546" t="s">
        <v>74</v>
      </c>
      <c r="BS546" t="s">
        <v>4835</v>
      </c>
      <c r="BT546" t="str">
        <f>HYPERLINK("https%3A%2F%2Fwww.webofscience.com%2Fwos%2Fwoscc%2Ffull-record%2FWOS:000648552500064","View Full Record in Web of Science")</f>
        <v>View Full Record in Web of Science</v>
      </c>
    </row>
    <row r="547" spans="1:72" x14ac:dyDescent="0.2">
      <c r="A547" t="s">
        <v>72</v>
      </c>
      <c r="B547" t="s">
        <v>4836</v>
      </c>
      <c r="C547" t="s">
        <v>74</v>
      </c>
      <c r="D547" t="s">
        <v>74</v>
      </c>
      <c r="E547" t="s">
        <v>74</v>
      </c>
      <c r="F547" t="s">
        <v>4837</v>
      </c>
      <c r="G547" t="s">
        <v>74</v>
      </c>
      <c r="H547" t="s">
        <v>74</v>
      </c>
      <c r="I547" t="s">
        <v>4838</v>
      </c>
      <c r="J547" t="s">
        <v>331</v>
      </c>
      <c r="K547" t="s">
        <v>74</v>
      </c>
      <c r="L547" t="s">
        <v>74</v>
      </c>
      <c r="M547" t="s">
        <v>74</v>
      </c>
      <c r="N547" t="s">
        <v>74</v>
      </c>
      <c r="O547" t="s">
        <v>74</v>
      </c>
      <c r="P547" t="s">
        <v>74</v>
      </c>
      <c r="Q547" t="s">
        <v>74</v>
      </c>
      <c r="R547" t="s">
        <v>74</v>
      </c>
      <c r="S547" t="s">
        <v>74</v>
      </c>
      <c r="T547" t="s">
        <v>74</v>
      </c>
      <c r="U547" t="s">
        <v>74</v>
      </c>
      <c r="V547" t="s">
        <v>4839</v>
      </c>
      <c r="W547" t="s">
        <v>74</v>
      </c>
      <c r="X547" t="s">
        <v>74</v>
      </c>
      <c r="Y547" t="s">
        <v>74</v>
      </c>
      <c r="Z547" t="s">
        <v>74</v>
      </c>
      <c r="AA547" t="s">
        <v>4840</v>
      </c>
      <c r="AB547" t="s">
        <v>4841</v>
      </c>
      <c r="AC547" t="s">
        <v>74</v>
      </c>
      <c r="AD547" t="s">
        <v>74</v>
      </c>
      <c r="AE547" t="s">
        <v>74</v>
      </c>
      <c r="AF547" t="s">
        <v>74</v>
      </c>
      <c r="AG547" t="s">
        <v>74</v>
      </c>
      <c r="AH547" t="s">
        <v>74</v>
      </c>
      <c r="AI547" t="s">
        <v>74</v>
      </c>
      <c r="AJ547" t="s">
        <v>74</v>
      </c>
      <c r="AK547" t="s">
        <v>74</v>
      </c>
      <c r="AL547" t="s">
        <v>74</v>
      </c>
      <c r="AM547" t="s">
        <v>74</v>
      </c>
      <c r="AN547" t="s">
        <v>74</v>
      </c>
      <c r="AO547" t="s">
        <v>333</v>
      </c>
      <c r="AP547" t="s">
        <v>334</v>
      </c>
      <c r="AQ547" t="s">
        <v>74</v>
      </c>
      <c r="AR547" t="s">
        <v>74</v>
      </c>
      <c r="AS547" t="s">
        <v>74</v>
      </c>
      <c r="AT547" t="s">
        <v>1318</v>
      </c>
      <c r="AU547">
        <v>2021</v>
      </c>
      <c r="AV547">
        <v>40</v>
      </c>
      <c r="AW547">
        <v>12</v>
      </c>
      <c r="AX547" t="s">
        <v>74</v>
      </c>
      <c r="AY547" t="s">
        <v>74</v>
      </c>
      <c r="AZ547" t="s">
        <v>74</v>
      </c>
      <c r="BA547" t="s">
        <v>74</v>
      </c>
      <c r="BB547">
        <v>3494</v>
      </c>
      <c r="BC547">
        <v>3500</v>
      </c>
      <c r="BD547" t="s">
        <v>74</v>
      </c>
      <c r="BE547" t="s">
        <v>4842</v>
      </c>
      <c r="BF547" t="str">
        <f>HYPERLINK("http://dx.doi.org/10.1007/s12598-021-01708-1","http://dx.doi.org/10.1007/s12598-021-01708-1")</f>
        <v>http://dx.doi.org/10.1007/s12598-021-01708-1</v>
      </c>
      <c r="BG547" t="s">
        <v>74</v>
      </c>
      <c r="BH547" t="s">
        <v>4817</v>
      </c>
      <c r="BI547" t="s">
        <v>74</v>
      </c>
      <c r="BJ547" t="s">
        <v>74</v>
      </c>
      <c r="BK547" t="s">
        <v>74</v>
      </c>
      <c r="BL547" t="s">
        <v>74</v>
      </c>
      <c r="BM547" t="s">
        <v>74</v>
      </c>
      <c r="BN547" t="s">
        <v>74</v>
      </c>
      <c r="BO547" t="s">
        <v>74</v>
      </c>
      <c r="BP547" t="s">
        <v>74</v>
      </c>
      <c r="BQ547" t="s">
        <v>74</v>
      </c>
      <c r="BR547" t="s">
        <v>74</v>
      </c>
      <c r="BS547" t="s">
        <v>4843</v>
      </c>
      <c r="BT547" t="str">
        <f>HYPERLINK("https%3A%2F%2Fwww.webofscience.com%2Fwos%2Fwoscc%2Ffull-record%2FWOS:000639616600001","View Full Record in Web of Science")</f>
        <v>View Full Record in Web of Science</v>
      </c>
    </row>
    <row r="548" spans="1:72" x14ac:dyDescent="0.2">
      <c r="A548" t="s">
        <v>72</v>
      </c>
      <c r="B548" t="s">
        <v>4844</v>
      </c>
      <c r="C548" t="s">
        <v>74</v>
      </c>
      <c r="D548" t="s">
        <v>74</v>
      </c>
      <c r="E548" t="s">
        <v>74</v>
      </c>
      <c r="F548" t="s">
        <v>4845</v>
      </c>
      <c r="G548" t="s">
        <v>74</v>
      </c>
      <c r="H548" t="s">
        <v>74</v>
      </c>
      <c r="I548" t="s">
        <v>4846</v>
      </c>
      <c r="J548" t="s">
        <v>528</v>
      </c>
      <c r="K548" t="s">
        <v>74</v>
      </c>
      <c r="L548" t="s">
        <v>74</v>
      </c>
      <c r="M548" t="s">
        <v>74</v>
      </c>
      <c r="N548" t="s">
        <v>74</v>
      </c>
      <c r="O548" t="s">
        <v>74</v>
      </c>
      <c r="P548" t="s">
        <v>74</v>
      </c>
      <c r="Q548" t="s">
        <v>74</v>
      </c>
      <c r="R548" t="s">
        <v>74</v>
      </c>
      <c r="S548" t="s">
        <v>74</v>
      </c>
      <c r="T548" t="s">
        <v>74</v>
      </c>
      <c r="U548" t="s">
        <v>74</v>
      </c>
      <c r="V548" t="s">
        <v>4847</v>
      </c>
      <c r="W548" t="s">
        <v>74</v>
      </c>
      <c r="X548" t="s">
        <v>74</v>
      </c>
      <c r="Y548" t="s">
        <v>74</v>
      </c>
      <c r="Z548" t="s">
        <v>74</v>
      </c>
      <c r="AA548" t="s">
        <v>4848</v>
      </c>
      <c r="AB548" t="s">
        <v>4849</v>
      </c>
      <c r="AC548" t="s">
        <v>74</v>
      </c>
      <c r="AD548" t="s">
        <v>74</v>
      </c>
      <c r="AE548" t="s">
        <v>74</v>
      </c>
      <c r="AF548" t="s">
        <v>74</v>
      </c>
      <c r="AG548" t="s">
        <v>74</v>
      </c>
      <c r="AH548" t="s">
        <v>74</v>
      </c>
      <c r="AI548" t="s">
        <v>74</v>
      </c>
      <c r="AJ548" t="s">
        <v>74</v>
      </c>
      <c r="AK548" t="s">
        <v>74</v>
      </c>
      <c r="AL548" t="s">
        <v>74</v>
      </c>
      <c r="AM548" t="s">
        <v>74</v>
      </c>
      <c r="AN548" t="s">
        <v>74</v>
      </c>
      <c r="AO548" t="s">
        <v>532</v>
      </c>
      <c r="AP548" t="s">
        <v>533</v>
      </c>
      <c r="AQ548" t="s">
        <v>74</v>
      </c>
      <c r="AR548" t="s">
        <v>74</v>
      </c>
      <c r="AS548" t="s">
        <v>74</v>
      </c>
      <c r="AT548" t="s">
        <v>4850</v>
      </c>
      <c r="AU548">
        <v>2021</v>
      </c>
      <c r="AV548">
        <v>13</v>
      </c>
      <c r="AW548">
        <v>15</v>
      </c>
      <c r="AX548" t="s">
        <v>74</v>
      </c>
      <c r="AY548" t="s">
        <v>74</v>
      </c>
      <c r="AZ548" t="s">
        <v>74</v>
      </c>
      <c r="BA548" t="s">
        <v>74</v>
      </c>
      <c r="BB548">
        <v>17554</v>
      </c>
      <c r="BC548">
        <v>17564</v>
      </c>
      <c r="BD548" t="s">
        <v>74</v>
      </c>
      <c r="BE548" t="s">
        <v>4851</v>
      </c>
      <c r="BF548" t="str">
        <f>HYPERLINK("http://dx.doi.org/10.1021/acsami.1c01659","http://dx.doi.org/10.1021/acsami.1c01659")</f>
        <v>http://dx.doi.org/10.1021/acsami.1c01659</v>
      </c>
      <c r="BG548" t="s">
        <v>74</v>
      </c>
      <c r="BH548" t="s">
        <v>4817</v>
      </c>
      <c r="BI548" t="s">
        <v>74</v>
      </c>
      <c r="BJ548" t="s">
        <v>74</v>
      </c>
      <c r="BK548" t="s">
        <v>74</v>
      </c>
      <c r="BL548" t="s">
        <v>74</v>
      </c>
      <c r="BM548" t="s">
        <v>74</v>
      </c>
      <c r="BN548">
        <v>33821603</v>
      </c>
      <c r="BO548" t="s">
        <v>74</v>
      </c>
      <c r="BP548" t="s">
        <v>74</v>
      </c>
      <c r="BQ548" t="s">
        <v>74</v>
      </c>
      <c r="BR548" t="s">
        <v>74</v>
      </c>
      <c r="BS548" t="s">
        <v>4852</v>
      </c>
      <c r="BT548" t="str">
        <f>HYPERLINK("https%3A%2F%2Fwww.webofscience.com%2Fwos%2Fwoscc%2Ffull-record%2FWOS:000643578300038","View Full Record in Web of Science")</f>
        <v>View Full Record in Web of Science</v>
      </c>
    </row>
    <row r="549" spans="1:72" x14ac:dyDescent="0.2">
      <c r="A549" t="s">
        <v>72</v>
      </c>
      <c r="B549" t="s">
        <v>4853</v>
      </c>
      <c r="C549" t="s">
        <v>74</v>
      </c>
      <c r="D549" t="s">
        <v>74</v>
      </c>
      <c r="E549" t="s">
        <v>74</v>
      </c>
      <c r="F549" t="s">
        <v>4854</v>
      </c>
      <c r="G549" t="s">
        <v>74</v>
      </c>
      <c r="H549" t="s">
        <v>74</v>
      </c>
      <c r="I549" t="s">
        <v>4855</v>
      </c>
      <c r="J549" t="s">
        <v>267</v>
      </c>
      <c r="K549" t="s">
        <v>74</v>
      </c>
      <c r="L549" t="s">
        <v>74</v>
      </c>
      <c r="M549" t="s">
        <v>74</v>
      </c>
      <c r="N549" t="s">
        <v>74</v>
      </c>
      <c r="O549" t="s">
        <v>74</v>
      </c>
      <c r="P549" t="s">
        <v>74</v>
      </c>
      <c r="Q549" t="s">
        <v>74</v>
      </c>
      <c r="R549" t="s">
        <v>74</v>
      </c>
      <c r="S549" t="s">
        <v>74</v>
      </c>
      <c r="T549" t="s">
        <v>74</v>
      </c>
      <c r="U549" t="s">
        <v>74</v>
      </c>
      <c r="V549" t="s">
        <v>4856</v>
      </c>
      <c r="W549" t="s">
        <v>74</v>
      </c>
      <c r="X549" t="s">
        <v>74</v>
      </c>
      <c r="Y549" t="s">
        <v>74</v>
      </c>
      <c r="Z549" t="s">
        <v>74</v>
      </c>
      <c r="AA549" t="s">
        <v>4857</v>
      </c>
      <c r="AB549" t="s">
        <v>74</v>
      </c>
      <c r="AC549" t="s">
        <v>74</v>
      </c>
      <c r="AD549" t="s">
        <v>74</v>
      </c>
      <c r="AE549" t="s">
        <v>74</v>
      </c>
      <c r="AF549" t="s">
        <v>74</v>
      </c>
      <c r="AG549" t="s">
        <v>74</v>
      </c>
      <c r="AH549" t="s">
        <v>74</v>
      </c>
      <c r="AI549" t="s">
        <v>74</v>
      </c>
      <c r="AJ549" t="s">
        <v>74</v>
      </c>
      <c r="AK549" t="s">
        <v>74</v>
      </c>
      <c r="AL549" t="s">
        <v>74</v>
      </c>
      <c r="AM549" t="s">
        <v>74</v>
      </c>
      <c r="AN549" t="s">
        <v>74</v>
      </c>
      <c r="AO549" t="s">
        <v>270</v>
      </c>
      <c r="AP549" t="s">
        <v>271</v>
      </c>
      <c r="AQ549" t="s">
        <v>74</v>
      </c>
      <c r="AR549" t="s">
        <v>74</v>
      </c>
      <c r="AS549" t="s">
        <v>74</v>
      </c>
      <c r="AT549" t="s">
        <v>545</v>
      </c>
      <c r="AU549">
        <v>2021</v>
      </c>
      <c r="AV549">
        <v>31</v>
      </c>
      <c r="AW549">
        <v>20</v>
      </c>
      <c r="AX549" t="s">
        <v>74</v>
      </c>
      <c r="AY549" t="s">
        <v>74</v>
      </c>
      <c r="AZ549" t="s">
        <v>74</v>
      </c>
      <c r="BA549" t="s">
        <v>74</v>
      </c>
      <c r="BB549" t="s">
        <v>74</v>
      </c>
      <c r="BC549" t="s">
        <v>74</v>
      </c>
      <c r="BD549">
        <v>2010611</v>
      </c>
      <c r="BE549" t="s">
        <v>4858</v>
      </c>
      <c r="BF549" t="str">
        <f>HYPERLINK("http://dx.doi.org/10.1002/adfm.202010611","http://dx.doi.org/10.1002/adfm.202010611")</f>
        <v>http://dx.doi.org/10.1002/adfm.202010611</v>
      </c>
      <c r="BG549" t="s">
        <v>74</v>
      </c>
      <c r="BH549" t="s">
        <v>4859</v>
      </c>
      <c r="BI549" t="s">
        <v>74</v>
      </c>
      <c r="BJ549" t="s">
        <v>74</v>
      </c>
      <c r="BK549" t="s">
        <v>74</v>
      </c>
      <c r="BL549" t="s">
        <v>74</v>
      </c>
      <c r="BM549" t="s">
        <v>74</v>
      </c>
      <c r="BN549" t="s">
        <v>74</v>
      </c>
      <c r="BO549" t="s">
        <v>74</v>
      </c>
      <c r="BP549" t="s">
        <v>74</v>
      </c>
      <c r="BQ549" t="s">
        <v>74</v>
      </c>
      <c r="BR549" t="s">
        <v>74</v>
      </c>
      <c r="BS549" t="s">
        <v>4860</v>
      </c>
      <c r="BT549" t="str">
        <f>HYPERLINK("https%3A%2F%2Fwww.webofscience.com%2Fwos%2Fwoscc%2Ffull-record%2FWOS:000628748600001","View Full Record in Web of Science")</f>
        <v>View Full Record in Web of Science</v>
      </c>
    </row>
    <row r="550" spans="1:72" x14ac:dyDescent="0.2">
      <c r="A550" t="s">
        <v>72</v>
      </c>
      <c r="B550" t="s">
        <v>4861</v>
      </c>
      <c r="C550" t="s">
        <v>74</v>
      </c>
      <c r="D550" t="s">
        <v>74</v>
      </c>
      <c r="E550" t="s">
        <v>74</v>
      </c>
      <c r="F550" t="s">
        <v>4862</v>
      </c>
      <c r="G550" t="s">
        <v>74</v>
      </c>
      <c r="H550" t="s">
        <v>74</v>
      </c>
      <c r="I550" t="s">
        <v>4863</v>
      </c>
      <c r="J550" t="s">
        <v>3988</v>
      </c>
      <c r="K550" t="s">
        <v>74</v>
      </c>
      <c r="L550" t="s">
        <v>74</v>
      </c>
      <c r="M550" t="s">
        <v>74</v>
      </c>
      <c r="N550" t="s">
        <v>74</v>
      </c>
      <c r="O550" t="s">
        <v>74</v>
      </c>
      <c r="P550" t="s">
        <v>74</v>
      </c>
      <c r="Q550" t="s">
        <v>74</v>
      </c>
      <c r="R550" t="s">
        <v>74</v>
      </c>
      <c r="S550" t="s">
        <v>74</v>
      </c>
      <c r="T550" t="s">
        <v>74</v>
      </c>
      <c r="U550" t="s">
        <v>74</v>
      </c>
      <c r="V550" t="s">
        <v>4864</v>
      </c>
      <c r="W550" t="s">
        <v>74</v>
      </c>
      <c r="X550" t="s">
        <v>74</v>
      </c>
      <c r="Y550" t="s">
        <v>74</v>
      </c>
      <c r="Z550" t="s">
        <v>74</v>
      </c>
      <c r="AA550" t="s">
        <v>4865</v>
      </c>
      <c r="AB550" t="s">
        <v>4866</v>
      </c>
      <c r="AC550" t="s">
        <v>74</v>
      </c>
      <c r="AD550" t="s">
        <v>74</v>
      </c>
      <c r="AE550" t="s">
        <v>74</v>
      </c>
      <c r="AF550" t="s">
        <v>74</v>
      </c>
      <c r="AG550" t="s">
        <v>74</v>
      </c>
      <c r="AH550" t="s">
        <v>74</v>
      </c>
      <c r="AI550" t="s">
        <v>74</v>
      </c>
      <c r="AJ550" t="s">
        <v>74</v>
      </c>
      <c r="AK550" t="s">
        <v>74</v>
      </c>
      <c r="AL550" t="s">
        <v>74</v>
      </c>
      <c r="AM550" t="s">
        <v>74</v>
      </c>
      <c r="AN550" t="s">
        <v>74</v>
      </c>
      <c r="AO550" t="s">
        <v>74</v>
      </c>
      <c r="AP550" t="s">
        <v>3992</v>
      </c>
      <c r="AQ550" t="s">
        <v>74</v>
      </c>
      <c r="AR550" t="s">
        <v>74</v>
      </c>
      <c r="AS550" t="s">
        <v>74</v>
      </c>
      <c r="AT550" t="s">
        <v>4867</v>
      </c>
      <c r="AU550">
        <v>2021</v>
      </c>
      <c r="AV550">
        <v>5</v>
      </c>
      <c r="AW550">
        <v>9</v>
      </c>
      <c r="AX550" t="s">
        <v>74</v>
      </c>
      <c r="AY550" t="s">
        <v>74</v>
      </c>
      <c r="AZ550" t="s">
        <v>74</v>
      </c>
      <c r="BA550" t="s">
        <v>74</v>
      </c>
      <c r="BB550">
        <v>3628</v>
      </c>
      <c r="BC550">
        <v>3635</v>
      </c>
      <c r="BD550" t="s">
        <v>74</v>
      </c>
      <c r="BE550" t="s">
        <v>4868</v>
      </c>
      <c r="BF550" t="str">
        <f>HYPERLINK("http://dx.doi.org/10.1039/d0qm01133a","http://dx.doi.org/10.1039/d0qm01133a")</f>
        <v>http://dx.doi.org/10.1039/d0qm01133a</v>
      </c>
      <c r="BG550" t="s">
        <v>74</v>
      </c>
      <c r="BH550" t="s">
        <v>4859</v>
      </c>
      <c r="BI550" t="s">
        <v>74</v>
      </c>
      <c r="BJ550" t="s">
        <v>74</v>
      </c>
      <c r="BK550" t="s">
        <v>74</v>
      </c>
      <c r="BL550" t="s">
        <v>74</v>
      </c>
      <c r="BM550" t="s">
        <v>74</v>
      </c>
      <c r="BN550" t="s">
        <v>74</v>
      </c>
      <c r="BO550" t="s">
        <v>74</v>
      </c>
      <c r="BP550" t="s">
        <v>74</v>
      </c>
      <c r="BQ550" t="s">
        <v>74</v>
      </c>
      <c r="BR550" t="s">
        <v>74</v>
      </c>
      <c r="BS550" t="s">
        <v>4869</v>
      </c>
      <c r="BT550" t="str">
        <f>HYPERLINK("https%3A%2F%2Fwww.webofscience.com%2Fwos%2Fwoscc%2Ffull-record%2FWOS:000632882100001","View Full Record in Web of Science")</f>
        <v>View Full Record in Web of Science</v>
      </c>
    </row>
    <row r="551" spans="1:72" x14ac:dyDescent="0.2">
      <c r="A551" t="s">
        <v>72</v>
      </c>
      <c r="B551" t="s">
        <v>4870</v>
      </c>
      <c r="C551" t="s">
        <v>74</v>
      </c>
      <c r="D551" t="s">
        <v>74</v>
      </c>
      <c r="E551" t="s">
        <v>74</v>
      </c>
      <c r="F551" t="s">
        <v>4871</v>
      </c>
      <c r="G551" t="s">
        <v>74</v>
      </c>
      <c r="H551" t="s">
        <v>74</v>
      </c>
      <c r="I551" t="s">
        <v>4872</v>
      </c>
      <c r="J551" t="s">
        <v>804</v>
      </c>
      <c r="K551" t="s">
        <v>74</v>
      </c>
      <c r="L551" t="s">
        <v>74</v>
      </c>
      <c r="M551" t="s">
        <v>74</v>
      </c>
      <c r="N551" t="s">
        <v>74</v>
      </c>
      <c r="O551" t="s">
        <v>74</v>
      </c>
      <c r="P551" t="s">
        <v>74</v>
      </c>
      <c r="Q551" t="s">
        <v>74</v>
      </c>
      <c r="R551" t="s">
        <v>74</v>
      </c>
      <c r="S551" t="s">
        <v>74</v>
      </c>
      <c r="T551" t="s">
        <v>74</v>
      </c>
      <c r="U551" t="s">
        <v>74</v>
      </c>
      <c r="V551" t="s">
        <v>4873</v>
      </c>
      <c r="W551" t="s">
        <v>74</v>
      </c>
      <c r="X551" t="s">
        <v>74</v>
      </c>
      <c r="Y551" t="s">
        <v>74</v>
      </c>
      <c r="Z551" t="s">
        <v>74</v>
      </c>
      <c r="AA551" t="s">
        <v>4874</v>
      </c>
      <c r="AB551" t="s">
        <v>4875</v>
      </c>
      <c r="AC551" t="s">
        <v>74</v>
      </c>
      <c r="AD551" t="s">
        <v>74</v>
      </c>
      <c r="AE551" t="s">
        <v>74</v>
      </c>
      <c r="AF551" t="s">
        <v>74</v>
      </c>
      <c r="AG551" t="s">
        <v>74</v>
      </c>
      <c r="AH551" t="s">
        <v>74</v>
      </c>
      <c r="AI551" t="s">
        <v>74</v>
      </c>
      <c r="AJ551" t="s">
        <v>74</v>
      </c>
      <c r="AK551" t="s">
        <v>74</v>
      </c>
      <c r="AL551" t="s">
        <v>74</v>
      </c>
      <c r="AM551" t="s">
        <v>74</v>
      </c>
      <c r="AN551" t="s">
        <v>74</v>
      </c>
      <c r="AO551" t="s">
        <v>74</v>
      </c>
      <c r="AP551" t="s">
        <v>806</v>
      </c>
      <c r="AQ551" t="s">
        <v>74</v>
      </c>
      <c r="AR551" t="s">
        <v>74</v>
      </c>
      <c r="AS551" t="s">
        <v>74</v>
      </c>
      <c r="AT551" t="s">
        <v>954</v>
      </c>
      <c r="AU551">
        <v>2021</v>
      </c>
      <c r="AV551">
        <v>11</v>
      </c>
      <c r="AW551">
        <v>3</v>
      </c>
      <c r="AX551" t="s">
        <v>74</v>
      </c>
      <c r="AY551" t="s">
        <v>74</v>
      </c>
      <c r="AZ551" t="s">
        <v>74</v>
      </c>
      <c r="BA551" t="s">
        <v>74</v>
      </c>
      <c r="BB551" t="s">
        <v>74</v>
      </c>
      <c r="BC551" t="s">
        <v>74</v>
      </c>
      <c r="BD551">
        <v>810</v>
      </c>
      <c r="BE551" t="s">
        <v>4876</v>
      </c>
      <c r="BF551" t="str">
        <f>HYPERLINK("http://dx.doi.org/10.3390/nano11030810","http://dx.doi.org/10.3390/nano11030810")</f>
        <v>http://dx.doi.org/10.3390/nano11030810</v>
      </c>
      <c r="BG551" t="s">
        <v>74</v>
      </c>
      <c r="BH551" t="s">
        <v>74</v>
      </c>
      <c r="BI551" t="s">
        <v>74</v>
      </c>
      <c r="BJ551" t="s">
        <v>74</v>
      </c>
      <c r="BK551" t="s">
        <v>74</v>
      </c>
      <c r="BL551" t="s">
        <v>74</v>
      </c>
      <c r="BM551" t="s">
        <v>74</v>
      </c>
      <c r="BN551">
        <v>33809914</v>
      </c>
      <c r="BO551" t="s">
        <v>74</v>
      </c>
      <c r="BP551" t="s">
        <v>74</v>
      </c>
      <c r="BQ551" t="s">
        <v>74</v>
      </c>
      <c r="BR551" t="s">
        <v>74</v>
      </c>
      <c r="BS551" t="s">
        <v>4877</v>
      </c>
      <c r="BT551" t="str">
        <f>HYPERLINK("https%3A%2F%2Fwww.webofscience.com%2Fwos%2Fwoscc%2Ffull-record%2FWOS:000633961800001","View Full Record in Web of Science")</f>
        <v>View Full Record in Web of Science</v>
      </c>
    </row>
    <row r="552" spans="1:72" x14ac:dyDescent="0.2">
      <c r="A552" t="s">
        <v>72</v>
      </c>
      <c r="B552" t="s">
        <v>4878</v>
      </c>
      <c r="C552" t="s">
        <v>74</v>
      </c>
      <c r="D552" t="s">
        <v>74</v>
      </c>
      <c r="E552" t="s">
        <v>74</v>
      </c>
      <c r="F552" t="s">
        <v>4879</v>
      </c>
      <c r="G552" t="s">
        <v>74</v>
      </c>
      <c r="H552" t="s">
        <v>74</v>
      </c>
      <c r="I552" t="s">
        <v>4880</v>
      </c>
      <c r="J552" t="s">
        <v>161</v>
      </c>
      <c r="K552" t="s">
        <v>74</v>
      </c>
      <c r="L552" t="s">
        <v>74</v>
      </c>
      <c r="M552" t="s">
        <v>74</v>
      </c>
      <c r="N552" t="s">
        <v>74</v>
      </c>
      <c r="O552" t="s">
        <v>74</v>
      </c>
      <c r="P552" t="s">
        <v>74</v>
      </c>
      <c r="Q552" t="s">
        <v>74</v>
      </c>
      <c r="R552" t="s">
        <v>74</v>
      </c>
      <c r="S552" t="s">
        <v>74</v>
      </c>
      <c r="T552" t="s">
        <v>74</v>
      </c>
      <c r="U552" t="s">
        <v>74</v>
      </c>
      <c r="V552" t="s">
        <v>4881</v>
      </c>
      <c r="W552" t="s">
        <v>74</v>
      </c>
      <c r="X552" t="s">
        <v>74</v>
      </c>
      <c r="Y552" t="s">
        <v>74</v>
      </c>
      <c r="Z552" t="s">
        <v>74</v>
      </c>
      <c r="AA552" t="s">
        <v>74</v>
      </c>
      <c r="AB552" t="s">
        <v>4882</v>
      </c>
      <c r="AC552" t="s">
        <v>74</v>
      </c>
      <c r="AD552" t="s">
        <v>74</v>
      </c>
      <c r="AE552" t="s">
        <v>74</v>
      </c>
      <c r="AF552" t="s">
        <v>74</v>
      </c>
      <c r="AG552" t="s">
        <v>74</v>
      </c>
      <c r="AH552" t="s">
        <v>74</v>
      </c>
      <c r="AI552" t="s">
        <v>74</v>
      </c>
      <c r="AJ552" t="s">
        <v>74</v>
      </c>
      <c r="AK552" t="s">
        <v>74</v>
      </c>
      <c r="AL552" t="s">
        <v>74</v>
      </c>
      <c r="AM552" t="s">
        <v>74</v>
      </c>
      <c r="AN552" t="s">
        <v>74</v>
      </c>
      <c r="AO552" t="s">
        <v>163</v>
      </c>
      <c r="AP552" t="s">
        <v>164</v>
      </c>
      <c r="AQ552" t="s">
        <v>74</v>
      </c>
      <c r="AR552" t="s">
        <v>74</v>
      </c>
      <c r="AS552" t="s">
        <v>74</v>
      </c>
      <c r="AT552" t="s">
        <v>2556</v>
      </c>
      <c r="AU552">
        <v>2021</v>
      </c>
      <c r="AV552">
        <v>407</v>
      </c>
      <c r="AW552" t="s">
        <v>74</v>
      </c>
      <c r="AX552" t="s">
        <v>74</v>
      </c>
      <c r="AY552" t="s">
        <v>74</v>
      </c>
      <c r="AZ552" t="s">
        <v>74</v>
      </c>
      <c r="BA552" t="s">
        <v>74</v>
      </c>
      <c r="BB552" t="s">
        <v>74</v>
      </c>
      <c r="BC552" t="s">
        <v>74</v>
      </c>
      <c r="BD552">
        <v>127122</v>
      </c>
      <c r="BE552" t="s">
        <v>4883</v>
      </c>
      <c r="BF552" t="str">
        <f>HYPERLINK("http://dx.doi.org/10.1016/j.cej.2020.127122","http://dx.doi.org/10.1016/j.cej.2020.127122")</f>
        <v>http://dx.doi.org/10.1016/j.cej.2020.127122</v>
      </c>
      <c r="BG552" t="s">
        <v>74</v>
      </c>
      <c r="BH552" t="s">
        <v>74</v>
      </c>
      <c r="BI552" t="s">
        <v>74</v>
      </c>
      <c r="BJ552" t="s">
        <v>74</v>
      </c>
      <c r="BK552" t="s">
        <v>74</v>
      </c>
      <c r="BL552" t="s">
        <v>74</v>
      </c>
      <c r="BM552" t="s">
        <v>74</v>
      </c>
      <c r="BN552" t="s">
        <v>74</v>
      </c>
      <c r="BO552" t="s">
        <v>74</v>
      </c>
      <c r="BP552" t="s">
        <v>74</v>
      </c>
      <c r="BQ552" t="s">
        <v>74</v>
      </c>
      <c r="BR552" t="s">
        <v>74</v>
      </c>
      <c r="BS552" t="s">
        <v>4884</v>
      </c>
      <c r="BT552" t="str">
        <f>HYPERLINK("https%3A%2F%2Fwww.webofscience.com%2Fwos%2Fwoscc%2Ffull-record%2FWOS:000607598600002","View Full Record in Web of Science")</f>
        <v>View Full Record in Web of Science</v>
      </c>
    </row>
    <row r="553" spans="1:72" x14ac:dyDescent="0.2">
      <c r="A553" t="s">
        <v>72</v>
      </c>
      <c r="B553" t="s">
        <v>4885</v>
      </c>
      <c r="C553" t="s">
        <v>74</v>
      </c>
      <c r="D553" t="s">
        <v>74</v>
      </c>
      <c r="E553" t="s">
        <v>74</v>
      </c>
      <c r="F553" t="s">
        <v>4886</v>
      </c>
      <c r="G553" t="s">
        <v>74</v>
      </c>
      <c r="H553" t="s">
        <v>74</v>
      </c>
      <c r="I553" t="s">
        <v>4887</v>
      </c>
      <c r="J553" t="s">
        <v>4888</v>
      </c>
      <c r="K553" t="s">
        <v>74</v>
      </c>
      <c r="L553" t="s">
        <v>74</v>
      </c>
      <c r="M553" t="s">
        <v>74</v>
      </c>
      <c r="N553" t="s">
        <v>74</v>
      </c>
      <c r="O553" t="s">
        <v>74</v>
      </c>
      <c r="P553" t="s">
        <v>74</v>
      </c>
      <c r="Q553" t="s">
        <v>74</v>
      </c>
      <c r="R553" t="s">
        <v>74</v>
      </c>
      <c r="S553" t="s">
        <v>74</v>
      </c>
      <c r="T553" t="s">
        <v>74</v>
      </c>
      <c r="U553" t="s">
        <v>74</v>
      </c>
      <c r="V553" t="s">
        <v>4889</v>
      </c>
      <c r="W553" t="s">
        <v>74</v>
      </c>
      <c r="X553" t="s">
        <v>74</v>
      </c>
      <c r="Y553" t="s">
        <v>74</v>
      </c>
      <c r="Z553" t="s">
        <v>74</v>
      </c>
      <c r="AA553" t="s">
        <v>4890</v>
      </c>
      <c r="AB553" t="s">
        <v>4891</v>
      </c>
      <c r="AC553" t="s">
        <v>74</v>
      </c>
      <c r="AD553" t="s">
        <v>74</v>
      </c>
      <c r="AE553" t="s">
        <v>74</v>
      </c>
      <c r="AF553" t="s">
        <v>74</v>
      </c>
      <c r="AG553" t="s">
        <v>74</v>
      </c>
      <c r="AH553" t="s">
        <v>74</v>
      </c>
      <c r="AI553" t="s">
        <v>74</v>
      </c>
      <c r="AJ553" t="s">
        <v>74</v>
      </c>
      <c r="AK553" t="s">
        <v>74</v>
      </c>
      <c r="AL553" t="s">
        <v>74</v>
      </c>
      <c r="AM553" t="s">
        <v>74</v>
      </c>
      <c r="AN553" t="s">
        <v>74</v>
      </c>
      <c r="AO553" t="s">
        <v>4892</v>
      </c>
      <c r="AP553" t="s">
        <v>4893</v>
      </c>
      <c r="AQ553" t="s">
        <v>74</v>
      </c>
      <c r="AR553" t="s">
        <v>74</v>
      </c>
      <c r="AS553" t="s">
        <v>74</v>
      </c>
      <c r="AT553" t="s">
        <v>954</v>
      </c>
      <c r="AU553">
        <v>2021</v>
      </c>
      <c r="AV553">
        <v>24</v>
      </c>
      <c r="AW553">
        <v>1</v>
      </c>
      <c r="AX553" t="s">
        <v>74</v>
      </c>
      <c r="AY553" t="s">
        <v>74</v>
      </c>
      <c r="AZ553" t="s">
        <v>74</v>
      </c>
      <c r="BA553" t="s">
        <v>74</v>
      </c>
      <c r="BB553">
        <v>1</v>
      </c>
      <c r="BC553">
        <v>8</v>
      </c>
      <c r="BD553" t="s">
        <v>74</v>
      </c>
      <c r="BE553" t="s">
        <v>4894</v>
      </c>
      <c r="BF553" t="str">
        <f>HYPERLINK("http://dx.doi.org/10.14447/jnmes.v24i1.a01","http://dx.doi.org/10.14447/jnmes.v24i1.a01")</f>
        <v>http://dx.doi.org/10.14447/jnmes.v24i1.a01</v>
      </c>
      <c r="BG553" t="s">
        <v>74</v>
      </c>
      <c r="BH553" t="s">
        <v>74</v>
      </c>
      <c r="BI553" t="s">
        <v>74</v>
      </c>
      <c r="BJ553" t="s">
        <v>74</v>
      </c>
      <c r="BK553" t="s">
        <v>74</v>
      </c>
      <c r="BL553" t="s">
        <v>74</v>
      </c>
      <c r="BM553" t="s">
        <v>74</v>
      </c>
      <c r="BN553" t="s">
        <v>74</v>
      </c>
      <c r="BO553" t="s">
        <v>74</v>
      </c>
      <c r="BP553" t="s">
        <v>74</v>
      </c>
      <c r="BQ553" t="s">
        <v>74</v>
      </c>
      <c r="BR553" t="s">
        <v>74</v>
      </c>
      <c r="BS553" t="s">
        <v>4895</v>
      </c>
      <c r="BT553" t="str">
        <f>HYPERLINK("https%3A%2F%2Fwww.webofscience.com%2Fwos%2Fwoscc%2Ffull-record%2FWOS:000636688800001","View Full Record in Web of Science")</f>
        <v>View Full Record in Web of Science</v>
      </c>
    </row>
    <row r="554" spans="1:72" x14ac:dyDescent="0.2">
      <c r="A554" t="s">
        <v>72</v>
      </c>
      <c r="B554" t="s">
        <v>4896</v>
      </c>
      <c r="C554" t="s">
        <v>74</v>
      </c>
      <c r="D554" t="s">
        <v>74</v>
      </c>
      <c r="E554" t="s">
        <v>74</v>
      </c>
      <c r="F554" t="s">
        <v>4897</v>
      </c>
      <c r="G554" t="s">
        <v>74</v>
      </c>
      <c r="H554" t="s">
        <v>74</v>
      </c>
      <c r="I554" t="s">
        <v>4898</v>
      </c>
      <c r="J554" t="s">
        <v>1293</v>
      </c>
      <c r="K554" t="s">
        <v>74</v>
      </c>
      <c r="L554" t="s">
        <v>74</v>
      </c>
      <c r="M554" t="s">
        <v>74</v>
      </c>
      <c r="N554" t="s">
        <v>74</v>
      </c>
      <c r="O554" t="s">
        <v>74</v>
      </c>
      <c r="P554" t="s">
        <v>74</v>
      </c>
      <c r="Q554" t="s">
        <v>74</v>
      </c>
      <c r="R554" t="s">
        <v>74</v>
      </c>
      <c r="S554" t="s">
        <v>74</v>
      </c>
      <c r="T554" t="s">
        <v>74</v>
      </c>
      <c r="U554" t="s">
        <v>74</v>
      </c>
      <c r="V554" t="s">
        <v>4899</v>
      </c>
      <c r="W554" t="s">
        <v>74</v>
      </c>
      <c r="X554" t="s">
        <v>74</v>
      </c>
      <c r="Y554" t="s">
        <v>74</v>
      </c>
      <c r="Z554" t="s">
        <v>74</v>
      </c>
      <c r="AA554" t="s">
        <v>74</v>
      </c>
      <c r="AB554" t="s">
        <v>4900</v>
      </c>
      <c r="AC554" t="s">
        <v>74</v>
      </c>
      <c r="AD554" t="s">
        <v>74</v>
      </c>
      <c r="AE554" t="s">
        <v>74</v>
      </c>
      <c r="AF554" t="s">
        <v>74</v>
      </c>
      <c r="AG554" t="s">
        <v>74</v>
      </c>
      <c r="AH554" t="s">
        <v>74</v>
      </c>
      <c r="AI554" t="s">
        <v>74</v>
      </c>
      <c r="AJ554" t="s">
        <v>74</v>
      </c>
      <c r="AK554" t="s">
        <v>74</v>
      </c>
      <c r="AL554" t="s">
        <v>74</v>
      </c>
      <c r="AM554" t="s">
        <v>74</v>
      </c>
      <c r="AN554" t="s">
        <v>74</v>
      </c>
      <c r="AO554" t="s">
        <v>1297</v>
      </c>
      <c r="AP554" t="s">
        <v>1298</v>
      </c>
      <c r="AQ554" t="s">
        <v>74</v>
      </c>
      <c r="AR554" t="s">
        <v>74</v>
      </c>
      <c r="AS554" t="s">
        <v>74</v>
      </c>
      <c r="AT554" t="s">
        <v>2556</v>
      </c>
      <c r="AU554">
        <v>2021</v>
      </c>
      <c r="AV554">
        <v>168</v>
      </c>
      <c r="AW554">
        <v>3</v>
      </c>
      <c r="AX554" t="s">
        <v>74</v>
      </c>
      <c r="AY554" t="s">
        <v>74</v>
      </c>
      <c r="AZ554" t="s">
        <v>74</v>
      </c>
      <c r="BA554" t="s">
        <v>74</v>
      </c>
      <c r="BB554" t="s">
        <v>74</v>
      </c>
      <c r="BC554" t="s">
        <v>74</v>
      </c>
      <c r="BD554">
        <v>30527</v>
      </c>
      <c r="BE554" t="s">
        <v>4901</v>
      </c>
      <c r="BF554" t="str">
        <f>HYPERLINK("http://dx.doi.org/10.1149/1945-7111/abebf9","http://dx.doi.org/10.1149/1945-7111/abebf9")</f>
        <v>http://dx.doi.org/10.1149/1945-7111/abebf9</v>
      </c>
      <c r="BG554" t="s">
        <v>74</v>
      </c>
      <c r="BH554" t="s">
        <v>74</v>
      </c>
      <c r="BI554" t="s">
        <v>74</v>
      </c>
      <c r="BJ554" t="s">
        <v>74</v>
      </c>
      <c r="BK554" t="s">
        <v>74</v>
      </c>
      <c r="BL554" t="s">
        <v>74</v>
      </c>
      <c r="BM554" t="s">
        <v>74</v>
      </c>
      <c r="BN554" t="s">
        <v>74</v>
      </c>
      <c r="BO554" t="s">
        <v>74</v>
      </c>
      <c r="BP554" t="s">
        <v>74</v>
      </c>
      <c r="BQ554" t="s">
        <v>74</v>
      </c>
      <c r="BR554" t="s">
        <v>74</v>
      </c>
      <c r="BS554" t="s">
        <v>4902</v>
      </c>
      <c r="BT554" t="str">
        <f>HYPERLINK("https%3A%2F%2Fwww.webofscience.com%2Fwos%2Fwoscc%2Ffull-record%2FWOS:000629757700001","View Full Record in Web of Science")</f>
        <v>View Full Record in Web of Science</v>
      </c>
    </row>
    <row r="555" spans="1:72" x14ac:dyDescent="0.2">
      <c r="A555" t="s">
        <v>72</v>
      </c>
      <c r="B555" t="s">
        <v>4903</v>
      </c>
      <c r="C555" t="s">
        <v>74</v>
      </c>
      <c r="D555" t="s">
        <v>74</v>
      </c>
      <c r="E555" t="s">
        <v>74</v>
      </c>
      <c r="F555" t="s">
        <v>4904</v>
      </c>
      <c r="G555" t="s">
        <v>74</v>
      </c>
      <c r="H555" t="s">
        <v>74</v>
      </c>
      <c r="I555" t="s">
        <v>4905</v>
      </c>
      <c r="J555" t="s">
        <v>267</v>
      </c>
      <c r="K555" t="s">
        <v>74</v>
      </c>
      <c r="L555" t="s">
        <v>74</v>
      </c>
      <c r="M555" t="s">
        <v>74</v>
      </c>
      <c r="N555" t="s">
        <v>74</v>
      </c>
      <c r="O555" t="s">
        <v>74</v>
      </c>
      <c r="P555" t="s">
        <v>74</v>
      </c>
      <c r="Q555" t="s">
        <v>74</v>
      </c>
      <c r="R555" t="s">
        <v>74</v>
      </c>
      <c r="S555" t="s">
        <v>74</v>
      </c>
      <c r="T555" t="s">
        <v>74</v>
      </c>
      <c r="U555" t="s">
        <v>74</v>
      </c>
      <c r="V555" t="s">
        <v>4906</v>
      </c>
      <c r="W555" t="s">
        <v>74</v>
      </c>
      <c r="X555" t="s">
        <v>74</v>
      </c>
      <c r="Y555" t="s">
        <v>74</v>
      </c>
      <c r="Z555" t="s">
        <v>74</v>
      </c>
      <c r="AA555" t="s">
        <v>4907</v>
      </c>
      <c r="AB555" t="s">
        <v>4908</v>
      </c>
      <c r="AC555" t="s">
        <v>74</v>
      </c>
      <c r="AD555" t="s">
        <v>74</v>
      </c>
      <c r="AE555" t="s">
        <v>74</v>
      </c>
      <c r="AF555" t="s">
        <v>74</v>
      </c>
      <c r="AG555" t="s">
        <v>74</v>
      </c>
      <c r="AH555" t="s">
        <v>74</v>
      </c>
      <c r="AI555" t="s">
        <v>74</v>
      </c>
      <c r="AJ555" t="s">
        <v>74</v>
      </c>
      <c r="AK555" t="s">
        <v>74</v>
      </c>
      <c r="AL555" t="s">
        <v>74</v>
      </c>
      <c r="AM555" t="s">
        <v>74</v>
      </c>
      <c r="AN555" t="s">
        <v>74</v>
      </c>
      <c r="AO555" t="s">
        <v>270</v>
      </c>
      <c r="AP555" t="s">
        <v>271</v>
      </c>
      <c r="AQ555" t="s">
        <v>74</v>
      </c>
      <c r="AR555" t="s">
        <v>74</v>
      </c>
      <c r="AS555" t="s">
        <v>74</v>
      </c>
      <c r="AT555" t="s">
        <v>545</v>
      </c>
      <c r="AU555">
        <v>2021</v>
      </c>
      <c r="AV555">
        <v>31</v>
      </c>
      <c r="AW555">
        <v>18</v>
      </c>
      <c r="AX555" t="s">
        <v>74</v>
      </c>
      <c r="AY555" t="s">
        <v>74</v>
      </c>
      <c r="AZ555" t="s">
        <v>74</v>
      </c>
      <c r="BA555" t="s">
        <v>74</v>
      </c>
      <c r="BB555" t="s">
        <v>74</v>
      </c>
      <c r="BC555" t="s">
        <v>74</v>
      </c>
      <c r="BD555">
        <v>2010046</v>
      </c>
      <c r="BE555" t="s">
        <v>4909</v>
      </c>
      <c r="BF555" t="str">
        <f>HYPERLINK("http://dx.doi.org/10.1002/adfm.202010046","http://dx.doi.org/10.1002/adfm.202010046")</f>
        <v>http://dx.doi.org/10.1002/adfm.202010046</v>
      </c>
      <c r="BG555" t="s">
        <v>74</v>
      </c>
      <c r="BH555" t="s">
        <v>4910</v>
      </c>
      <c r="BI555" t="s">
        <v>74</v>
      </c>
      <c r="BJ555" t="s">
        <v>74</v>
      </c>
      <c r="BK555" t="s">
        <v>74</v>
      </c>
      <c r="BL555" t="s">
        <v>74</v>
      </c>
      <c r="BM555" t="s">
        <v>74</v>
      </c>
      <c r="BN555" t="s">
        <v>74</v>
      </c>
      <c r="BO555" t="s">
        <v>74</v>
      </c>
      <c r="BP555" t="s">
        <v>74</v>
      </c>
      <c r="BQ555" t="s">
        <v>74</v>
      </c>
      <c r="BR555" t="s">
        <v>74</v>
      </c>
      <c r="BS555" t="s">
        <v>4911</v>
      </c>
      <c r="BT555" t="str">
        <f>HYPERLINK("https%3A%2F%2Fwww.webofscience.com%2Fwos%2Fwoscc%2Ffull-record%2FWOS:000621896700001","View Full Record in Web of Science")</f>
        <v>View Full Record in Web of Science</v>
      </c>
    </row>
    <row r="556" spans="1:72" x14ac:dyDescent="0.2">
      <c r="A556" t="s">
        <v>72</v>
      </c>
      <c r="B556" t="s">
        <v>4912</v>
      </c>
      <c r="C556" t="s">
        <v>74</v>
      </c>
      <c r="D556" t="s">
        <v>74</v>
      </c>
      <c r="E556" t="s">
        <v>74</v>
      </c>
      <c r="F556" t="s">
        <v>4913</v>
      </c>
      <c r="G556" t="s">
        <v>74</v>
      </c>
      <c r="H556" t="s">
        <v>74</v>
      </c>
      <c r="I556" t="s">
        <v>4914</v>
      </c>
      <c r="J556" t="s">
        <v>498</v>
      </c>
      <c r="K556" t="s">
        <v>74</v>
      </c>
      <c r="L556" t="s">
        <v>74</v>
      </c>
      <c r="M556" t="s">
        <v>74</v>
      </c>
      <c r="N556" t="s">
        <v>74</v>
      </c>
      <c r="O556" t="s">
        <v>74</v>
      </c>
      <c r="P556" t="s">
        <v>74</v>
      </c>
      <c r="Q556" t="s">
        <v>74</v>
      </c>
      <c r="R556" t="s">
        <v>74</v>
      </c>
      <c r="S556" t="s">
        <v>74</v>
      </c>
      <c r="T556" t="s">
        <v>74</v>
      </c>
      <c r="U556" t="s">
        <v>74</v>
      </c>
      <c r="V556" t="s">
        <v>4915</v>
      </c>
      <c r="W556" t="s">
        <v>74</v>
      </c>
      <c r="X556" t="s">
        <v>74</v>
      </c>
      <c r="Y556" t="s">
        <v>74</v>
      </c>
      <c r="Z556" t="s">
        <v>74</v>
      </c>
      <c r="AA556" t="s">
        <v>4916</v>
      </c>
      <c r="AB556" t="s">
        <v>74</v>
      </c>
      <c r="AC556" t="s">
        <v>74</v>
      </c>
      <c r="AD556" t="s">
        <v>74</v>
      </c>
      <c r="AE556" t="s">
        <v>74</v>
      </c>
      <c r="AF556" t="s">
        <v>74</v>
      </c>
      <c r="AG556" t="s">
        <v>74</v>
      </c>
      <c r="AH556" t="s">
        <v>74</v>
      </c>
      <c r="AI556" t="s">
        <v>74</v>
      </c>
      <c r="AJ556" t="s">
        <v>74</v>
      </c>
      <c r="AK556" t="s">
        <v>74</v>
      </c>
      <c r="AL556" t="s">
        <v>74</v>
      </c>
      <c r="AM556" t="s">
        <v>74</v>
      </c>
      <c r="AN556" t="s">
        <v>74</v>
      </c>
      <c r="AO556" t="s">
        <v>502</v>
      </c>
      <c r="AP556" t="s">
        <v>503</v>
      </c>
      <c r="AQ556" t="s">
        <v>74</v>
      </c>
      <c r="AR556" t="s">
        <v>74</v>
      </c>
      <c r="AS556" t="s">
        <v>74</v>
      </c>
      <c r="AT556" t="s">
        <v>4917</v>
      </c>
      <c r="AU556">
        <v>2021</v>
      </c>
      <c r="AV556">
        <v>125</v>
      </c>
      <c r="AW556">
        <v>8</v>
      </c>
      <c r="AX556" t="s">
        <v>74</v>
      </c>
      <c r="AY556" t="s">
        <v>74</v>
      </c>
      <c r="AZ556" t="s">
        <v>2280</v>
      </c>
      <c r="BA556" t="s">
        <v>74</v>
      </c>
      <c r="BB556">
        <v>4363</v>
      </c>
      <c r="BC556">
        <v>4370</v>
      </c>
      <c r="BD556" t="s">
        <v>74</v>
      </c>
      <c r="BE556" t="s">
        <v>4918</v>
      </c>
      <c r="BF556" t="str">
        <f>HYPERLINK("http://dx.doi.org/10.1021/acs.jpcc.0c09616","http://dx.doi.org/10.1021/acs.jpcc.0c09616")</f>
        <v>http://dx.doi.org/10.1021/acs.jpcc.0c09616</v>
      </c>
      <c r="BG556" t="s">
        <v>74</v>
      </c>
      <c r="BH556" t="s">
        <v>4910</v>
      </c>
      <c r="BI556" t="s">
        <v>74</v>
      </c>
      <c r="BJ556" t="s">
        <v>74</v>
      </c>
      <c r="BK556" t="s">
        <v>74</v>
      </c>
      <c r="BL556" t="s">
        <v>74</v>
      </c>
      <c r="BM556" t="s">
        <v>74</v>
      </c>
      <c r="BN556" t="s">
        <v>74</v>
      </c>
      <c r="BO556" t="s">
        <v>74</v>
      </c>
      <c r="BP556" t="s">
        <v>74</v>
      </c>
      <c r="BQ556" t="s">
        <v>74</v>
      </c>
      <c r="BR556" t="s">
        <v>74</v>
      </c>
      <c r="BS556" t="s">
        <v>4919</v>
      </c>
      <c r="BT556" t="str">
        <f>HYPERLINK("https%3A%2F%2Fwww.webofscience.com%2Fwos%2Fwoscc%2Ffull-record%2FWOS:000626769100006","View Full Record in Web of Science")</f>
        <v>View Full Record in Web of Science</v>
      </c>
    </row>
    <row r="557" spans="1:72" x14ac:dyDescent="0.2">
      <c r="A557" t="s">
        <v>72</v>
      </c>
      <c r="B557" t="s">
        <v>4920</v>
      </c>
      <c r="C557" t="s">
        <v>74</v>
      </c>
      <c r="D557" t="s">
        <v>74</v>
      </c>
      <c r="E557" t="s">
        <v>74</v>
      </c>
      <c r="F557" t="s">
        <v>4921</v>
      </c>
      <c r="G557" t="s">
        <v>74</v>
      </c>
      <c r="H557" t="s">
        <v>74</v>
      </c>
      <c r="I557" t="s">
        <v>4922</v>
      </c>
      <c r="J557" t="s">
        <v>289</v>
      </c>
      <c r="K557" t="s">
        <v>74</v>
      </c>
      <c r="L557" t="s">
        <v>74</v>
      </c>
      <c r="M557" t="s">
        <v>74</v>
      </c>
      <c r="N557" t="s">
        <v>74</v>
      </c>
      <c r="O557" t="s">
        <v>74</v>
      </c>
      <c r="P557" t="s">
        <v>74</v>
      </c>
      <c r="Q557" t="s">
        <v>74</v>
      </c>
      <c r="R557" t="s">
        <v>74</v>
      </c>
      <c r="S557" t="s">
        <v>74</v>
      </c>
      <c r="T557" t="s">
        <v>74</v>
      </c>
      <c r="U557" t="s">
        <v>74</v>
      </c>
      <c r="V557" t="s">
        <v>4923</v>
      </c>
      <c r="W557" t="s">
        <v>74</v>
      </c>
      <c r="X557" t="s">
        <v>74</v>
      </c>
      <c r="Y557" t="s">
        <v>74</v>
      </c>
      <c r="Z557" t="s">
        <v>74</v>
      </c>
      <c r="AA557" t="s">
        <v>4924</v>
      </c>
      <c r="AB557" t="s">
        <v>4925</v>
      </c>
      <c r="AC557" t="s">
        <v>74</v>
      </c>
      <c r="AD557" t="s">
        <v>74</v>
      </c>
      <c r="AE557" t="s">
        <v>74</v>
      </c>
      <c r="AF557" t="s">
        <v>74</v>
      </c>
      <c r="AG557" t="s">
        <v>74</v>
      </c>
      <c r="AH557" t="s">
        <v>74</v>
      </c>
      <c r="AI557" t="s">
        <v>74</v>
      </c>
      <c r="AJ557" t="s">
        <v>74</v>
      </c>
      <c r="AK557" t="s">
        <v>74</v>
      </c>
      <c r="AL557" t="s">
        <v>74</v>
      </c>
      <c r="AM557" t="s">
        <v>74</v>
      </c>
      <c r="AN557" t="s">
        <v>74</v>
      </c>
      <c r="AO557" t="s">
        <v>292</v>
      </c>
      <c r="AP557" t="s">
        <v>293</v>
      </c>
      <c r="AQ557" t="s">
        <v>74</v>
      </c>
      <c r="AR557" t="s">
        <v>74</v>
      </c>
      <c r="AS557" t="s">
        <v>74</v>
      </c>
      <c r="AT557" t="s">
        <v>670</v>
      </c>
      <c r="AU557">
        <v>2021</v>
      </c>
      <c r="AV557">
        <v>33</v>
      </c>
      <c r="AW557">
        <v>13</v>
      </c>
      <c r="AX557" t="s">
        <v>74</v>
      </c>
      <c r="AY557" t="s">
        <v>74</v>
      </c>
      <c r="AZ557" t="s">
        <v>74</v>
      </c>
      <c r="BA557" t="s">
        <v>74</v>
      </c>
      <c r="BB557" t="s">
        <v>74</v>
      </c>
      <c r="BC557" t="s">
        <v>74</v>
      </c>
      <c r="BD557">
        <v>2007864</v>
      </c>
      <c r="BE557" t="s">
        <v>4926</v>
      </c>
      <c r="BF557" t="str">
        <f>HYPERLINK("http://dx.doi.org/10.1002/adma.202007864","http://dx.doi.org/10.1002/adma.202007864")</f>
        <v>http://dx.doi.org/10.1002/adma.202007864</v>
      </c>
      <c r="BG557" t="s">
        <v>74</v>
      </c>
      <c r="BH557" t="s">
        <v>4910</v>
      </c>
      <c r="BI557" t="s">
        <v>74</v>
      </c>
      <c r="BJ557" t="s">
        <v>74</v>
      </c>
      <c r="BK557" t="s">
        <v>74</v>
      </c>
      <c r="BL557" t="s">
        <v>74</v>
      </c>
      <c r="BM557" t="s">
        <v>74</v>
      </c>
      <c r="BN557">
        <v>33594680</v>
      </c>
      <c r="BO557" t="s">
        <v>74</v>
      </c>
      <c r="BP557" t="s">
        <v>74</v>
      </c>
      <c r="BQ557" t="s">
        <v>74</v>
      </c>
      <c r="BR557" t="s">
        <v>74</v>
      </c>
      <c r="BS557" t="s">
        <v>4927</v>
      </c>
      <c r="BT557" t="str">
        <f>HYPERLINK("https%3A%2F%2Fwww.webofscience.com%2Fwos%2Fwoscc%2Ffull-record%2FWOS:000618662100001","View Full Record in Web of Science")</f>
        <v>View Full Record in Web of Science</v>
      </c>
    </row>
    <row r="558" spans="1:72" x14ac:dyDescent="0.2">
      <c r="A558" t="s">
        <v>72</v>
      </c>
      <c r="B558" t="s">
        <v>4928</v>
      </c>
      <c r="C558" t="s">
        <v>74</v>
      </c>
      <c r="D558" t="s">
        <v>74</v>
      </c>
      <c r="E558" t="s">
        <v>74</v>
      </c>
      <c r="F558" t="s">
        <v>4929</v>
      </c>
      <c r="G558" t="s">
        <v>74</v>
      </c>
      <c r="H558" t="s">
        <v>74</v>
      </c>
      <c r="I558" t="s">
        <v>4930</v>
      </c>
      <c r="J558" t="s">
        <v>161</v>
      </c>
      <c r="K558" t="s">
        <v>74</v>
      </c>
      <c r="L558" t="s">
        <v>74</v>
      </c>
      <c r="M558" t="s">
        <v>74</v>
      </c>
      <c r="N558" t="s">
        <v>74</v>
      </c>
      <c r="O558" t="s">
        <v>74</v>
      </c>
      <c r="P558" t="s">
        <v>74</v>
      </c>
      <c r="Q558" t="s">
        <v>74</v>
      </c>
      <c r="R558" t="s">
        <v>74</v>
      </c>
      <c r="S558" t="s">
        <v>74</v>
      </c>
      <c r="T558" t="s">
        <v>74</v>
      </c>
      <c r="U558" t="s">
        <v>74</v>
      </c>
      <c r="V558" t="s">
        <v>4931</v>
      </c>
      <c r="W558" t="s">
        <v>74</v>
      </c>
      <c r="X558" t="s">
        <v>74</v>
      </c>
      <c r="Y558" t="s">
        <v>74</v>
      </c>
      <c r="Z558" t="s">
        <v>74</v>
      </c>
      <c r="AA558" t="s">
        <v>4932</v>
      </c>
      <c r="AB558" t="s">
        <v>74</v>
      </c>
      <c r="AC558" t="s">
        <v>74</v>
      </c>
      <c r="AD558" t="s">
        <v>74</v>
      </c>
      <c r="AE558" t="s">
        <v>74</v>
      </c>
      <c r="AF558" t="s">
        <v>74</v>
      </c>
      <c r="AG558" t="s">
        <v>74</v>
      </c>
      <c r="AH558" t="s">
        <v>74</v>
      </c>
      <c r="AI558" t="s">
        <v>74</v>
      </c>
      <c r="AJ558" t="s">
        <v>74</v>
      </c>
      <c r="AK558" t="s">
        <v>74</v>
      </c>
      <c r="AL558" t="s">
        <v>74</v>
      </c>
      <c r="AM558" t="s">
        <v>74</v>
      </c>
      <c r="AN558" t="s">
        <v>74</v>
      </c>
      <c r="AO558" t="s">
        <v>163</v>
      </c>
      <c r="AP558" t="s">
        <v>164</v>
      </c>
      <c r="AQ558" t="s">
        <v>74</v>
      </c>
      <c r="AR558" t="s">
        <v>74</v>
      </c>
      <c r="AS558" t="s">
        <v>74</v>
      </c>
      <c r="AT558" t="s">
        <v>1463</v>
      </c>
      <c r="AU558">
        <v>2021</v>
      </c>
      <c r="AV558">
        <v>406</v>
      </c>
      <c r="AW558" t="s">
        <v>74</v>
      </c>
      <c r="AX558" t="s">
        <v>74</v>
      </c>
      <c r="AY558" t="s">
        <v>74</v>
      </c>
      <c r="AZ558" t="s">
        <v>74</v>
      </c>
      <c r="BA558" t="s">
        <v>74</v>
      </c>
      <c r="BB558" t="s">
        <v>74</v>
      </c>
      <c r="BC558" t="s">
        <v>74</v>
      </c>
      <c r="BD558">
        <v>126736</v>
      </c>
      <c r="BE558" t="s">
        <v>4933</v>
      </c>
      <c r="BF558" t="str">
        <f>HYPERLINK("http://dx.doi.org/10.1016/j.cej.2020.126736","http://dx.doi.org/10.1016/j.cej.2020.126736")</f>
        <v>http://dx.doi.org/10.1016/j.cej.2020.126736</v>
      </c>
      <c r="BG558" t="s">
        <v>74</v>
      </c>
      <c r="BH558" t="s">
        <v>74</v>
      </c>
      <c r="BI558" t="s">
        <v>74</v>
      </c>
      <c r="BJ558" t="s">
        <v>74</v>
      </c>
      <c r="BK558" t="s">
        <v>74</v>
      </c>
      <c r="BL558" t="s">
        <v>74</v>
      </c>
      <c r="BM558" t="s">
        <v>74</v>
      </c>
      <c r="BN558" t="s">
        <v>74</v>
      </c>
      <c r="BO558" t="s">
        <v>74</v>
      </c>
      <c r="BP558" t="s">
        <v>74</v>
      </c>
      <c r="BQ558" t="s">
        <v>74</v>
      </c>
      <c r="BR558" t="s">
        <v>74</v>
      </c>
      <c r="BS558" t="s">
        <v>4934</v>
      </c>
      <c r="BT558" t="str">
        <f>HYPERLINK("https%3A%2F%2Fwww.webofscience.com%2Fwos%2Fwoscc%2Ffull-record%2FWOS:000600994400002","View Full Record in Web of Science")</f>
        <v>View Full Record in Web of Science</v>
      </c>
    </row>
    <row r="559" spans="1:72" x14ac:dyDescent="0.2">
      <c r="A559" t="s">
        <v>72</v>
      </c>
      <c r="B559" t="s">
        <v>4935</v>
      </c>
      <c r="C559" t="s">
        <v>74</v>
      </c>
      <c r="D559" t="s">
        <v>74</v>
      </c>
      <c r="E559" t="s">
        <v>74</v>
      </c>
      <c r="F559" t="s">
        <v>4936</v>
      </c>
      <c r="G559" t="s">
        <v>74</v>
      </c>
      <c r="H559" t="s">
        <v>74</v>
      </c>
      <c r="I559" t="s">
        <v>4937</v>
      </c>
      <c r="J559" t="s">
        <v>98</v>
      </c>
      <c r="K559" t="s">
        <v>74</v>
      </c>
      <c r="L559" t="s">
        <v>74</v>
      </c>
      <c r="M559" t="s">
        <v>74</v>
      </c>
      <c r="N559" t="s">
        <v>74</v>
      </c>
      <c r="O559" t="s">
        <v>74</v>
      </c>
      <c r="P559" t="s">
        <v>74</v>
      </c>
      <c r="Q559" t="s">
        <v>74</v>
      </c>
      <c r="R559" t="s">
        <v>74</v>
      </c>
      <c r="S559" t="s">
        <v>74</v>
      </c>
      <c r="T559" t="s">
        <v>74</v>
      </c>
      <c r="U559" t="s">
        <v>74</v>
      </c>
      <c r="V559" t="s">
        <v>4938</v>
      </c>
      <c r="W559" t="s">
        <v>74</v>
      </c>
      <c r="X559" t="s">
        <v>74</v>
      </c>
      <c r="Y559" t="s">
        <v>74</v>
      </c>
      <c r="Z559" t="s">
        <v>74</v>
      </c>
      <c r="AA559" t="s">
        <v>4939</v>
      </c>
      <c r="AB559" t="s">
        <v>4940</v>
      </c>
      <c r="AC559" t="s">
        <v>74</v>
      </c>
      <c r="AD559" t="s">
        <v>74</v>
      </c>
      <c r="AE559" t="s">
        <v>74</v>
      </c>
      <c r="AF559" t="s">
        <v>74</v>
      </c>
      <c r="AG559" t="s">
        <v>74</v>
      </c>
      <c r="AH559" t="s">
        <v>74</v>
      </c>
      <c r="AI559" t="s">
        <v>74</v>
      </c>
      <c r="AJ559" t="s">
        <v>74</v>
      </c>
      <c r="AK559" t="s">
        <v>74</v>
      </c>
      <c r="AL559" t="s">
        <v>74</v>
      </c>
      <c r="AM559" t="s">
        <v>74</v>
      </c>
      <c r="AN559" t="s">
        <v>74</v>
      </c>
      <c r="AO559" t="s">
        <v>101</v>
      </c>
      <c r="AP559" t="s">
        <v>102</v>
      </c>
      <c r="AQ559" t="s">
        <v>74</v>
      </c>
      <c r="AR559" t="s">
        <v>74</v>
      </c>
      <c r="AS559" t="s">
        <v>74</v>
      </c>
      <c r="AT559" t="s">
        <v>1154</v>
      </c>
      <c r="AU559">
        <v>2021</v>
      </c>
      <c r="AV559">
        <v>484</v>
      </c>
      <c r="AW559" t="s">
        <v>74</v>
      </c>
      <c r="AX559" t="s">
        <v>74</v>
      </c>
      <c r="AY559" t="s">
        <v>74</v>
      </c>
      <c r="AZ559" t="s">
        <v>74</v>
      </c>
      <c r="BA559" t="s">
        <v>74</v>
      </c>
      <c r="BB559" t="s">
        <v>74</v>
      </c>
      <c r="BC559" t="s">
        <v>74</v>
      </c>
      <c r="BD559">
        <v>229235</v>
      </c>
      <c r="BE559" t="s">
        <v>4941</v>
      </c>
      <c r="BF559" t="str">
        <f>HYPERLINK("http://dx.doi.org/10.1016/j.jpowsour.2020.229235","http://dx.doi.org/10.1016/j.jpowsour.2020.229235")</f>
        <v>http://dx.doi.org/10.1016/j.jpowsour.2020.229235</v>
      </c>
      <c r="BG559" t="s">
        <v>74</v>
      </c>
      <c r="BH559" t="s">
        <v>74</v>
      </c>
      <c r="BI559" t="s">
        <v>74</v>
      </c>
      <c r="BJ559" t="s">
        <v>74</v>
      </c>
      <c r="BK559" t="s">
        <v>74</v>
      </c>
      <c r="BL559" t="s">
        <v>74</v>
      </c>
      <c r="BM559" t="s">
        <v>74</v>
      </c>
      <c r="BN559" t="s">
        <v>74</v>
      </c>
      <c r="BO559" t="s">
        <v>74</v>
      </c>
      <c r="BP559" t="s">
        <v>74</v>
      </c>
      <c r="BQ559" t="s">
        <v>74</v>
      </c>
      <c r="BR559" t="s">
        <v>74</v>
      </c>
      <c r="BS559" t="s">
        <v>4942</v>
      </c>
      <c r="BT559" t="str">
        <f>HYPERLINK("https%3A%2F%2Fwww.webofscience.com%2Fwos%2Fwoscc%2Ffull-record%2FWOS:000605192200004","View Full Record in Web of Science")</f>
        <v>View Full Record in Web of Science</v>
      </c>
    </row>
    <row r="560" spans="1:72" x14ac:dyDescent="0.2">
      <c r="A560" t="s">
        <v>72</v>
      </c>
      <c r="B560" t="s">
        <v>4943</v>
      </c>
      <c r="C560" t="s">
        <v>74</v>
      </c>
      <c r="D560" t="s">
        <v>74</v>
      </c>
      <c r="E560" t="s">
        <v>74</v>
      </c>
      <c r="F560" t="s">
        <v>4944</v>
      </c>
      <c r="G560" t="s">
        <v>74</v>
      </c>
      <c r="H560" t="s">
        <v>74</v>
      </c>
      <c r="I560" t="s">
        <v>4945</v>
      </c>
      <c r="J560" t="s">
        <v>4946</v>
      </c>
      <c r="K560" t="s">
        <v>74</v>
      </c>
      <c r="L560" t="s">
        <v>74</v>
      </c>
      <c r="M560" t="s">
        <v>74</v>
      </c>
      <c r="N560" t="s">
        <v>74</v>
      </c>
      <c r="O560" t="s">
        <v>74</v>
      </c>
      <c r="P560" t="s">
        <v>74</v>
      </c>
      <c r="Q560" t="s">
        <v>74</v>
      </c>
      <c r="R560" t="s">
        <v>74</v>
      </c>
      <c r="S560" t="s">
        <v>74</v>
      </c>
      <c r="T560" t="s">
        <v>74</v>
      </c>
      <c r="U560" t="s">
        <v>74</v>
      </c>
      <c r="V560" t="s">
        <v>4947</v>
      </c>
      <c r="W560" t="s">
        <v>74</v>
      </c>
      <c r="X560" t="s">
        <v>74</v>
      </c>
      <c r="Y560" t="s">
        <v>74</v>
      </c>
      <c r="Z560" t="s">
        <v>74</v>
      </c>
      <c r="AA560" t="s">
        <v>4948</v>
      </c>
      <c r="AB560" t="s">
        <v>74</v>
      </c>
      <c r="AC560" t="s">
        <v>74</v>
      </c>
      <c r="AD560" t="s">
        <v>74</v>
      </c>
      <c r="AE560" t="s">
        <v>74</v>
      </c>
      <c r="AF560" t="s">
        <v>74</v>
      </c>
      <c r="AG560" t="s">
        <v>74</v>
      </c>
      <c r="AH560" t="s">
        <v>74</v>
      </c>
      <c r="AI560" t="s">
        <v>74</v>
      </c>
      <c r="AJ560" t="s">
        <v>74</v>
      </c>
      <c r="AK560" t="s">
        <v>74</v>
      </c>
      <c r="AL560" t="s">
        <v>74</v>
      </c>
      <c r="AM560" t="s">
        <v>74</v>
      </c>
      <c r="AN560" t="s">
        <v>74</v>
      </c>
      <c r="AO560" t="s">
        <v>4949</v>
      </c>
      <c r="AP560" t="s">
        <v>4950</v>
      </c>
      <c r="AQ560" t="s">
        <v>74</v>
      </c>
      <c r="AR560" t="s">
        <v>74</v>
      </c>
      <c r="AS560" t="s">
        <v>74</v>
      </c>
      <c r="AT560" t="s">
        <v>1026</v>
      </c>
      <c r="AU560">
        <v>2021</v>
      </c>
      <c r="AV560">
        <v>116</v>
      </c>
      <c r="AW560" t="s">
        <v>74</v>
      </c>
      <c r="AX560" t="s">
        <v>74</v>
      </c>
      <c r="AY560" t="s">
        <v>74</v>
      </c>
      <c r="AZ560" t="s">
        <v>74</v>
      </c>
      <c r="BA560" t="s">
        <v>74</v>
      </c>
      <c r="BB560" t="s">
        <v>74</v>
      </c>
      <c r="BC560" t="s">
        <v>74</v>
      </c>
      <c r="BD560" t="s">
        <v>74</v>
      </c>
      <c r="BE560" t="s">
        <v>74</v>
      </c>
      <c r="BF560" t="s">
        <v>74</v>
      </c>
      <c r="BG560" t="s">
        <v>74</v>
      </c>
      <c r="BH560" t="s">
        <v>74</v>
      </c>
      <c r="BI560" t="s">
        <v>74</v>
      </c>
      <c r="BJ560" t="s">
        <v>74</v>
      </c>
      <c r="BK560" t="s">
        <v>74</v>
      </c>
      <c r="BL560" t="s">
        <v>74</v>
      </c>
      <c r="BM560" t="s">
        <v>74</v>
      </c>
      <c r="BN560" t="s">
        <v>74</v>
      </c>
      <c r="BO560" t="s">
        <v>74</v>
      </c>
      <c r="BP560" t="s">
        <v>74</v>
      </c>
      <c r="BQ560" t="s">
        <v>74</v>
      </c>
      <c r="BR560" t="s">
        <v>74</v>
      </c>
      <c r="BS560" t="s">
        <v>4951</v>
      </c>
      <c r="BT560" t="str">
        <f>HYPERLINK("https%3A%2F%2Fwww.webofscience.com%2Fwos%2Fwoscc%2Ffull-record%2FWOS:000598641500001","View Full Record in Web of Science")</f>
        <v>View Full Record in Web of Science</v>
      </c>
    </row>
    <row r="561" spans="1:72" x14ac:dyDescent="0.2">
      <c r="A561" t="s">
        <v>72</v>
      </c>
      <c r="B561" t="s">
        <v>4952</v>
      </c>
      <c r="C561" t="s">
        <v>74</v>
      </c>
      <c r="D561" t="s">
        <v>74</v>
      </c>
      <c r="E561" t="s">
        <v>74</v>
      </c>
      <c r="F561" t="s">
        <v>4953</v>
      </c>
      <c r="G561" t="s">
        <v>74</v>
      </c>
      <c r="H561" t="s">
        <v>74</v>
      </c>
      <c r="I561" t="s">
        <v>4954</v>
      </c>
      <c r="J561" t="s">
        <v>171</v>
      </c>
      <c r="K561" t="s">
        <v>74</v>
      </c>
      <c r="L561" t="s">
        <v>74</v>
      </c>
      <c r="M561" t="s">
        <v>74</v>
      </c>
      <c r="N561" t="s">
        <v>74</v>
      </c>
      <c r="O561" t="s">
        <v>74</v>
      </c>
      <c r="P561" t="s">
        <v>74</v>
      </c>
      <c r="Q561" t="s">
        <v>74</v>
      </c>
      <c r="R561" t="s">
        <v>74</v>
      </c>
      <c r="S561" t="s">
        <v>74</v>
      </c>
      <c r="T561" t="s">
        <v>74</v>
      </c>
      <c r="U561" t="s">
        <v>74</v>
      </c>
      <c r="V561" t="s">
        <v>4955</v>
      </c>
      <c r="W561" t="s">
        <v>74</v>
      </c>
      <c r="X561" t="s">
        <v>74</v>
      </c>
      <c r="Y561" t="s">
        <v>74</v>
      </c>
      <c r="Z561" t="s">
        <v>74</v>
      </c>
      <c r="AA561" t="s">
        <v>4956</v>
      </c>
      <c r="AB561" t="s">
        <v>4957</v>
      </c>
      <c r="AC561" t="s">
        <v>74</v>
      </c>
      <c r="AD561" t="s">
        <v>74</v>
      </c>
      <c r="AE561" t="s">
        <v>74</v>
      </c>
      <c r="AF561" t="s">
        <v>74</v>
      </c>
      <c r="AG561" t="s">
        <v>74</v>
      </c>
      <c r="AH561" t="s">
        <v>74</v>
      </c>
      <c r="AI561" t="s">
        <v>74</v>
      </c>
      <c r="AJ561" t="s">
        <v>74</v>
      </c>
      <c r="AK561" t="s">
        <v>74</v>
      </c>
      <c r="AL561" t="s">
        <v>74</v>
      </c>
      <c r="AM561" t="s">
        <v>74</v>
      </c>
      <c r="AN561" t="s">
        <v>74</v>
      </c>
      <c r="AO561" t="s">
        <v>173</v>
      </c>
      <c r="AP561" t="s">
        <v>174</v>
      </c>
      <c r="AQ561" t="s">
        <v>74</v>
      </c>
      <c r="AR561" t="s">
        <v>74</v>
      </c>
      <c r="AS561" t="s">
        <v>74</v>
      </c>
      <c r="AT561" t="s">
        <v>1154</v>
      </c>
      <c r="AU561">
        <v>2021</v>
      </c>
      <c r="AV561">
        <v>583</v>
      </c>
      <c r="AW561" t="s">
        <v>74</v>
      </c>
      <c r="AX561" t="s">
        <v>74</v>
      </c>
      <c r="AY561" t="s">
        <v>74</v>
      </c>
      <c r="AZ561" t="s">
        <v>74</v>
      </c>
      <c r="BA561" t="s">
        <v>74</v>
      </c>
      <c r="BB561">
        <v>362</v>
      </c>
      <c r="BC561">
        <v>370</v>
      </c>
      <c r="BD561" t="s">
        <v>74</v>
      </c>
      <c r="BE561" t="s">
        <v>4958</v>
      </c>
      <c r="BF561" t="str">
        <f>HYPERLINK("http://dx.doi.org/10.1016/j.jcis.2020.09.009","http://dx.doi.org/10.1016/j.jcis.2020.09.009")</f>
        <v>http://dx.doi.org/10.1016/j.jcis.2020.09.009</v>
      </c>
      <c r="BG561" t="s">
        <v>74</v>
      </c>
      <c r="BH561" t="s">
        <v>74</v>
      </c>
      <c r="BI561" t="s">
        <v>74</v>
      </c>
      <c r="BJ561" t="s">
        <v>74</v>
      </c>
      <c r="BK561" t="s">
        <v>74</v>
      </c>
      <c r="BL561" t="s">
        <v>74</v>
      </c>
      <c r="BM561" t="s">
        <v>74</v>
      </c>
      <c r="BN561">
        <v>33010580</v>
      </c>
      <c r="BO561" t="s">
        <v>74</v>
      </c>
      <c r="BP561" t="s">
        <v>74</v>
      </c>
      <c r="BQ561" t="s">
        <v>74</v>
      </c>
      <c r="BR561" t="s">
        <v>74</v>
      </c>
      <c r="BS561" t="s">
        <v>4959</v>
      </c>
      <c r="BT561" t="str">
        <f>HYPERLINK("https%3A%2F%2Fwww.webofscience.com%2Fwos%2Fwoscc%2Ffull-record%2FWOS:000595500200008","View Full Record in Web of Science")</f>
        <v>View Full Record in Web of Science</v>
      </c>
    </row>
    <row r="562" spans="1:72" x14ac:dyDescent="0.2">
      <c r="A562" t="s">
        <v>72</v>
      </c>
      <c r="B562" t="s">
        <v>4960</v>
      </c>
      <c r="C562" t="s">
        <v>74</v>
      </c>
      <c r="D562" t="s">
        <v>74</v>
      </c>
      <c r="E562" t="s">
        <v>74</v>
      </c>
      <c r="F562" t="s">
        <v>4961</v>
      </c>
      <c r="G562" t="s">
        <v>74</v>
      </c>
      <c r="H562" t="s">
        <v>74</v>
      </c>
      <c r="I562" t="s">
        <v>4962</v>
      </c>
      <c r="J562" t="s">
        <v>804</v>
      </c>
      <c r="K562" t="s">
        <v>74</v>
      </c>
      <c r="L562" t="s">
        <v>74</v>
      </c>
      <c r="M562" t="s">
        <v>74</v>
      </c>
      <c r="N562" t="s">
        <v>74</v>
      </c>
      <c r="O562" t="s">
        <v>74</v>
      </c>
      <c r="P562" t="s">
        <v>74</v>
      </c>
      <c r="Q562" t="s">
        <v>74</v>
      </c>
      <c r="R562" t="s">
        <v>74</v>
      </c>
      <c r="S562" t="s">
        <v>74</v>
      </c>
      <c r="T562" t="s">
        <v>74</v>
      </c>
      <c r="U562" t="s">
        <v>74</v>
      </c>
      <c r="V562" t="s">
        <v>4963</v>
      </c>
      <c r="W562" t="s">
        <v>74</v>
      </c>
      <c r="X562" t="s">
        <v>74</v>
      </c>
      <c r="Y562" t="s">
        <v>74</v>
      </c>
      <c r="Z562" t="s">
        <v>74</v>
      </c>
      <c r="AA562" t="s">
        <v>4964</v>
      </c>
      <c r="AB562" t="s">
        <v>4965</v>
      </c>
      <c r="AC562" t="s">
        <v>74</v>
      </c>
      <c r="AD562" t="s">
        <v>74</v>
      </c>
      <c r="AE562" t="s">
        <v>74</v>
      </c>
      <c r="AF562" t="s">
        <v>74</v>
      </c>
      <c r="AG562" t="s">
        <v>74</v>
      </c>
      <c r="AH562" t="s">
        <v>74</v>
      </c>
      <c r="AI562" t="s">
        <v>74</v>
      </c>
      <c r="AJ562" t="s">
        <v>74</v>
      </c>
      <c r="AK562" t="s">
        <v>74</v>
      </c>
      <c r="AL562" t="s">
        <v>74</v>
      </c>
      <c r="AM562" t="s">
        <v>74</v>
      </c>
      <c r="AN562" t="s">
        <v>74</v>
      </c>
      <c r="AO562" t="s">
        <v>74</v>
      </c>
      <c r="AP562" t="s">
        <v>806</v>
      </c>
      <c r="AQ562" t="s">
        <v>74</v>
      </c>
      <c r="AR562" t="s">
        <v>74</v>
      </c>
      <c r="AS562" t="s">
        <v>74</v>
      </c>
      <c r="AT562" t="s">
        <v>1026</v>
      </c>
      <c r="AU562">
        <v>2021</v>
      </c>
      <c r="AV562">
        <v>11</v>
      </c>
      <c r="AW562">
        <v>2</v>
      </c>
      <c r="AX562" t="s">
        <v>74</v>
      </c>
      <c r="AY562" t="s">
        <v>74</v>
      </c>
      <c r="AZ562" t="s">
        <v>74</v>
      </c>
      <c r="BA562" t="s">
        <v>74</v>
      </c>
      <c r="BB562" t="s">
        <v>74</v>
      </c>
      <c r="BC562" t="s">
        <v>74</v>
      </c>
      <c r="BD562">
        <v>390</v>
      </c>
      <c r="BE562" t="s">
        <v>4966</v>
      </c>
      <c r="BF562" t="str">
        <f>HYPERLINK("http://dx.doi.org/10.3390/nano11020390","http://dx.doi.org/10.3390/nano11020390")</f>
        <v>http://dx.doi.org/10.3390/nano11020390</v>
      </c>
      <c r="BG562" t="s">
        <v>74</v>
      </c>
      <c r="BH562" t="s">
        <v>74</v>
      </c>
      <c r="BI562" t="s">
        <v>74</v>
      </c>
      <c r="BJ562" t="s">
        <v>74</v>
      </c>
      <c r="BK562" t="s">
        <v>74</v>
      </c>
      <c r="BL562" t="s">
        <v>74</v>
      </c>
      <c r="BM562" t="s">
        <v>74</v>
      </c>
      <c r="BN562">
        <v>33546296</v>
      </c>
      <c r="BO562" t="s">
        <v>74</v>
      </c>
      <c r="BP562" t="s">
        <v>74</v>
      </c>
      <c r="BQ562" t="s">
        <v>74</v>
      </c>
      <c r="BR562" t="s">
        <v>74</v>
      </c>
      <c r="BS562" t="s">
        <v>4967</v>
      </c>
      <c r="BT562" t="str">
        <f>HYPERLINK("https%3A%2F%2Fwww.webofscience.com%2Fwos%2Fwoscc%2Ffull-record%2FWOS:000622942700001","View Full Record in Web of Science")</f>
        <v>View Full Record in Web of Science</v>
      </c>
    </row>
    <row r="563" spans="1:72" x14ac:dyDescent="0.2">
      <c r="A563" t="s">
        <v>72</v>
      </c>
      <c r="B563" t="s">
        <v>4968</v>
      </c>
      <c r="C563" t="s">
        <v>74</v>
      </c>
      <c r="D563" t="s">
        <v>74</v>
      </c>
      <c r="E563" t="s">
        <v>74</v>
      </c>
      <c r="F563" t="s">
        <v>4969</v>
      </c>
      <c r="G563" t="s">
        <v>74</v>
      </c>
      <c r="H563" t="s">
        <v>74</v>
      </c>
      <c r="I563" t="s">
        <v>4970</v>
      </c>
      <c r="J563" t="s">
        <v>1051</v>
      </c>
      <c r="K563" t="s">
        <v>74</v>
      </c>
      <c r="L563" t="s">
        <v>74</v>
      </c>
      <c r="M563" t="s">
        <v>74</v>
      </c>
      <c r="N563" t="s">
        <v>74</v>
      </c>
      <c r="O563" t="s">
        <v>74</v>
      </c>
      <c r="P563" t="s">
        <v>74</v>
      </c>
      <c r="Q563" t="s">
        <v>74</v>
      </c>
      <c r="R563" t="s">
        <v>74</v>
      </c>
      <c r="S563" t="s">
        <v>74</v>
      </c>
      <c r="T563" t="s">
        <v>74</v>
      </c>
      <c r="U563" t="s">
        <v>74</v>
      </c>
      <c r="V563" t="s">
        <v>4971</v>
      </c>
      <c r="W563" t="s">
        <v>74</v>
      </c>
      <c r="X563" t="s">
        <v>74</v>
      </c>
      <c r="Y563" t="s">
        <v>74</v>
      </c>
      <c r="Z563" t="s">
        <v>74</v>
      </c>
      <c r="AA563" t="s">
        <v>4972</v>
      </c>
      <c r="AB563" t="s">
        <v>4973</v>
      </c>
      <c r="AC563" t="s">
        <v>74</v>
      </c>
      <c r="AD563" t="s">
        <v>74</v>
      </c>
      <c r="AE563" t="s">
        <v>74</v>
      </c>
      <c r="AF563" t="s">
        <v>74</v>
      </c>
      <c r="AG563" t="s">
        <v>74</v>
      </c>
      <c r="AH563" t="s">
        <v>74</v>
      </c>
      <c r="AI563" t="s">
        <v>74</v>
      </c>
      <c r="AJ563" t="s">
        <v>74</v>
      </c>
      <c r="AK563" t="s">
        <v>74</v>
      </c>
      <c r="AL563" t="s">
        <v>74</v>
      </c>
      <c r="AM563" t="s">
        <v>74</v>
      </c>
      <c r="AN563" t="s">
        <v>74</v>
      </c>
      <c r="AO563" t="s">
        <v>1054</v>
      </c>
      <c r="AP563" t="s">
        <v>1055</v>
      </c>
      <c r="AQ563" t="s">
        <v>74</v>
      </c>
      <c r="AR563" t="s">
        <v>74</v>
      </c>
      <c r="AS563" t="s">
        <v>74</v>
      </c>
      <c r="AT563" t="s">
        <v>954</v>
      </c>
      <c r="AU563">
        <v>2021</v>
      </c>
      <c r="AV563">
        <v>124</v>
      </c>
      <c r="AW563" t="s">
        <v>74</v>
      </c>
      <c r="AX563" t="s">
        <v>74</v>
      </c>
      <c r="AY563" t="s">
        <v>74</v>
      </c>
      <c r="AZ563" t="s">
        <v>74</v>
      </c>
      <c r="BA563" t="s">
        <v>74</v>
      </c>
      <c r="BB563" t="s">
        <v>74</v>
      </c>
      <c r="BC563" t="s">
        <v>74</v>
      </c>
      <c r="BD563">
        <v>106936</v>
      </c>
      <c r="BE563" t="s">
        <v>4974</v>
      </c>
      <c r="BF563" t="str">
        <f>HYPERLINK("http://dx.doi.org/10.1016/j.elecom.2021.106936","http://dx.doi.org/10.1016/j.elecom.2021.106936")</f>
        <v>http://dx.doi.org/10.1016/j.elecom.2021.106936</v>
      </c>
      <c r="BG563" t="s">
        <v>74</v>
      </c>
      <c r="BH563" t="s">
        <v>4975</v>
      </c>
      <c r="BI563" t="s">
        <v>74</v>
      </c>
      <c r="BJ563" t="s">
        <v>74</v>
      </c>
      <c r="BK563" t="s">
        <v>74</v>
      </c>
      <c r="BL563" t="s">
        <v>74</v>
      </c>
      <c r="BM563" t="s">
        <v>74</v>
      </c>
      <c r="BN563" t="s">
        <v>74</v>
      </c>
      <c r="BO563" t="s">
        <v>74</v>
      </c>
      <c r="BP563" t="s">
        <v>74</v>
      </c>
      <c r="BQ563" t="s">
        <v>74</v>
      </c>
      <c r="BR563" t="s">
        <v>74</v>
      </c>
      <c r="BS563" t="s">
        <v>4976</v>
      </c>
      <c r="BT563" t="str">
        <f>HYPERLINK("https%3A%2F%2Fwww.webofscience.com%2Fwos%2Fwoscc%2Ffull-record%2FWOS:000633163700010","View Full Record in Web of Science")</f>
        <v>View Full Record in Web of Science</v>
      </c>
    </row>
    <row r="564" spans="1:72" x14ac:dyDescent="0.2">
      <c r="A564" t="s">
        <v>72</v>
      </c>
      <c r="B564" t="s">
        <v>4977</v>
      </c>
      <c r="C564" t="s">
        <v>74</v>
      </c>
      <c r="D564" t="s">
        <v>74</v>
      </c>
      <c r="E564" t="s">
        <v>74</v>
      </c>
      <c r="F564" t="s">
        <v>4978</v>
      </c>
      <c r="G564" t="s">
        <v>74</v>
      </c>
      <c r="H564" t="s">
        <v>74</v>
      </c>
      <c r="I564" t="s">
        <v>4979</v>
      </c>
      <c r="J564" t="s">
        <v>422</v>
      </c>
      <c r="K564" t="s">
        <v>74</v>
      </c>
      <c r="L564" t="s">
        <v>74</v>
      </c>
      <c r="M564" t="s">
        <v>74</v>
      </c>
      <c r="N564" t="s">
        <v>74</v>
      </c>
      <c r="O564" t="s">
        <v>74</v>
      </c>
      <c r="P564" t="s">
        <v>74</v>
      </c>
      <c r="Q564" t="s">
        <v>74</v>
      </c>
      <c r="R564" t="s">
        <v>74</v>
      </c>
      <c r="S564" t="s">
        <v>74</v>
      </c>
      <c r="T564" t="s">
        <v>74</v>
      </c>
      <c r="U564" t="s">
        <v>74</v>
      </c>
      <c r="V564" t="s">
        <v>4980</v>
      </c>
      <c r="W564" t="s">
        <v>74</v>
      </c>
      <c r="X564" t="s">
        <v>74</v>
      </c>
      <c r="Y564" t="s">
        <v>74</v>
      </c>
      <c r="Z564" t="s">
        <v>74</v>
      </c>
      <c r="AA564" t="s">
        <v>4981</v>
      </c>
      <c r="AB564" t="s">
        <v>4323</v>
      </c>
      <c r="AC564" t="s">
        <v>74</v>
      </c>
      <c r="AD564" t="s">
        <v>74</v>
      </c>
      <c r="AE564" t="s">
        <v>74</v>
      </c>
      <c r="AF564" t="s">
        <v>74</v>
      </c>
      <c r="AG564" t="s">
        <v>74</v>
      </c>
      <c r="AH564" t="s">
        <v>74</v>
      </c>
      <c r="AI564" t="s">
        <v>74</v>
      </c>
      <c r="AJ564" t="s">
        <v>74</v>
      </c>
      <c r="AK564" t="s">
        <v>74</v>
      </c>
      <c r="AL564" t="s">
        <v>74</v>
      </c>
      <c r="AM564" t="s">
        <v>74</v>
      </c>
      <c r="AN564" t="s">
        <v>74</v>
      </c>
      <c r="AO564" t="s">
        <v>426</v>
      </c>
      <c r="AP564" t="s">
        <v>74</v>
      </c>
      <c r="AQ564" t="s">
        <v>74</v>
      </c>
      <c r="AR564" t="s">
        <v>74</v>
      </c>
      <c r="AS564" t="s">
        <v>74</v>
      </c>
      <c r="AT564" t="s">
        <v>4982</v>
      </c>
      <c r="AU564">
        <v>2021</v>
      </c>
      <c r="AV564">
        <v>4</v>
      </c>
      <c r="AW564">
        <v>2</v>
      </c>
      <c r="AX564" t="s">
        <v>74</v>
      </c>
      <c r="AY564" t="s">
        <v>74</v>
      </c>
      <c r="AZ564" t="s">
        <v>74</v>
      </c>
      <c r="BA564" t="s">
        <v>74</v>
      </c>
      <c r="BB564">
        <v>1199</v>
      </c>
      <c r="BC564">
        <v>1207</v>
      </c>
      <c r="BD564" t="s">
        <v>74</v>
      </c>
      <c r="BE564" t="s">
        <v>4983</v>
      </c>
      <c r="BF564" t="str">
        <f>HYPERLINK("http://dx.doi.org/10.1021/acsaem.0c02486","http://dx.doi.org/10.1021/acsaem.0c02486")</f>
        <v>http://dx.doi.org/10.1021/acsaem.0c02486</v>
      </c>
      <c r="BG564" t="s">
        <v>74</v>
      </c>
      <c r="BH564" t="s">
        <v>4975</v>
      </c>
      <c r="BI564" t="s">
        <v>74</v>
      </c>
      <c r="BJ564" t="s">
        <v>74</v>
      </c>
      <c r="BK564" t="s">
        <v>74</v>
      </c>
      <c r="BL564" t="s">
        <v>74</v>
      </c>
      <c r="BM564" t="s">
        <v>74</v>
      </c>
      <c r="BN564" t="s">
        <v>74</v>
      </c>
      <c r="BO564" t="s">
        <v>74</v>
      </c>
      <c r="BP564" t="s">
        <v>74</v>
      </c>
      <c r="BQ564" t="s">
        <v>74</v>
      </c>
      <c r="BR564" t="s">
        <v>74</v>
      </c>
      <c r="BS564" t="s">
        <v>4984</v>
      </c>
      <c r="BT564" t="str">
        <f>HYPERLINK("https%3A%2F%2Fwww.webofscience.com%2Fwos%2Fwoscc%2Ffull-record%2FWOS:000621660800019","View Full Record in Web of Science")</f>
        <v>View Full Record in Web of Science</v>
      </c>
    </row>
    <row r="565" spans="1:72" x14ac:dyDescent="0.2">
      <c r="A565" t="s">
        <v>72</v>
      </c>
      <c r="B565" t="s">
        <v>4985</v>
      </c>
      <c r="C565" t="s">
        <v>74</v>
      </c>
      <c r="D565" t="s">
        <v>74</v>
      </c>
      <c r="E565" t="s">
        <v>74</v>
      </c>
      <c r="F565" t="s">
        <v>4986</v>
      </c>
      <c r="G565" t="s">
        <v>74</v>
      </c>
      <c r="H565" t="s">
        <v>74</v>
      </c>
      <c r="I565" t="s">
        <v>4987</v>
      </c>
      <c r="J565" t="s">
        <v>1457</v>
      </c>
      <c r="K565" t="s">
        <v>74</v>
      </c>
      <c r="L565" t="s">
        <v>74</v>
      </c>
      <c r="M565" t="s">
        <v>74</v>
      </c>
      <c r="N565" t="s">
        <v>74</v>
      </c>
      <c r="O565" t="s">
        <v>74</v>
      </c>
      <c r="P565" t="s">
        <v>74</v>
      </c>
      <c r="Q565" t="s">
        <v>74</v>
      </c>
      <c r="R565" t="s">
        <v>74</v>
      </c>
      <c r="S565" t="s">
        <v>74</v>
      </c>
      <c r="T565" t="s">
        <v>74</v>
      </c>
      <c r="U565" t="s">
        <v>74</v>
      </c>
      <c r="V565" t="s">
        <v>4988</v>
      </c>
      <c r="W565" t="s">
        <v>74</v>
      </c>
      <c r="X565" t="s">
        <v>74</v>
      </c>
      <c r="Y565" t="s">
        <v>74</v>
      </c>
      <c r="Z565" t="s">
        <v>74</v>
      </c>
      <c r="AA565" t="s">
        <v>74</v>
      </c>
      <c r="AB565" t="s">
        <v>74</v>
      </c>
      <c r="AC565" t="s">
        <v>74</v>
      </c>
      <c r="AD565" t="s">
        <v>74</v>
      </c>
      <c r="AE565" t="s">
        <v>74</v>
      </c>
      <c r="AF565" t="s">
        <v>74</v>
      </c>
      <c r="AG565" t="s">
        <v>74</v>
      </c>
      <c r="AH565" t="s">
        <v>74</v>
      </c>
      <c r="AI565" t="s">
        <v>74</v>
      </c>
      <c r="AJ565" t="s">
        <v>74</v>
      </c>
      <c r="AK565" t="s">
        <v>74</v>
      </c>
      <c r="AL565" t="s">
        <v>74</v>
      </c>
      <c r="AM565" t="s">
        <v>74</v>
      </c>
      <c r="AN565" t="s">
        <v>74</v>
      </c>
      <c r="AO565" t="s">
        <v>1461</v>
      </c>
      <c r="AP565" t="s">
        <v>1462</v>
      </c>
      <c r="AQ565" t="s">
        <v>74</v>
      </c>
      <c r="AR565" t="s">
        <v>74</v>
      </c>
      <c r="AS565" t="s">
        <v>74</v>
      </c>
      <c r="AT565" t="s">
        <v>4989</v>
      </c>
      <c r="AU565">
        <v>2021</v>
      </c>
      <c r="AV565">
        <v>546</v>
      </c>
      <c r="AW565" t="s">
        <v>74</v>
      </c>
      <c r="AX565" t="s">
        <v>74</v>
      </c>
      <c r="AY565" t="s">
        <v>74</v>
      </c>
      <c r="AZ565" t="s">
        <v>74</v>
      </c>
      <c r="BA565" t="s">
        <v>74</v>
      </c>
      <c r="BB565" t="s">
        <v>74</v>
      </c>
      <c r="BC565" t="s">
        <v>74</v>
      </c>
      <c r="BD565">
        <v>148941</v>
      </c>
      <c r="BE565" t="s">
        <v>4990</v>
      </c>
      <c r="BF565" t="str">
        <f>HYPERLINK("http://dx.doi.org/10.1016/j.apsusc.2021.148941","http://dx.doi.org/10.1016/j.apsusc.2021.148941")</f>
        <v>http://dx.doi.org/10.1016/j.apsusc.2021.148941</v>
      </c>
      <c r="BG565" t="s">
        <v>74</v>
      </c>
      <c r="BH565" t="s">
        <v>4975</v>
      </c>
      <c r="BI565" t="s">
        <v>74</v>
      </c>
      <c r="BJ565" t="s">
        <v>74</v>
      </c>
      <c r="BK565" t="s">
        <v>74</v>
      </c>
      <c r="BL565" t="s">
        <v>74</v>
      </c>
      <c r="BM565" t="s">
        <v>74</v>
      </c>
      <c r="BN565" t="s">
        <v>74</v>
      </c>
      <c r="BO565" t="s">
        <v>74</v>
      </c>
      <c r="BP565" t="s">
        <v>74</v>
      </c>
      <c r="BQ565" t="s">
        <v>74</v>
      </c>
      <c r="BR565" t="s">
        <v>74</v>
      </c>
      <c r="BS565" t="s">
        <v>4991</v>
      </c>
      <c r="BT565" t="str">
        <f>HYPERLINK("https%3A%2F%2Fwww.webofscience.com%2Fwos%2Fwoscc%2Ffull-record%2FWOS:000620786000004","View Full Record in Web of Science")</f>
        <v>View Full Record in Web of Science</v>
      </c>
    </row>
    <row r="566" spans="1:72" x14ac:dyDescent="0.2">
      <c r="A566" t="s">
        <v>72</v>
      </c>
      <c r="B566" t="s">
        <v>4992</v>
      </c>
      <c r="C566" t="s">
        <v>74</v>
      </c>
      <c r="D566" t="s">
        <v>74</v>
      </c>
      <c r="E566" t="s">
        <v>74</v>
      </c>
      <c r="F566" t="s">
        <v>4993</v>
      </c>
      <c r="G566" t="s">
        <v>74</v>
      </c>
      <c r="H566" t="s">
        <v>74</v>
      </c>
      <c r="I566" t="s">
        <v>4994</v>
      </c>
      <c r="J566" t="s">
        <v>267</v>
      </c>
      <c r="K566" t="s">
        <v>74</v>
      </c>
      <c r="L566" t="s">
        <v>74</v>
      </c>
      <c r="M566" t="s">
        <v>74</v>
      </c>
      <c r="N566" t="s">
        <v>74</v>
      </c>
      <c r="O566" t="s">
        <v>74</v>
      </c>
      <c r="P566" t="s">
        <v>74</v>
      </c>
      <c r="Q566" t="s">
        <v>74</v>
      </c>
      <c r="R566" t="s">
        <v>74</v>
      </c>
      <c r="S566" t="s">
        <v>74</v>
      </c>
      <c r="T566" t="s">
        <v>74</v>
      </c>
      <c r="U566" t="s">
        <v>74</v>
      </c>
      <c r="V566" t="s">
        <v>4995</v>
      </c>
      <c r="W566" t="s">
        <v>74</v>
      </c>
      <c r="X566" t="s">
        <v>74</v>
      </c>
      <c r="Y566" t="s">
        <v>74</v>
      </c>
      <c r="Z566" t="s">
        <v>74</v>
      </c>
      <c r="AA566" t="s">
        <v>4996</v>
      </c>
      <c r="AB566" t="s">
        <v>4997</v>
      </c>
      <c r="AC566" t="s">
        <v>74</v>
      </c>
      <c r="AD566" t="s">
        <v>74</v>
      </c>
      <c r="AE566" t="s">
        <v>74</v>
      </c>
      <c r="AF566" t="s">
        <v>74</v>
      </c>
      <c r="AG566" t="s">
        <v>74</v>
      </c>
      <c r="AH566" t="s">
        <v>74</v>
      </c>
      <c r="AI566" t="s">
        <v>74</v>
      </c>
      <c r="AJ566" t="s">
        <v>74</v>
      </c>
      <c r="AK566" t="s">
        <v>74</v>
      </c>
      <c r="AL566" t="s">
        <v>74</v>
      </c>
      <c r="AM566" t="s">
        <v>74</v>
      </c>
      <c r="AN566" t="s">
        <v>74</v>
      </c>
      <c r="AO566" t="s">
        <v>270</v>
      </c>
      <c r="AP566" t="s">
        <v>271</v>
      </c>
      <c r="AQ566" t="s">
        <v>74</v>
      </c>
      <c r="AR566" t="s">
        <v>74</v>
      </c>
      <c r="AS566" t="s">
        <v>74</v>
      </c>
      <c r="AT566" t="s">
        <v>954</v>
      </c>
      <c r="AU566">
        <v>2021</v>
      </c>
      <c r="AV566">
        <v>31</v>
      </c>
      <c r="AW566">
        <v>13</v>
      </c>
      <c r="AX566" t="s">
        <v>74</v>
      </c>
      <c r="AY566" t="s">
        <v>74</v>
      </c>
      <c r="AZ566" t="s">
        <v>74</v>
      </c>
      <c r="BA566" t="s">
        <v>74</v>
      </c>
      <c r="BB566" t="s">
        <v>74</v>
      </c>
      <c r="BC566" t="s">
        <v>74</v>
      </c>
      <c r="BD566">
        <v>2008632</v>
      </c>
      <c r="BE566" t="s">
        <v>4998</v>
      </c>
      <c r="BF566" t="str">
        <f>HYPERLINK("http://dx.doi.org/10.1002/adfm.202008632","http://dx.doi.org/10.1002/adfm.202008632")</f>
        <v>http://dx.doi.org/10.1002/adfm.202008632</v>
      </c>
      <c r="BG566" t="s">
        <v>74</v>
      </c>
      <c r="BH566" t="s">
        <v>4975</v>
      </c>
      <c r="BI566" t="s">
        <v>74</v>
      </c>
      <c r="BJ566" t="s">
        <v>74</v>
      </c>
      <c r="BK566" t="s">
        <v>74</v>
      </c>
      <c r="BL566" t="s">
        <v>74</v>
      </c>
      <c r="BM566" t="s">
        <v>74</v>
      </c>
      <c r="BN566" t="s">
        <v>74</v>
      </c>
      <c r="BO566" t="s">
        <v>74</v>
      </c>
      <c r="BP566" t="s">
        <v>74</v>
      </c>
      <c r="BQ566" t="s">
        <v>74</v>
      </c>
      <c r="BR566" t="s">
        <v>74</v>
      </c>
      <c r="BS566" t="s">
        <v>4999</v>
      </c>
      <c r="BT566" t="str">
        <f>HYPERLINK("https%3A%2F%2Fwww.webofscience.com%2Fwos%2Fwoscc%2Ffull-record%2FWOS:000608925400001","View Full Record in Web of Science")</f>
        <v>View Full Record in Web of Science</v>
      </c>
    </row>
    <row r="567" spans="1:72" x14ac:dyDescent="0.2">
      <c r="A567" t="s">
        <v>72</v>
      </c>
      <c r="B567" t="s">
        <v>5000</v>
      </c>
      <c r="C567" t="s">
        <v>74</v>
      </c>
      <c r="D567" t="s">
        <v>74</v>
      </c>
      <c r="E567" t="s">
        <v>74</v>
      </c>
      <c r="F567" t="s">
        <v>5001</v>
      </c>
      <c r="G567" t="s">
        <v>74</v>
      </c>
      <c r="H567" t="s">
        <v>74</v>
      </c>
      <c r="I567" t="s">
        <v>5002</v>
      </c>
      <c r="J567" t="s">
        <v>422</v>
      </c>
      <c r="K567" t="s">
        <v>74</v>
      </c>
      <c r="L567" t="s">
        <v>74</v>
      </c>
      <c r="M567" t="s">
        <v>74</v>
      </c>
      <c r="N567" t="s">
        <v>74</v>
      </c>
      <c r="O567" t="s">
        <v>74</v>
      </c>
      <c r="P567" t="s">
        <v>74</v>
      </c>
      <c r="Q567" t="s">
        <v>74</v>
      </c>
      <c r="R567" t="s">
        <v>74</v>
      </c>
      <c r="S567" t="s">
        <v>74</v>
      </c>
      <c r="T567" t="s">
        <v>74</v>
      </c>
      <c r="U567" t="s">
        <v>74</v>
      </c>
      <c r="V567" t="s">
        <v>5003</v>
      </c>
      <c r="W567" t="s">
        <v>74</v>
      </c>
      <c r="X567" t="s">
        <v>74</v>
      </c>
      <c r="Y567" t="s">
        <v>74</v>
      </c>
      <c r="Z567" t="s">
        <v>74</v>
      </c>
      <c r="AA567" t="s">
        <v>5004</v>
      </c>
      <c r="AB567" t="s">
        <v>5005</v>
      </c>
      <c r="AC567" t="s">
        <v>74</v>
      </c>
      <c r="AD567" t="s">
        <v>74</v>
      </c>
      <c r="AE567" t="s">
        <v>74</v>
      </c>
      <c r="AF567" t="s">
        <v>74</v>
      </c>
      <c r="AG567" t="s">
        <v>74</v>
      </c>
      <c r="AH567" t="s">
        <v>74</v>
      </c>
      <c r="AI567" t="s">
        <v>74</v>
      </c>
      <c r="AJ567" t="s">
        <v>74</v>
      </c>
      <c r="AK567" t="s">
        <v>74</v>
      </c>
      <c r="AL567" t="s">
        <v>74</v>
      </c>
      <c r="AM567" t="s">
        <v>74</v>
      </c>
      <c r="AN567" t="s">
        <v>74</v>
      </c>
      <c r="AO567" t="s">
        <v>426</v>
      </c>
      <c r="AP567" t="s">
        <v>74</v>
      </c>
      <c r="AQ567" t="s">
        <v>74</v>
      </c>
      <c r="AR567" t="s">
        <v>74</v>
      </c>
      <c r="AS567" t="s">
        <v>74</v>
      </c>
      <c r="AT567" t="s">
        <v>2329</v>
      </c>
      <c r="AU567">
        <v>2021</v>
      </c>
      <c r="AV567">
        <v>4</v>
      </c>
      <c r="AW567">
        <v>3</v>
      </c>
      <c r="AX567" t="s">
        <v>74</v>
      </c>
      <c r="AY567" t="s">
        <v>74</v>
      </c>
      <c r="AZ567" t="s">
        <v>74</v>
      </c>
      <c r="BA567" t="s">
        <v>74</v>
      </c>
      <c r="BB567">
        <v>2241</v>
      </c>
      <c r="BC567">
        <v>2247</v>
      </c>
      <c r="BD567" t="s">
        <v>74</v>
      </c>
      <c r="BE567" t="s">
        <v>5006</v>
      </c>
      <c r="BF567" t="str">
        <f>HYPERLINK("http://dx.doi.org/10.1021/acsaem.0c02749","http://dx.doi.org/10.1021/acsaem.0c02749")</f>
        <v>http://dx.doi.org/10.1021/acsaem.0c02749</v>
      </c>
      <c r="BG567" t="s">
        <v>74</v>
      </c>
      <c r="BH567" t="s">
        <v>4975</v>
      </c>
      <c r="BI567" t="s">
        <v>74</v>
      </c>
      <c r="BJ567" t="s">
        <v>74</v>
      </c>
      <c r="BK567" t="s">
        <v>74</v>
      </c>
      <c r="BL567" t="s">
        <v>74</v>
      </c>
      <c r="BM567" t="s">
        <v>74</v>
      </c>
      <c r="BN567" t="s">
        <v>74</v>
      </c>
      <c r="BO567" t="s">
        <v>74</v>
      </c>
      <c r="BP567" t="s">
        <v>74</v>
      </c>
      <c r="BQ567" t="s">
        <v>74</v>
      </c>
      <c r="BR567" t="s">
        <v>74</v>
      </c>
      <c r="BS567" t="s">
        <v>5007</v>
      </c>
      <c r="BT567" t="str">
        <f>HYPERLINK("https%3A%2F%2Fwww.webofscience.com%2Fwos%2Fwoscc%2Ffull-record%2FWOS:000636714000024","View Full Record in Web of Science")</f>
        <v>View Full Record in Web of Science</v>
      </c>
    </row>
    <row r="568" spans="1:72" x14ac:dyDescent="0.2">
      <c r="A568" t="s">
        <v>72</v>
      </c>
      <c r="B568" t="s">
        <v>5008</v>
      </c>
      <c r="C568" t="s">
        <v>74</v>
      </c>
      <c r="D568" t="s">
        <v>74</v>
      </c>
      <c r="E568" t="s">
        <v>74</v>
      </c>
      <c r="F568" t="s">
        <v>5009</v>
      </c>
      <c r="G568" t="s">
        <v>74</v>
      </c>
      <c r="H568" t="s">
        <v>74</v>
      </c>
      <c r="I568" t="s">
        <v>5010</v>
      </c>
      <c r="J568" t="s">
        <v>341</v>
      </c>
      <c r="K568" t="s">
        <v>74</v>
      </c>
      <c r="L568" t="s">
        <v>74</v>
      </c>
      <c r="M568" t="s">
        <v>74</v>
      </c>
      <c r="N568" t="s">
        <v>74</v>
      </c>
      <c r="O568" t="s">
        <v>74</v>
      </c>
      <c r="P568" t="s">
        <v>74</v>
      </c>
      <c r="Q568" t="s">
        <v>74</v>
      </c>
      <c r="R568" t="s">
        <v>74</v>
      </c>
      <c r="S568" t="s">
        <v>74</v>
      </c>
      <c r="T568" t="s">
        <v>74</v>
      </c>
      <c r="U568" t="s">
        <v>74</v>
      </c>
      <c r="V568" t="s">
        <v>5011</v>
      </c>
      <c r="W568" t="s">
        <v>74</v>
      </c>
      <c r="X568" t="s">
        <v>74</v>
      </c>
      <c r="Y568" t="s">
        <v>74</v>
      </c>
      <c r="Z568" t="s">
        <v>74</v>
      </c>
      <c r="AA568" t="s">
        <v>5012</v>
      </c>
      <c r="AB568" t="s">
        <v>5013</v>
      </c>
      <c r="AC568" t="s">
        <v>74</v>
      </c>
      <c r="AD568" t="s">
        <v>74</v>
      </c>
      <c r="AE568" t="s">
        <v>74</v>
      </c>
      <c r="AF568" t="s">
        <v>74</v>
      </c>
      <c r="AG568" t="s">
        <v>74</v>
      </c>
      <c r="AH568" t="s">
        <v>74</v>
      </c>
      <c r="AI568" t="s">
        <v>74</v>
      </c>
      <c r="AJ568" t="s">
        <v>74</v>
      </c>
      <c r="AK568" t="s">
        <v>74</v>
      </c>
      <c r="AL568" t="s">
        <v>74</v>
      </c>
      <c r="AM568" t="s">
        <v>74</v>
      </c>
      <c r="AN568" t="s">
        <v>74</v>
      </c>
      <c r="AO568" t="s">
        <v>344</v>
      </c>
      <c r="AP568" t="s">
        <v>345</v>
      </c>
      <c r="AQ568" t="s">
        <v>74</v>
      </c>
      <c r="AR568" t="s">
        <v>74</v>
      </c>
      <c r="AS568" t="s">
        <v>74</v>
      </c>
      <c r="AT568" t="s">
        <v>954</v>
      </c>
      <c r="AU568">
        <v>2021</v>
      </c>
      <c r="AV568">
        <v>9</v>
      </c>
      <c r="AW568">
        <v>3</v>
      </c>
      <c r="AX568" t="s">
        <v>74</v>
      </c>
      <c r="AY568" t="s">
        <v>74</v>
      </c>
      <c r="AZ568" t="s">
        <v>74</v>
      </c>
      <c r="BA568" t="s">
        <v>74</v>
      </c>
      <c r="BB568" t="s">
        <v>74</v>
      </c>
      <c r="BC568" t="s">
        <v>74</v>
      </c>
      <c r="BD568">
        <v>2000879</v>
      </c>
      <c r="BE568" t="s">
        <v>5014</v>
      </c>
      <c r="BF568" t="str">
        <f>HYPERLINK("http://dx.doi.org/10.1002/ente.202000879","http://dx.doi.org/10.1002/ente.202000879")</f>
        <v>http://dx.doi.org/10.1002/ente.202000879</v>
      </c>
      <c r="BG568" t="s">
        <v>74</v>
      </c>
      <c r="BH568" t="s">
        <v>4975</v>
      </c>
      <c r="BI568" t="s">
        <v>74</v>
      </c>
      <c r="BJ568" t="s">
        <v>74</v>
      </c>
      <c r="BK568" t="s">
        <v>74</v>
      </c>
      <c r="BL568" t="s">
        <v>74</v>
      </c>
      <c r="BM568" t="s">
        <v>74</v>
      </c>
      <c r="BN568" t="s">
        <v>74</v>
      </c>
      <c r="BO568" t="s">
        <v>74</v>
      </c>
      <c r="BP568" t="s">
        <v>74</v>
      </c>
      <c r="BQ568" t="s">
        <v>74</v>
      </c>
      <c r="BR568" t="s">
        <v>74</v>
      </c>
      <c r="BS568" t="s">
        <v>5015</v>
      </c>
      <c r="BT568" t="str">
        <f>HYPERLINK("https%3A%2F%2Fwww.webofscience.com%2Fwos%2Fwoscc%2Ffull-record%2FWOS:000609201400001","View Full Record in Web of Science")</f>
        <v>View Full Record in Web of Science</v>
      </c>
    </row>
    <row r="569" spans="1:72" x14ac:dyDescent="0.2">
      <c r="A569" t="s">
        <v>72</v>
      </c>
      <c r="B569" t="s">
        <v>5016</v>
      </c>
      <c r="C569" t="s">
        <v>74</v>
      </c>
      <c r="D569" t="s">
        <v>74</v>
      </c>
      <c r="E569" t="s">
        <v>74</v>
      </c>
      <c r="F569" t="s">
        <v>5017</v>
      </c>
      <c r="G569" t="s">
        <v>74</v>
      </c>
      <c r="H569" t="s">
        <v>74</v>
      </c>
      <c r="I569" t="s">
        <v>5018</v>
      </c>
      <c r="J569" t="s">
        <v>4663</v>
      </c>
      <c r="K569" t="s">
        <v>74</v>
      </c>
      <c r="L569" t="s">
        <v>74</v>
      </c>
      <c r="M569" t="s">
        <v>74</v>
      </c>
      <c r="N569" t="s">
        <v>74</v>
      </c>
      <c r="O569" t="s">
        <v>74</v>
      </c>
      <c r="P569" t="s">
        <v>74</v>
      </c>
      <c r="Q569" t="s">
        <v>74</v>
      </c>
      <c r="R569" t="s">
        <v>74</v>
      </c>
      <c r="S569" t="s">
        <v>74</v>
      </c>
      <c r="T569" t="s">
        <v>74</v>
      </c>
      <c r="U569" t="s">
        <v>74</v>
      </c>
      <c r="V569" t="s">
        <v>5019</v>
      </c>
      <c r="W569" t="s">
        <v>74</v>
      </c>
      <c r="X569" t="s">
        <v>74</v>
      </c>
      <c r="Y569" t="s">
        <v>74</v>
      </c>
      <c r="Z569" t="s">
        <v>74</v>
      </c>
      <c r="AA569" t="s">
        <v>5020</v>
      </c>
      <c r="AB569" t="s">
        <v>5021</v>
      </c>
      <c r="AC569" t="s">
        <v>74</v>
      </c>
      <c r="AD569" t="s">
        <v>74</v>
      </c>
      <c r="AE569" t="s">
        <v>74</v>
      </c>
      <c r="AF569" t="s">
        <v>74</v>
      </c>
      <c r="AG569" t="s">
        <v>74</v>
      </c>
      <c r="AH569" t="s">
        <v>74</v>
      </c>
      <c r="AI569" t="s">
        <v>74</v>
      </c>
      <c r="AJ569" t="s">
        <v>74</v>
      </c>
      <c r="AK569" t="s">
        <v>74</v>
      </c>
      <c r="AL569" t="s">
        <v>74</v>
      </c>
      <c r="AM569" t="s">
        <v>74</v>
      </c>
      <c r="AN569" t="s">
        <v>74</v>
      </c>
      <c r="AO569" t="s">
        <v>4667</v>
      </c>
      <c r="AP569" t="s">
        <v>4668</v>
      </c>
      <c r="AQ569" t="s">
        <v>74</v>
      </c>
      <c r="AR569" t="s">
        <v>74</v>
      </c>
      <c r="AS569" t="s">
        <v>74</v>
      </c>
      <c r="AT569" t="s">
        <v>1463</v>
      </c>
      <c r="AU569">
        <v>2021</v>
      </c>
      <c r="AV569">
        <v>620</v>
      </c>
      <c r="AW569" t="s">
        <v>74</v>
      </c>
      <c r="AX569" t="s">
        <v>74</v>
      </c>
      <c r="AY569" t="s">
        <v>74</v>
      </c>
      <c r="AZ569" t="s">
        <v>74</v>
      </c>
      <c r="BA569" t="s">
        <v>74</v>
      </c>
      <c r="BB569" t="s">
        <v>74</v>
      </c>
      <c r="BC569" t="s">
        <v>74</v>
      </c>
      <c r="BD569">
        <v>118921</v>
      </c>
      <c r="BE569" t="s">
        <v>5022</v>
      </c>
      <c r="BF569" t="str">
        <f>HYPERLINK("http://dx.doi.org/10.1016/j.memsci.2020.118921","http://dx.doi.org/10.1016/j.memsci.2020.118921")</f>
        <v>http://dx.doi.org/10.1016/j.memsci.2020.118921</v>
      </c>
      <c r="BG569" t="s">
        <v>74</v>
      </c>
      <c r="BH569" t="s">
        <v>4975</v>
      </c>
      <c r="BI569" t="s">
        <v>74</v>
      </c>
      <c r="BJ569" t="s">
        <v>74</v>
      </c>
      <c r="BK569" t="s">
        <v>74</v>
      </c>
      <c r="BL569" t="s">
        <v>74</v>
      </c>
      <c r="BM569" t="s">
        <v>74</v>
      </c>
      <c r="BN569" t="s">
        <v>74</v>
      </c>
      <c r="BO569" t="s">
        <v>74</v>
      </c>
      <c r="BP569" t="s">
        <v>74</v>
      </c>
      <c r="BQ569" t="s">
        <v>74</v>
      </c>
      <c r="BR569" t="s">
        <v>74</v>
      </c>
      <c r="BS569" t="s">
        <v>5023</v>
      </c>
      <c r="BT569" t="str">
        <f>HYPERLINK("https%3A%2F%2Fwww.webofscience.com%2Fwos%2Fwoscc%2Ffull-record%2FWOS:000609139300001","View Full Record in Web of Science")</f>
        <v>View Full Record in Web of Science</v>
      </c>
    </row>
    <row r="570" spans="1:72" x14ac:dyDescent="0.2">
      <c r="A570" t="s">
        <v>72</v>
      </c>
      <c r="B570" t="s">
        <v>5024</v>
      </c>
      <c r="C570" t="s">
        <v>74</v>
      </c>
      <c r="D570" t="s">
        <v>74</v>
      </c>
      <c r="E570" t="s">
        <v>74</v>
      </c>
      <c r="F570" t="s">
        <v>5025</v>
      </c>
      <c r="G570" t="s">
        <v>74</v>
      </c>
      <c r="H570" t="s">
        <v>74</v>
      </c>
      <c r="I570" t="s">
        <v>5026</v>
      </c>
      <c r="J570" t="s">
        <v>5027</v>
      </c>
      <c r="K570" t="s">
        <v>74</v>
      </c>
      <c r="L570" t="s">
        <v>74</v>
      </c>
      <c r="M570" t="s">
        <v>74</v>
      </c>
      <c r="N570" t="s">
        <v>74</v>
      </c>
      <c r="O570" t="s">
        <v>74</v>
      </c>
      <c r="P570" t="s">
        <v>74</v>
      </c>
      <c r="Q570" t="s">
        <v>74</v>
      </c>
      <c r="R570" t="s">
        <v>74</v>
      </c>
      <c r="S570" t="s">
        <v>74</v>
      </c>
      <c r="T570" t="s">
        <v>74</v>
      </c>
      <c r="U570" t="s">
        <v>74</v>
      </c>
      <c r="V570" t="s">
        <v>5028</v>
      </c>
      <c r="W570" t="s">
        <v>74</v>
      </c>
      <c r="X570" t="s">
        <v>74</v>
      </c>
      <c r="Y570" t="s">
        <v>74</v>
      </c>
      <c r="Z570" t="s">
        <v>74</v>
      </c>
      <c r="AA570" t="s">
        <v>5029</v>
      </c>
      <c r="AB570" t="s">
        <v>74</v>
      </c>
      <c r="AC570" t="s">
        <v>74</v>
      </c>
      <c r="AD570" t="s">
        <v>74</v>
      </c>
      <c r="AE570" t="s">
        <v>74</v>
      </c>
      <c r="AF570" t="s">
        <v>74</v>
      </c>
      <c r="AG570" t="s">
        <v>74</v>
      </c>
      <c r="AH570" t="s">
        <v>74</v>
      </c>
      <c r="AI570" t="s">
        <v>74</v>
      </c>
      <c r="AJ570" t="s">
        <v>74</v>
      </c>
      <c r="AK570" t="s">
        <v>74</v>
      </c>
      <c r="AL570" t="s">
        <v>74</v>
      </c>
      <c r="AM570" t="s">
        <v>74</v>
      </c>
      <c r="AN570" t="s">
        <v>74</v>
      </c>
      <c r="AO570" t="s">
        <v>5030</v>
      </c>
      <c r="AP570" t="s">
        <v>5031</v>
      </c>
      <c r="AQ570" t="s">
        <v>74</v>
      </c>
      <c r="AR570" t="s">
        <v>74</v>
      </c>
      <c r="AS570" t="s">
        <v>74</v>
      </c>
      <c r="AT570" t="s">
        <v>1420</v>
      </c>
      <c r="AU570">
        <v>2021</v>
      </c>
      <c r="AV570">
        <v>405</v>
      </c>
      <c r="AW570" t="s">
        <v>74</v>
      </c>
      <c r="AX570" t="s">
        <v>74</v>
      </c>
      <c r="AY570" t="s">
        <v>74</v>
      </c>
      <c r="AZ570" t="s">
        <v>74</v>
      </c>
      <c r="BA570" t="s">
        <v>74</v>
      </c>
      <c r="BB570" t="s">
        <v>74</v>
      </c>
      <c r="BC570" t="s">
        <v>74</v>
      </c>
      <c r="BD570">
        <v>126580</v>
      </c>
      <c r="BE570" t="s">
        <v>5032</v>
      </c>
      <c r="BF570" t="str">
        <f>HYPERLINK("http://dx.doi.org/10.1016/j.surfcoat.2020.126580","http://dx.doi.org/10.1016/j.surfcoat.2020.126580")</f>
        <v>http://dx.doi.org/10.1016/j.surfcoat.2020.126580</v>
      </c>
      <c r="BG570" t="s">
        <v>74</v>
      </c>
      <c r="BH570" t="s">
        <v>74</v>
      </c>
      <c r="BI570" t="s">
        <v>74</v>
      </c>
      <c r="BJ570" t="s">
        <v>74</v>
      </c>
      <c r="BK570" t="s">
        <v>74</v>
      </c>
      <c r="BL570" t="s">
        <v>74</v>
      </c>
      <c r="BM570" t="s">
        <v>74</v>
      </c>
      <c r="BN570" t="s">
        <v>74</v>
      </c>
      <c r="BO570" t="s">
        <v>74</v>
      </c>
      <c r="BP570" t="s">
        <v>74</v>
      </c>
      <c r="BQ570" t="s">
        <v>74</v>
      </c>
      <c r="BR570" t="s">
        <v>74</v>
      </c>
      <c r="BS570" t="s">
        <v>5033</v>
      </c>
      <c r="BT570" t="str">
        <f>HYPERLINK("https%3A%2F%2Fwww.webofscience.com%2Fwos%2Fwoscc%2Ffull-record%2FWOS:000604583200053","View Full Record in Web of Science")</f>
        <v>View Full Record in Web of Science</v>
      </c>
    </row>
    <row r="571" spans="1:72" x14ac:dyDescent="0.2">
      <c r="A571" t="s">
        <v>72</v>
      </c>
      <c r="B571" t="s">
        <v>5034</v>
      </c>
      <c r="C571" t="s">
        <v>74</v>
      </c>
      <c r="D571" t="s">
        <v>74</v>
      </c>
      <c r="E571" t="s">
        <v>74</v>
      </c>
      <c r="F571" t="s">
        <v>5035</v>
      </c>
      <c r="G571" t="s">
        <v>74</v>
      </c>
      <c r="H571" t="s">
        <v>74</v>
      </c>
      <c r="I571" t="s">
        <v>5036</v>
      </c>
      <c r="J571" t="s">
        <v>98</v>
      </c>
      <c r="K571" t="s">
        <v>74</v>
      </c>
      <c r="L571" t="s">
        <v>74</v>
      </c>
      <c r="M571" t="s">
        <v>74</v>
      </c>
      <c r="N571" t="s">
        <v>74</v>
      </c>
      <c r="O571" t="s">
        <v>74</v>
      </c>
      <c r="P571" t="s">
        <v>74</v>
      </c>
      <c r="Q571" t="s">
        <v>74</v>
      </c>
      <c r="R571" t="s">
        <v>74</v>
      </c>
      <c r="S571" t="s">
        <v>74</v>
      </c>
      <c r="T571" t="s">
        <v>74</v>
      </c>
      <c r="U571" t="s">
        <v>74</v>
      </c>
      <c r="V571" t="s">
        <v>5037</v>
      </c>
      <c r="W571" t="s">
        <v>74</v>
      </c>
      <c r="X571" t="s">
        <v>74</v>
      </c>
      <c r="Y571" t="s">
        <v>74</v>
      </c>
      <c r="Z571" t="s">
        <v>74</v>
      </c>
      <c r="AA571" t="s">
        <v>5038</v>
      </c>
      <c r="AB571" t="s">
        <v>74</v>
      </c>
      <c r="AC571" t="s">
        <v>74</v>
      </c>
      <c r="AD571" t="s">
        <v>74</v>
      </c>
      <c r="AE571" t="s">
        <v>74</v>
      </c>
      <c r="AF571" t="s">
        <v>74</v>
      </c>
      <c r="AG571" t="s">
        <v>74</v>
      </c>
      <c r="AH571" t="s">
        <v>74</v>
      </c>
      <c r="AI571" t="s">
        <v>74</v>
      </c>
      <c r="AJ571" t="s">
        <v>74</v>
      </c>
      <c r="AK571" t="s">
        <v>74</v>
      </c>
      <c r="AL571" t="s">
        <v>74</v>
      </c>
      <c r="AM571" t="s">
        <v>74</v>
      </c>
      <c r="AN571" t="s">
        <v>74</v>
      </c>
      <c r="AO571" t="s">
        <v>101</v>
      </c>
      <c r="AP571" t="s">
        <v>102</v>
      </c>
      <c r="AQ571" t="s">
        <v>74</v>
      </c>
      <c r="AR571" t="s">
        <v>74</v>
      </c>
      <c r="AS571" t="s">
        <v>74</v>
      </c>
      <c r="AT571" t="s">
        <v>1420</v>
      </c>
      <c r="AU571">
        <v>2021</v>
      </c>
      <c r="AV571">
        <v>482</v>
      </c>
      <c r="AW571" t="s">
        <v>74</v>
      </c>
      <c r="AX571" t="s">
        <v>74</v>
      </c>
      <c r="AY571" t="s">
        <v>74</v>
      </c>
      <c r="AZ571" t="s">
        <v>74</v>
      </c>
      <c r="BA571" t="s">
        <v>74</v>
      </c>
      <c r="BB571" t="s">
        <v>74</v>
      </c>
      <c r="BC571" t="s">
        <v>74</v>
      </c>
      <c r="BD571">
        <v>228940</v>
      </c>
      <c r="BE571" t="s">
        <v>5039</v>
      </c>
      <c r="BF571" t="str">
        <f>HYPERLINK("http://dx.doi.org/10.1016/j.jpowsour.2020.228940","http://dx.doi.org/10.1016/j.jpowsour.2020.228940")</f>
        <v>http://dx.doi.org/10.1016/j.jpowsour.2020.228940</v>
      </c>
      <c r="BG571" t="s">
        <v>74</v>
      </c>
      <c r="BH571" t="s">
        <v>74</v>
      </c>
      <c r="BI571" t="s">
        <v>74</v>
      </c>
      <c r="BJ571" t="s">
        <v>74</v>
      </c>
      <c r="BK571" t="s">
        <v>74</v>
      </c>
      <c r="BL571" t="s">
        <v>74</v>
      </c>
      <c r="BM571" t="s">
        <v>74</v>
      </c>
      <c r="BN571" t="s">
        <v>74</v>
      </c>
      <c r="BO571" t="s">
        <v>74</v>
      </c>
      <c r="BP571" t="s">
        <v>74</v>
      </c>
      <c r="BQ571" t="s">
        <v>74</v>
      </c>
      <c r="BR571" t="s">
        <v>74</v>
      </c>
      <c r="BS571" t="s">
        <v>5040</v>
      </c>
      <c r="BT571" t="str">
        <f>HYPERLINK("https%3A%2F%2Fwww.webofscience.com%2Fwos%2Fwoscc%2Ffull-record%2FWOS:000597242900002","View Full Record in Web of Science")</f>
        <v>View Full Record in Web of Science</v>
      </c>
    </row>
    <row r="572" spans="1:72" x14ac:dyDescent="0.2">
      <c r="A572" t="s">
        <v>72</v>
      </c>
      <c r="B572" t="s">
        <v>5041</v>
      </c>
      <c r="C572" t="s">
        <v>74</v>
      </c>
      <c r="D572" t="s">
        <v>74</v>
      </c>
      <c r="E572" t="s">
        <v>74</v>
      </c>
      <c r="F572" t="s">
        <v>5042</v>
      </c>
      <c r="G572" t="s">
        <v>74</v>
      </c>
      <c r="H572" t="s">
        <v>74</v>
      </c>
      <c r="I572" t="s">
        <v>5043</v>
      </c>
      <c r="J572" t="s">
        <v>528</v>
      </c>
      <c r="K572" t="s">
        <v>74</v>
      </c>
      <c r="L572" t="s">
        <v>74</v>
      </c>
      <c r="M572" t="s">
        <v>74</v>
      </c>
      <c r="N572" t="s">
        <v>74</v>
      </c>
      <c r="O572" t="s">
        <v>74</v>
      </c>
      <c r="P572" t="s">
        <v>74</v>
      </c>
      <c r="Q572" t="s">
        <v>74</v>
      </c>
      <c r="R572" t="s">
        <v>74</v>
      </c>
      <c r="S572" t="s">
        <v>74</v>
      </c>
      <c r="T572" t="s">
        <v>74</v>
      </c>
      <c r="U572" t="s">
        <v>74</v>
      </c>
      <c r="V572" t="s">
        <v>5044</v>
      </c>
      <c r="W572" t="s">
        <v>74</v>
      </c>
      <c r="X572" t="s">
        <v>74</v>
      </c>
      <c r="Y572" t="s">
        <v>74</v>
      </c>
      <c r="Z572" t="s">
        <v>74</v>
      </c>
      <c r="AA572" t="s">
        <v>5045</v>
      </c>
      <c r="AB572" t="s">
        <v>5046</v>
      </c>
      <c r="AC572" t="s">
        <v>74</v>
      </c>
      <c r="AD572" t="s">
        <v>74</v>
      </c>
      <c r="AE572" t="s">
        <v>74</v>
      </c>
      <c r="AF572" t="s">
        <v>74</v>
      </c>
      <c r="AG572" t="s">
        <v>74</v>
      </c>
      <c r="AH572" t="s">
        <v>74</v>
      </c>
      <c r="AI572" t="s">
        <v>74</v>
      </c>
      <c r="AJ572" t="s">
        <v>74</v>
      </c>
      <c r="AK572" t="s">
        <v>74</v>
      </c>
      <c r="AL572" t="s">
        <v>74</v>
      </c>
      <c r="AM572" t="s">
        <v>74</v>
      </c>
      <c r="AN572" t="s">
        <v>74</v>
      </c>
      <c r="AO572" t="s">
        <v>532</v>
      </c>
      <c r="AP572" t="s">
        <v>533</v>
      </c>
      <c r="AQ572" t="s">
        <v>74</v>
      </c>
      <c r="AR572" t="s">
        <v>74</v>
      </c>
      <c r="AS572" t="s">
        <v>74</v>
      </c>
      <c r="AT572" t="s">
        <v>1338</v>
      </c>
      <c r="AU572">
        <v>2021</v>
      </c>
      <c r="AV572">
        <v>13</v>
      </c>
      <c r="AW572">
        <v>1</v>
      </c>
      <c r="AX572" t="s">
        <v>74</v>
      </c>
      <c r="AY572" t="s">
        <v>74</v>
      </c>
      <c r="AZ572" t="s">
        <v>74</v>
      </c>
      <c r="BA572" t="s">
        <v>74</v>
      </c>
      <c r="BB572">
        <v>391</v>
      </c>
      <c r="BC572">
        <v>399</v>
      </c>
      <c r="BD572" t="s">
        <v>74</v>
      </c>
      <c r="BE572" t="s">
        <v>5047</v>
      </c>
      <c r="BF572" t="str">
        <f>HYPERLINK("http://dx.doi.org/10.1021/acsami.0c16354","http://dx.doi.org/10.1021/acsami.0c16354")</f>
        <v>http://dx.doi.org/10.1021/acsami.0c16354</v>
      </c>
      <c r="BG572" t="s">
        <v>74</v>
      </c>
      <c r="BH572" t="s">
        <v>4975</v>
      </c>
      <c r="BI572" t="s">
        <v>74</v>
      </c>
      <c r="BJ572" t="s">
        <v>74</v>
      </c>
      <c r="BK572" t="s">
        <v>74</v>
      </c>
      <c r="BL572" t="s">
        <v>74</v>
      </c>
      <c r="BM572" t="s">
        <v>74</v>
      </c>
      <c r="BN572">
        <v>33395249</v>
      </c>
      <c r="BO572" t="s">
        <v>74</v>
      </c>
      <c r="BP572" t="s">
        <v>74</v>
      </c>
      <c r="BQ572" t="s">
        <v>74</v>
      </c>
      <c r="BR572" t="s">
        <v>74</v>
      </c>
      <c r="BS572" t="s">
        <v>5048</v>
      </c>
      <c r="BT572" t="str">
        <f>HYPERLINK("https%3A%2F%2Fwww.webofscience.com%2Fwos%2Fwoscc%2Ffull-record%2FWOS:000611066000034","View Full Record in Web of Science")</f>
        <v>View Full Record in Web of Science</v>
      </c>
    </row>
    <row r="573" spans="1:72" x14ac:dyDescent="0.2">
      <c r="A573" t="s">
        <v>72</v>
      </c>
      <c r="B573" t="s">
        <v>5049</v>
      </c>
      <c r="C573" t="s">
        <v>74</v>
      </c>
      <c r="D573" t="s">
        <v>74</v>
      </c>
      <c r="E573" t="s">
        <v>74</v>
      </c>
      <c r="F573" t="s">
        <v>5050</v>
      </c>
      <c r="G573" t="s">
        <v>74</v>
      </c>
      <c r="H573" t="s">
        <v>74</v>
      </c>
      <c r="I573" t="s">
        <v>5051</v>
      </c>
      <c r="J573" t="s">
        <v>1293</v>
      </c>
      <c r="K573" t="s">
        <v>74</v>
      </c>
      <c r="L573" t="s">
        <v>74</v>
      </c>
      <c r="M573" t="s">
        <v>74</v>
      </c>
      <c r="N573" t="s">
        <v>74</v>
      </c>
      <c r="O573" t="s">
        <v>74</v>
      </c>
      <c r="P573" t="s">
        <v>74</v>
      </c>
      <c r="Q573" t="s">
        <v>74</v>
      </c>
      <c r="R573" t="s">
        <v>74</v>
      </c>
      <c r="S573" t="s">
        <v>74</v>
      </c>
      <c r="T573" t="s">
        <v>74</v>
      </c>
      <c r="U573" t="s">
        <v>74</v>
      </c>
      <c r="V573" t="s">
        <v>5052</v>
      </c>
      <c r="W573" t="s">
        <v>74</v>
      </c>
      <c r="X573" t="s">
        <v>74</v>
      </c>
      <c r="Y573" t="s">
        <v>74</v>
      </c>
      <c r="Z573" t="s">
        <v>74</v>
      </c>
      <c r="AA573" t="s">
        <v>5053</v>
      </c>
      <c r="AB573" t="s">
        <v>74</v>
      </c>
      <c r="AC573" t="s">
        <v>74</v>
      </c>
      <c r="AD573" t="s">
        <v>74</v>
      </c>
      <c r="AE573" t="s">
        <v>74</v>
      </c>
      <c r="AF573" t="s">
        <v>74</v>
      </c>
      <c r="AG573" t="s">
        <v>74</v>
      </c>
      <c r="AH573" t="s">
        <v>74</v>
      </c>
      <c r="AI573" t="s">
        <v>74</v>
      </c>
      <c r="AJ573" t="s">
        <v>74</v>
      </c>
      <c r="AK573" t="s">
        <v>74</v>
      </c>
      <c r="AL573" t="s">
        <v>74</v>
      </c>
      <c r="AM573" t="s">
        <v>74</v>
      </c>
      <c r="AN573" t="s">
        <v>74</v>
      </c>
      <c r="AO573" t="s">
        <v>1297</v>
      </c>
      <c r="AP573" t="s">
        <v>1298</v>
      </c>
      <c r="AQ573" t="s">
        <v>74</v>
      </c>
      <c r="AR573" t="s">
        <v>74</v>
      </c>
      <c r="AS573" t="s">
        <v>74</v>
      </c>
      <c r="AT573" t="s">
        <v>1165</v>
      </c>
      <c r="AU573">
        <v>2021</v>
      </c>
      <c r="AV573">
        <v>168</v>
      </c>
      <c r="AW573">
        <v>1</v>
      </c>
      <c r="AX573" t="s">
        <v>74</v>
      </c>
      <c r="AY573" t="s">
        <v>74</v>
      </c>
      <c r="AZ573" t="s">
        <v>74</v>
      </c>
      <c r="BA573" t="s">
        <v>74</v>
      </c>
      <c r="BB573" t="s">
        <v>74</v>
      </c>
      <c r="BC573" t="s">
        <v>74</v>
      </c>
      <c r="BD573">
        <v>10529</v>
      </c>
      <c r="BE573" t="s">
        <v>5054</v>
      </c>
      <c r="BF573" t="str">
        <f>HYPERLINK("http://dx.doi.org/10.1149/1945-7111/abdaff","http://dx.doi.org/10.1149/1945-7111/abdaff")</f>
        <v>http://dx.doi.org/10.1149/1945-7111/abdaff</v>
      </c>
      <c r="BG573" t="s">
        <v>74</v>
      </c>
      <c r="BH573" t="s">
        <v>74</v>
      </c>
      <c r="BI573" t="s">
        <v>74</v>
      </c>
      <c r="BJ573" t="s">
        <v>74</v>
      </c>
      <c r="BK573" t="s">
        <v>74</v>
      </c>
      <c r="BL573" t="s">
        <v>74</v>
      </c>
      <c r="BM573" t="s">
        <v>74</v>
      </c>
      <c r="BN573" t="s">
        <v>74</v>
      </c>
      <c r="BO573" t="s">
        <v>74</v>
      </c>
      <c r="BP573" t="s">
        <v>74</v>
      </c>
      <c r="BQ573" t="s">
        <v>74</v>
      </c>
      <c r="BR573" t="s">
        <v>74</v>
      </c>
      <c r="BS573" t="s">
        <v>5055</v>
      </c>
      <c r="BT573" t="str">
        <f>HYPERLINK("https%3A%2F%2Fwww.webofscience.com%2Fwos%2Fwoscc%2Ffull-record%2FWOS:000612843700001","View Full Record in Web of Science")</f>
        <v>View Full Record in Web of Science</v>
      </c>
    </row>
    <row r="574" spans="1:72" x14ac:dyDescent="0.2">
      <c r="A574" t="s">
        <v>72</v>
      </c>
      <c r="B574" t="s">
        <v>5056</v>
      </c>
      <c r="C574" t="s">
        <v>74</v>
      </c>
      <c r="D574" t="s">
        <v>74</v>
      </c>
      <c r="E574" t="s">
        <v>74</v>
      </c>
      <c r="F574" t="s">
        <v>5057</v>
      </c>
      <c r="G574" t="s">
        <v>74</v>
      </c>
      <c r="H574" t="s">
        <v>74</v>
      </c>
      <c r="I574" t="s">
        <v>5058</v>
      </c>
      <c r="J574" t="s">
        <v>362</v>
      </c>
      <c r="K574" t="s">
        <v>74</v>
      </c>
      <c r="L574" t="s">
        <v>74</v>
      </c>
      <c r="M574" t="s">
        <v>74</v>
      </c>
      <c r="N574" t="s">
        <v>74</v>
      </c>
      <c r="O574" t="s">
        <v>74</v>
      </c>
      <c r="P574" t="s">
        <v>74</v>
      </c>
      <c r="Q574" t="s">
        <v>74</v>
      </c>
      <c r="R574" t="s">
        <v>74</v>
      </c>
      <c r="S574" t="s">
        <v>74</v>
      </c>
      <c r="T574" t="s">
        <v>74</v>
      </c>
      <c r="U574" t="s">
        <v>74</v>
      </c>
      <c r="V574" t="s">
        <v>5059</v>
      </c>
      <c r="W574" t="s">
        <v>74</v>
      </c>
      <c r="X574" t="s">
        <v>74</v>
      </c>
      <c r="Y574" t="s">
        <v>74</v>
      </c>
      <c r="Z574" t="s">
        <v>74</v>
      </c>
      <c r="AA574" t="s">
        <v>5060</v>
      </c>
      <c r="AB574" t="s">
        <v>5061</v>
      </c>
      <c r="AC574" t="s">
        <v>74</v>
      </c>
      <c r="AD574" t="s">
        <v>74</v>
      </c>
      <c r="AE574" t="s">
        <v>74</v>
      </c>
      <c r="AF574" t="s">
        <v>74</v>
      </c>
      <c r="AG574" t="s">
        <v>74</v>
      </c>
      <c r="AH574" t="s">
        <v>74</v>
      </c>
      <c r="AI574" t="s">
        <v>74</v>
      </c>
      <c r="AJ574" t="s">
        <v>74</v>
      </c>
      <c r="AK574" t="s">
        <v>74</v>
      </c>
      <c r="AL574" t="s">
        <v>74</v>
      </c>
      <c r="AM574" t="s">
        <v>74</v>
      </c>
      <c r="AN574" t="s">
        <v>74</v>
      </c>
      <c r="AO574" t="s">
        <v>366</v>
      </c>
      <c r="AP574" t="s">
        <v>367</v>
      </c>
      <c r="AQ574" t="s">
        <v>74</v>
      </c>
      <c r="AR574" t="s">
        <v>74</v>
      </c>
      <c r="AS574" t="s">
        <v>74</v>
      </c>
      <c r="AT574" t="s">
        <v>1194</v>
      </c>
      <c r="AU574">
        <v>2021</v>
      </c>
      <c r="AV574">
        <v>32</v>
      </c>
      <c r="AW574">
        <v>1</v>
      </c>
      <c r="AX574" t="s">
        <v>74</v>
      </c>
      <c r="AY574" t="s">
        <v>74</v>
      </c>
      <c r="AZ574" t="s">
        <v>74</v>
      </c>
      <c r="BA574" t="s">
        <v>74</v>
      </c>
      <c r="BB574">
        <v>125</v>
      </c>
      <c r="BC574">
        <v>131</v>
      </c>
      <c r="BD574" t="s">
        <v>74</v>
      </c>
      <c r="BE574" t="s">
        <v>5062</v>
      </c>
      <c r="BF574" t="str">
        <f>HYPERLINK("http://dx.doi.org/10.1016/j.cclet.2020.10.045","http://dx.doi.org/10.1016/j.cclet.2020.10.045")</f>
        <v>http://dx.doi.org/10.1016/j.cclet.2020.10.045</v>
      </c>
      <c r="BG574" t="s">
        <v>74</v>
      </c>
      <c r="BH574" t="s">
        <v>74</v>
      </c>
      <c r="BI574" t="s">
        <v>74</v>
      </c>
      <c r="BJ574" t="s">
        <v>74</v>
      </c>
      <c r="BK574" t="s">
        <v>74</v>
      </c>
      <c r="BL574" t="s">
        <v>74</v>
      </c>
      <c r="BM574" t="s">
        <v>74</v>
      </c>
      <c r="BN574" t="s">
        <v>74</v>
      </c>
      <c r="BO574" t="s">
        <v>74</v>
      </c>
      <c r="BP574" t="s">
        <v>74</v>
      </c>
      <c r="BQ574" t="s">
        <v>74</v>
      </c>
      <c r="BR574" t="s">
        <v>74</v>
      </c>
      <c r="BS574" t="s">
        <v>5063</v>
      </c>
      <c r="BT574" t="str">
        <f>HYPERLINK("https%3A%2F%2Fwww.webofscience.com%2Fwos%2Fwoscc%2Ffull-record%2FWOS:000618541800022","View Full Record in Web of Science")</f>
        <v>View Full Record in Web of Science</v>
      </c>
    </row>
    <row r="575" spans="1:72" x14ac:dyDescent="0.2">
      <c r="A575" t="s">
        <v>72</v>
      </c>
      <c r="B575" t="s">
        <v>5064</v>
      </c>
      <c r="C575" t="s">
        <v>74</v>
      </c>
      <c r="D575" t="s">
        <v>74</v>
      </c>
      <c r="E575" t="s">
        <v>74</v>
      </c>
      <c r="F575" t="s">
        <v>5065</v>
      </c>
      <c r="G575" t="s">
        <v>74</v>
      </c>
      <c r="H575" t="s">
        <v>74</v>
      </c>
      <c r="I575" t="s">
        <v>5066</v>
      </c>
      <c r="J575" t="s">
        <v>528</v>
      </c>
      <c r="K575" t="s">
        <v>74</v>
      </c>
      <c r="L575" t="s">
        <v>74</v>
      </c>
      <c r="M575" t="s">
        <v>74</v>
      </c>
      <c r="N575" t="s">
        <v>74</v>
      </c>
      <c r="O575" t="s">
        <v>74</v>
      </c>
      <c r="P575" t="s">
        <v>74</v>
      </c>
      <c r="Q575" t="s">
        <v>74</v>
      </c>
      <c r="R575" t="s">
        <v>74</v>
      </c>
      <c r="S575" t="s">
        <v>74</v>
      </c>
      <c r="T575" t="s">
        <v>74</v>
      </c>
      <c r="U575" t="s">
        <v>74</v>
      </c>
      <c r="V575" t="s">
        <v>5067</v>
      </c>
      <c r="W575" t="s">
        <v>74</v>
      </c>
      <c r="X575" t="s">
        <v>74</v>
      </c>
      <c r="Y575" t="s">
        <v>74</v>
      </c>
      <c r="Z575" t="s">
        <v>74</v>
      </c>
      <c r="AA575" t="s">
        <v>5068</v>
      </c>
      <c r="AB575" t="s">
        <v>5069</v>
      </c>
      <c r="AC575" t="s">
        <v>74</v>
      </c>
      <c r="AD575" t="s">
        <v>74</v>
      </c>
      <c r="AE575" t="s">
        <v>74</v>
      </c>
      <c r="AF575" t="s">
        <v>74</v>
      </c>
      <c r="AG575" t="s">
        <v>74</v>
      </c>
      <c r="AH575" t="s">
        <v>74</v>
      </c>
      <c r="AI575" t="s">
        <v>74</v>
      </c>
      <c r="AJ575" t="s">
        <v>74</v>
      </c>
      <c r="AK575" t="s">
        <v>74</v>
      </c>
      <c r="AL575" t="s">
        <v>74</v>
      </c>
      <c r="AM575" t="s">
        <v>74</v>
      </c>
      <c r="AN575" t="s">
        <v>74</v>
      </c>
      <c r="AO575" t="s">
        <v>532</v>
      </c>
      <c r="AP575" t="s">
        <v>533</v>
      </c>
      <c r="AQ575" t="s">
        <v>74</v>
      </c>
      <c r="AR575" t="s">
        <v>74</v>
      </c>
      <c r="AS575" t="s">
        <v>74</v>
      </c>
      <c r="AT575" t="s">
        <v>1203</v>
      </c>
      <c r="AU575">
        <v>2020</v>
      </c>
      <c r="AV575">
        <v>12</v>
      </c>
      <c r="AW575">
        <v>51</v>
      </c>
      <c r="AX575" t="s">
        <v>74</v>
      </c>
      <c r="AY575" t="s">
        <v>74</v>
      </c>
      <c r="AZ575" t="s">
        <v>74</v>
      </c>
      <c r="BA575" t="s">
        <v>74</v>
      </c>
      <c r="BB575">
        <v>56963</v>
      </c>
      <c r="BC575">
        <v>56973</v>
      </c>
      <c r="BD575" t="s">
        <v>74</v>
      </c>
      <c r="BE575" t="s">
        <v>5070</v>
      </c>
      <c r="BF575" t="str">
        <f>HYPERLINK("http://dx.doi.org/10.1021/acsami.0c16159","http://dx.doi.org/10.1021/acsami.0c16159")</f>
        <v>http://dx.doi.org/10.1021/acsami.0c16159</v>
      </c>
      <c r="BG575" t="s">
        <v>74</v>
      </c>
      <c r="BH575" t="s">
        <v>74</v>
      </c>
      <c r="BI575" t="s">
        <v>74</v>
      </c>
      <c r="BJ575" t="s">
        <v>74</v>
      </c>
      <c r="BK575" t="s">
        <v>74</v>
      </c>
      <c r="BL575" t="s">
        <v>74</v>
      </c>
      <c r="BM575" t="s">
        <v>74</v>
      </c>
      <c r="BN575">
        <v>33315372</v>
      </c>
      <c r="BO575" t="s">
        <v>74</v>
      </c>
      <c r="BP575" t="s">
        <v>74</v>
      </c>
      <c r="BQ575" t="s">
        <v>74</v>
      </c>
      <c r="BR575" t="s">
        <v>74</v>
      </c>
      <c r="BS575" t="s">
        <v>5071</v>
      </c>
      <c r="BT575" t="str">
        <f>HYPERLINK("https%3A%2F%2Fwww.webofscience.com%2Fwos%2Fwoscc%2Ffull-record%2FWOS:000603397200027","View Full Record in Web of Science")</f>
        <v>View Full Record in Web of Science</v>
      </c>
    </row>
    <row r="576" spans="1:72" x14ac:dyDescent="0.2">
      <c r="A576" t="s">
        <v>72</v>
      </c>
      <c r="B576" t="s">
        <v>5072</v>
      </c>
      <c r="C576" t="s">
        <v>74</v>
      </c>
      <c r="D576" t="s">
        <v>74</v>
      </c>
      <c r="E576" t="s">
        <v>74</v>
      </c>
      <c r="F576" t="s">
        <v>5073</v>
      </c>
      <c r="G576" t="s">
        <v>74</v>
      </c>
      <c r="H576" t="s">
        <v>74</v>
      </c>
      <c r="I576" t="s">
        <v>5074</v>
      </c>
      <c r="J576" t="s">
        <v>180</v>
      </c>
      <c r="K576" t="s">
        <v>74</v>
      </c>
      <c r="L576" t="s">
        <v>74</v>
      </c>
      <c r="M576" t="s">
        <v>74</v>
      </c>
      <c r="N576" t="s">
        <v>74</v>
      </c>
      <c r="O576" t="s">
        <v>74</v>
      </c>
      <c r="P576" t="s">
        <v>74</v>
      </c>
      <c r="Q576" t="s">
        <v>74</v>
      </c>
      <c r="R576" t="s">
        <v>74</v>
      </c>
      <c r="S576" t="s">
        <v>74</v>
      </c>
      <c r="T576" t="s">
        <v>74</v>
      </c>
      <c r="U576" t="s">
        <v>74</v>
      </c>
      <c r="V576" t="s">
        <v>5075</v>
      </c>
      <c r="W576" t="s">
        <v>74</v>
      </c>
      <c r="X576" t="s">
        <v>74</v>
      </c>
      <c r="Y576" t="s">
        <v>74</v>
      </c>
      <c r="Z576" t="s">
        <v>74</v>
      </c>
      <c r="AA576" t="s">
        <v>5076</v>
      </c>
      <c r="AB576" t="s">
        <v>5077</v>
      </c>
      <c r="AC576" t="s">
        <v>74</v>
      </c>
      <c r="AD576" t="s">
        <v>74</v>
      </c>
      <c r="AE576" t="s">
        <v>74</v>
      </c>
      <c r="AF576" t="s">
        <v>74</v>
      </c>
      <c r="AG576" t="s">
        <v>74</v>
      </c>
      <c r="AH576" t="s">
        <v>74</v>
      </c>
      <c r="AI576" t="s">
        <v>74</v>
      </c>
      <c r="AJ576" t="s">
        <v>74</v>
      </c>
      <c r="AK576" t="s">
        <v>74</v>
      </c>
      <c r="AL576" t="s">
        <v>74</v>
      </c>
      <c r="AM576" t="s">
        <v>74</v>
      </c>
      <c r="AN576" t="s">
        <v>74</v>
      </c>
      <c r="AO576" t="s">
        <v>182</v>
      </c>
      <c r="AP576" t="s">
        <v>183</v>
      </c>
      <c r="AQ576" t="s">
        <v>74</v>
      </c>
      <c r="AR576" t="s">
        <v>74</v>
      </c>
      <c r="AS576" t="s">
        <v>74</v>
      </c>
      <c r="AT576" t="s">
        <v>1403</v>
      </c>
      <c r="AU576">
        <v>2020</v>
      </c>
      <c r="AV576">
        <v>34</v>
      </c>
      <c r="AW576">
        <v>12</v>
      </c>
      <c r="AX576" t="s">
        <v>74</v>
      </c>
      <c r="AY576" t="s">
        <v>74</v>
      </c>
      <c r="AZ576" t="s">
        <v>74</v>
      </c>
      <c r="BA576" t="s">
        <v>74</v>
      </c>
      <c r="BB576">
        <v>15701</v>
      </c>
      <c r="BC576">
        <v>15713</v>
      </c>
      <c r="BD576" t="s">
        <v>74</v>
      </c>
      <c r="BE576" t="s">
        <v>5078</v>
      </c>
      <c r="BF576" t="str">
        <f>HYPERLINK("http://dx.doi.org/10.1021/acs.energyfuels.0c03719","http://dx.doi.org/10.1021/acs.energyfuels.0c03719")</f>
        <v>http://dx.doi.org/10.1021/acs.energyfuels.0c03719</v>
      </c>
      <c r="BG576" t="s">
        <v>74</v>
      </c>
      <c r="BH576" t="s">
        <v>74</v>
      </c>
      <c r="BI576" t="s">
        <v>74</v>
      </c>
      <c r="BJ576" t="s">
        <v>74</v>
      </c>
      <c r="BK576" t="s">
        <v>74</v>
      </c>
      <c r="BL576" t="s">
        <v>74</v>
      </c>
      <c r="BM576" t="s">
        <v>74</v>
      </c>
      <c r="BN576" t="s">
        <v>74</v>
      </c>
      <c r="BO576" t="s">
        <v>74</v>
      </c>
      <c r="BP576" t="s">
        <v>74</v>
      </c>
      <c r="BQ576" t="s">
        <v>74</v>
      </c>
      <c r="BR576" t="s">
        <v>74</v>
      </c>
      <c r="BS576" t="s">
        <v>5079</v>
      </c>
      <c r="BT576" t="str">
        <f>HYPERLINK("https%3A%2F%2Fwww.webofscience.com%2Fwos%2Fwoscc%2Ffull-record%2FWOS:000600407600039","View Full Record in Web of Science")</f>
        <v>View Full Record in Web of Science</v>
      </c>
    </row>
    <row r="577" spans="1:72" x14ac:dyDescent="0.2">
      <c r="A577" t="s">
        <v>72</v>
      </c>
      <c r="B577" t="s">
        <v>4609</v>
      </c>
      <c r="C577" t="s">
        <v>74</v>
      </c>
      <c r="D577" t="s">
        <v>74</v>
      </c>
      <c r="E577" t="s">
        <v>74</v>
      </c>
      <c r="F577" t="s">
        <v>4610</v>
      </c>
      <c r="G577" t="s">
        <v>74</v>
      </c>
      <c r="H577" t="s">
        <v>74</v>
      </c>
      <c r="I577" t="s">
        <v>5080</v>
      </c>
      <c r="J577" t="s">
        <v>1457</v>
      </c>
      <c r="K577" t="s">
        <v>74</v>
      </c>
      <c r="L577" t="s">
        <v>74</v>
      </c>
      <c r="M577" t="s">
        <v>74</v>
      </c>
      <c r="N577" t="s">
        <v>74</v>
      </c>
      <c r="O577" t="s">
        <v>74</v>
      </c>
      <c r="P577" t="s">
        <v>74</v>
      </c>
      <c r="Q577" t="s">
        <v>74</v>
      </c>
      <c r="R577" t="s">
        <v>74</v>
      </c>
      <c r="S577" t="s">
        <v>74</v>
      </c>
      <c r="T577" t="s">
        <v>74</v>
      </c>
      <c r="U577" t="s">
        <v>74</v>
      </c>
      <c r="V577" t="s">
        <v>5081</v>
      </c>
      <c r="W577" t="s">
        <v>74</v>
      </c>
      <c r="X577" t="s">
        <v>74</v>
      </c>
      <c r="Y577" t="s">
        <v>74</v>
      </c>
      <c r="Z577" t="s">
        <v>74</v>
      </c>
      <c r="AA577" t="s">
        <v>5082</v>
      </c>
      <c r="AB577" t="s">
        <v>5083</v>
      </c>
      <c r="AC577" t="s">
        <v>74</v>
      </c>
      <c r="AD577" t="s">
        <v>74</v>
      </c>
      <c r="AE577" t="s">
        <v>74</v>
      </c>
      <c r="AF577" t="s">
        <v>74</v>
      </c>
      <c r="AG577" t="s">
        <v>74</v>
      </c>
      <c r="AH577" t="s">
        <v>74</v>
      </c>
      <c r="AI577" t="s">
        <v>74</v>
      </c>
      <c r="AJ577" t="s">
        <v>74</v>
      </c>
      <c r="AK577" t="s">
        <v>74</v>
      </c>
      <c r="AL577" t="s">
        <v>74</v>
      </c>
      <c r="AM577" t="s">
        <v>74</v>
      </c>
      <c r="AN577" t="s">
        <v>74</v>
      </c>
      <c r="AO577" t="s">
        <v>1461</v>
      </c>
      <c r="AP577" t="s">
        <v>1462</v>
      </c>
      <c r="AQ577" t="s">
        <v>74</v>
      </c>
      <c r="AR577" t="s">
        <v>74</v>
      </c>
      <c r="AS577" t="s">
        <v>74</v>
      </c>
      <c r="AT577" t="s">
        <v>2737</v>
      </c>
      <c r="AU577">
        <v>2020</v>
      </c>
      <c r="AV577">
        <v>533</v>
      </c>
      <c r="AW577" t="s">
        <v>74</v>
      </c>
      <c r="AX577" t="s">
        <v>74</v>
      </c>
      <c r="AY577" t="s">
        <v>74</v>
      </c>
      <c r="AZ577" t="s">
        <v>74</v>
      </c>
      <c r="BA577" t="s">
        <v>74</v>
      </c>
      <c r="BB577" t="s">
        <v>74</v>
      </c>
      <c r="BC577" t="s">
        <v>74</v>
      </c>
      <c r="BD577">
        <v>147483</v>
      </c>
      <c r="BE577" t="s">
        <v>5084</v>
      </c>
      <c r="BF577" t="str">
        <f>HYPERLINK("http://dx.doi.org/10.1016/j.apsusc.2020.147483","http://dx.doi.org/10.1016/j.apsusc.2020.147483")</f>
        <v>http://dx.doi.org/10.1016/j.apsusc.2020.147483</v>
      </c>
      <c r="BG577" t="s">
        <v>74</v>
      </c>
      <c r="BH577" t="s">
        <v>74</v>
      </c>
      <c r="BI577" t="s">
        <v>74</v>
      </c>
      <c r="BJ577" t="s">
        <v>74</v>
      </c>
      <c r="BK577" t="s">
        <v>74</v>
      </c>
      <c r="BL577" t="s">
        <v>74</v>
      </c>
      <c r="BM577" t="s">
        <v>74</v>
      </c>
      <c r="BN577" t="s">
        <v>74</v>
      </c>
      <c r="BO577" t="s">
        <v>74</v>
      </c>
      <c r="BP577" t="s">
        <v>74</v>
      </c>
      <c r="BQ577" t="s">
        <v>74</v>
      </c>
      <c r="BR577" t="s">
        <v>74</v>
      </c>
      <c r="BS577" t="s">
        <v>5085</v>
      </c>
      <c r="BT577" t="str">
        <f>HYPERLINK("https%3A%2F%2Fwww.webofscience.com%2Fwos%2Fwoscc%2Ffull-record%2FWOS:000580616900047","View Full Record in Web of Science")</f>
        <v>View Full Record in Web of Science</v>
      </c>
    </row>
    <row r="578" spans="1:72" x14ac:dyDescent="0.2">
      <c r="A578" t="s">
        <v>72</v>
      </c>
      <c r="B578" t="s">
        <v>5086</v>
      </c>
      <c r="C578" t="s">
        <v>74</v>
      </c>
      <c r="D578" t="s">
        <v>74</v>
      </c>
      <c r="E578" t="s">
        <v>74</v>
      </c>
      <c r="F578" t="s">
        <v>5087</v>
      </c>
      <c r="G578" t="s">
        <v>74</v>
      </c>
      <c r="H578" t="s">
        <v>74</v>
      </c>
      <c r="I578" t="s">
        <v>5088</v>
      </c>
      <c r="J578" t="s">
        <v>960</v>
      </c>
      <c r="K578" t="s">
        <v>74</v>
      </c>
      <c r="L578" t="s">
        <v>74</v>
      </c>
      <c r="M578" t="s">
        <v>74</v>
      </c>
      <c r="N578" t="s">
        <v>74</v>
      </c>
      <c r="O578" t="s">
        <v>74</v>
      </c>
      <c r="P578" t="s">
        <v>74</v>
      </c>
      <c r="Q578" t="s">
        <v>74</v>
      </c>
      <c r="R578" t="s">
        <v>74</v>
      </c>
      <c r="S578" t="s">
        <v>74</v>
      </c>
      <c r="T578" t="s">
        <v>74</v>
      </c>
      <c r="U578" t="s">
        <v>74</v>
      </c>
      <c r="V578" t="s">
        <v>5089</v>
      </c>
      <c r="W578" t="s">
        <v>74</v>
      </c>
      <c r="X578" t="s">
        <v>74</v>
      </c>
      <c r="Y578" t="s">
        <v>74</v>
      </c>
      <c r="Z578" t="s">
        <v>74</v>
      </c>
      <c r="AA578" t="s">
        <v>5090</v>
      </c>
      <c r="AB578" t="s">
        <v>5091</v>
      </c>
      <c r="AC578" t="s">
        <v>74</v>
      </c>
      <c r="AD578" t="s">
        <v>74</v>
      </c>
      <c r="AE578" t="s">
        <v>74</v>
      </c>
      <c r="AF578" t="s">
        <v>74</v>
      </c>
      <c r="AG578" t="s">
        <v>74</v>
      </c>
      <c r="AH578" t="s">
        <v>74</v>
      </c>
      <c r="AI578" t="s">
        <v>74</v>
      </c>
      <c r="AJ578" t="s">
        <v>74</v>
      </c>
      <c r="AK578" t="s">
        <v>74</v>
      </c>
      <c r="AL578" t="s">
        <v>74</v>
      </c>
      <c r="AM578" t="s">
        <v>74</v>
      </c>
      <c r="AN578" t="s">
        <v>74</v>
      </c>
      <c r="AO578" t="s">
        <v>964</v>
      </c>
      <c r="AP578" t="s">
        <v>74</v>
      </c>
      <c r="AQ578" t="s">
        <v>74</v>
      </c>
      <c r="AR578" t="s">
        <v>74</v>
      </c>
      <c r="AS578" t="s">
        <v>74</v>
      </c>
      <c r="AT578" t="s">
        <v>5092</v>
      </c>
      <c r="AU578">
        <v>2020</v>
      </c>
      <c r="AV578">
        <v>2</v>
      </c>
      <c r="AW578">
        <v>12</v>
      </c>
      <c r="AX578" t="s">
        <v>74</v>
      </c>
      <c r="AY578" t="s">
        <v>74</v>
      </c>
      <c r="AZ578" t="s">
        <v>74</v>
      </c>
      <c r="BA578" t="s">
        <v>74</v>
      </c>
      <c r="BB578">
        <v>5327</v>
      </c>
      <c r="BC578">
        <v>5344</v>
      </c>
      <c r="BD578" t="s">
        <v>74</v>
      </c>
      <c r="BE578" t="s">
        <v>5093</v>
      </c>
      <c r="BF578" t="str">
        <f>HYPERLINK("http://dx.doi.org/10.1021/acsapm.0c00888","http://dx.doi.org/10.1021/acsapm.0c00888")</f>
        <v>http://dx.doi.org/10.1021/acsapm.0c00888</v>
      </c>
      <c r="BG578" t="s">
        <v>74</v>
      </c>
      <c r="BH578" t="s">
        <v>74</v>
      </c>
      <c r="BI578" t="s">
        <v>74</v>
      </c>
      <c r="BJ578" t="s">
        <v>74</v>
      </c>
      <c r="BK578" t="s">
        <v>74</v>
      </c>
      <c r="BL578" t="s">
        <v>74</v>
      </c>
      <c r="BM578" t="s">
        <v>74</v>
      </c>
      <c r="BN578" t="s">
        <v>74</v>
      </c>
      <c r="BO578" t="s">
        <v>74</v>
      </c>
      <c r="BP578" t="s">
        <v>74</v>
      </c>
      <c r="BQ578" t="s">
        <v>74</v>
      </c>
      <c r="BR578" t="s">
        <v>74</v>
      </c>
      <c r="BS578" t="s">
        <v>5094</v>
      </c>
      <c r="BT578" t="str">
        <f>HYPERLINK("https%3A%2F%2Fwww.webofscience.com%2Fwos%2Fwoscc%2Ffull-record%2FWOS:000599602200001","View Full Record in Web of Science")</f>
        <v>View Full Record in Web of Science</v>
      </c>
    </row>
    <row r="579" spans="1:72" x14ac:dyDescent="0.2">
      <c r="A579" t="s">
        <v>72</v>
      </c>
      <c r="B579" t="s">
        <v>5095</v>
      </c>
      <c r="C579" t="s">
        <v>74</v>
      </c>
      <c r="D579" t="s">
        <v>74</v>
      </c>
      <c r="E579" t="s">
        <v>74</v>
      </c>
      <c r="F579" t="s">
        <v>5096</v>
      </c>
      <c r="G579" t="s">
        <v>74</v>
      </c>
      <c r="H579" t="s">
        <v>74</v>
      </c>
      <c r="I579" t="s">
        <v>5097</v>
      </c>
      <c r="J579" t="s">
        <v>341</v>
      </c>
      <c r="K579" t="s">
        <v>74</v>
      </c>
      <c r="L579" t="s">
        <v>74</v>
      </c>
      <c r="M579" t="s">
        <v>74</v>
      </c>
      <c r="N579" t="s">
        <v>74</v>
      </c>
      <c r="O579" t="s">
        <v>74</v>
      </c>
      <c r="P579" t="s">
        <v>74</v>
      </c>
      <c r="Q579" t="s">
        <v>74</v>
      </c>
      <c r="R579" t="s">
        <v>74</v>
      </c>
      <c r="S579" t="s">
        <v>74</v>
      </c>
      <c r="T579" t="s">
        <v>74</v>
      </c>
      <c r="U579" t="s">
        <v>74</v>
      </c>
      <c r="V579" t="s">
        <v>5098</v>
      </c>
      <c r="W579" t="s">
        <v>74</v>
      </c>
      <c r="X579" t="s">
        <v>74</v>
      </c>
      <c r="Y579" t="s">
        <v>74</v>
      </c>
      <c r="Z579" t="s">
        <v>74</v>
      </c>
      <c r="AA579" t="s">
        <v>5099</v>
      </c>
      <c r="AB579" t="s">
        <v>74</v>
      </c>
      <c r="AC579" t="s">
        <v>74</v>
      </c>
      <c r="AD579" t="s">
        <v>74</v>
      </c>
      <c r="AE579" t="s">
        <v>74</v>
      </c>
      <c r="AF579" t="s">
        <v>74</v>
      </c>
      <c r="AG579" t="s">
        <v>74</v>
      </c>
      <c r="AH579" t="s">
        <v>74</v>
      </c>
      <c r="AI579" t="s">
        <v>74</v>
      </c>
      <c r="AJ579" t="s">
        <v>74</v>
      </c>
      <c r="AK579" t="s">
        <v>74</v>
      </c>
      <c r="AL579" t="s">
        <v>74</v>
      </c>
      <c r="AM579" t="s">
        <v>74</v>
      </c>
      <c r="AN579" t="s">
        <v>74</v>
      </c>
      <c r="AO579" t="s">
        <v>344</v>
      </c>
      <c r="AP579" t="s">
        <v>345</v>
      </c>
      <c r="AQ579" t="s">
        <v>74</v>
      </c>
      <c r="AR579" t="s">
        <v>74</v>
      </c>
      <c r="AS579" t="s">
        <v>74</v>
      </c>
      <c r="AT579" t="s">
        <v>1026</v>
      </c>
      <c r="AU579">
        <v>2021</v>
      </c>
      <c r="AV579">
        <v>9</v>
      </c>
      <c r="AW579">
        <v>2</v>
      </c>
      <c r="AX579" t="s">
        <v>74</v>
      </c>
      <c r="AY579" t="s">
        <v>74</v>
      </c>
      <c r="AZ579" t="s">
        <v>74</v>
      </c>
      <c r="BA579" t="s">
        <v>74</v>
      </c>
      <c r="BB579" t="s">
        <v>74</v>
      </c>
      <c r="BC579" t="s">
        <v>74</v>
      </c>
      <c r="BD579">
        <v>2000721</v>
      </c>
      <c r="BE579" t="s">
        <v>5100</v>
      </c>
      <c r="BF579" t="str">
        <f>HYPERLINK("http://dx.doi.org/10.1002/ente.202000721","http://dx.doi.org/10.1002/ente.202000721")</f>
        <v>http://dx.doi.org/10.1002/ente.202000721</v>
      </c>
      <c r="BG579" t="s">
        <v>74</v>
      </c>
      <c r="BH579" t="s">
        <v>5101</v>
      </c>
      <c r="BI579" t="s">
        <v>74</v>
      </c>
      <c r="BJ579" t="s">
        <v>74</v>
      </c>
      <c r="BK579" t="s">
        <v>74</v>
      </c>
      <c r="BL579" t="s">
        <v>74</v>
      </c>
      <c r="BM579" t="s">
        <v>74</v>
      </c>
      <c r="BN579" t="s">
        <v>74</v>
      </c>
      <c r="BO579" t="s">
        <v>74</v>
      </c>
      <c r="BP579" t="s">
        <v>74</v>
      </c>
      <c r="BQ579" t="s">
        <v>74</v>
      </c>
      <c r="BR579" t="s">
        <v>74</v>
      </c>
      <c r="BS579" t="s">
        <v>5102</v>
      </c>
      <c r="BT579" t="str">
        <f>HYPERLINK("https%3A%2F%2Fwww.webofscience.com%2Fwos%2Fwoscc%2Ffull-record%2FWOS:000597656100001","View Full Record in Web of Science")</f>
        <v>View Full Record in Web of Science</v>
      </c>
    </row>
    <row r="580" spans="1:72" x14ac:dyDescent="0.2">
      <c r="A580" t="s">
        <v>72</v>
      </c>
      <c r="B580" t="s">
        <v>5103</v>
      </c>
      <c r="C580" t="s">
        <v>74</v>
      </c>
      <c r="D580" t="s">
        <v>74</v>
      </c>
      <c r="E580" t="s">
        <v>74</v>
      </c>
      <c r="F580" t="s">
        <v>5104</v>
      </c>
      <c r="G580" t="s">
        <v>74</v>
      </c>
      <c r="H580" t="s">
        <v>74</v>
      </c>
      <c r="I580" t="s">
        <v>5105</v>
      </c>
      <c r="J580" t="s">
        <v>1256</v>
      </c>
      <c r="K580" t="s">
        <v>74</v>
      </c>
      <c r="L580" t="s">
        <v>74</v>
      </c>
      <c r="M580" t="s">
        <v>74</v>
      </c>
      <c r="N580" t="s">
        <v>74</v>
      </c>
      <c r="O580" t="s">
        <v>74</v>
      </c>
      <c r="P580" t="s">
        <v>74</v>
      </c>
      <c r="Q580" t="s">
        <v>74</v>
      </c>
      <c r="R580" t="s">
        <v>74</v>
      </c>
      <c r="S580" t="s">
        <v>74</v>
      </c>
      <c r="T580" t="s">
        <v>74</v>
      </c>
      <c r="U580" t="s">
        <v>74</v>
      </c>
      <c r="V580" t="s">
        <v>5106</v>
      </c>
      <c r="W580" t="s">
        <v>74</v>
      </c>
      <c r="X580" t="s">
        <v>74</v>
      </c>
      <c r="Y580" t="s">
        <v>74</v>
      </c>
      <c r="Z580" t="s">
        <v>74</v>
      </c>
      <c r="AA580" t="s">
        <v>5107</v>
      </c>
      <c r="AB580" t="s">
        <v>5108</v>
      </c>
      <c r="AC580" t="s">
        <v>74</v>
      </c>
      <c r="AD580" t="s">
        <v>74</v>
      </c>
      <c r="AE580" t="s">
        <v>74</v>
      </c>
      <c r="AF580" t="s">
        <v>74</v>
      </c>
      <c r="AG580" t="s">
        <v>74</v>
      </c>
      <c r="AH580" t="s">
        <v>74</v>
      </c>
      <c r="AI580" t="s">
        <v>74</v>
      </c>
      <c r="AJ580" t="s">
        <v>74</v>
      </c>
      <c r="AK580" t="s">
        <v>74</v>
      </c>
      <c r="AL580" t="s">
        <v>74</v>
      </c>
      <c r="AM580" t="s">
        <v>74</v>
      </c>
      <c r="AN580" t="s">
        <v>74</v>
      </c>
      <c r="AO580" t="s">
        <v>1258</v>
      </c>
      <c r="AP580" t="s">
        <v>1259</v>
      </c>
      <c r="AQ580" t="s">
        <v>74</v>
      </c>
      <c r="AR580" t="s">
        <v>74</v>
      </c>
      <c r="AS580" t="s">
        <v>74</v>
      </c>
      <c r="AT580" t="s">
        <v>5109</v>
      </c>
      <c r="AU580">
        <v>2020</v>
      </c>
      <c r="AV580">
        <v>363</v>
      </c>
      <c r="AW580" t="s">
        <v>74</v>
      </c>
      <c r="AX580" t="s">
        <v>74</v>
      </c>
      <c r="AY580" t="s">
        <v>74</v>
      </c>
      <c r="AZ580" t="s">
        <v>74</v>
      </c>
      <c r="BA580" t="s">
        <v>74</v>
      </c>
      <c r="BB580" t="s">
        <v>74</v>
      </c>
      <c r="BC580" t="s">
        <v>74</v>
      </c>
      <c r="BD580">
        <v>137209</v>
      </c>
      <c r="BE580" t="s">
        <v>5110</v>
      </c>
      <c r="BF580" t="str">
        <f>HYPERLINK("http://dx.doi.org/10.1016/j.electacta.2020.137209","http://dx.doi.org/10.1016/j.electacta.2020.137209")</f>
        <v>http://dx.doi.org/10.1016/j.electacta.2020.137209</v>
      </c>
      <c r="BG580" t="s">
        <v>74</v>
      </c>
      <c r="BH580" t="s">
        <v>74</v>
      </c>
      <c r="BI580" t="s">
        <v>74</v>
      </c>
      <c r="BJ580" t="s">
        <v>74</v>
      </c>
      <c r="BK580" t="s">
        <v>74</v>
      </c>
      <c r="BL580" t="s">
        <v>74</v>
      </c>
      <c r="BM580" t="s">
        <v>74</v>
      </c>
      <c r="BN580" t="s">
        <v>74</v>
      </c>
      <c r="BO580" t="s">
        <v>74</v>
      </c>
      <c r="BP580" t="s">
        <v>74</v>
      </c>
      <c r="BQ580" t="s">
        <v>74</v>
      </c>
      <c r="BR580" t="s">
        <v>74</v>
      </c>
      <c r="BS580" t="s">
        <v>5111</v>
      </c>
      <c r="BT580" t="str">
        <f>HYPERLINK("https%3A%2F%2Fwww.webofscience.com%2Fwos%2Fwoscc%2Ffull-record%2FWOS:000588282800023","View Full Record in Web of Science")</f>
        <v>View Full Record in Web of Science</v>
      </c>
    </row>
    <row r="581" spans="1:72" x14ac:dyDescent="0.2">
      <c r="A581" t="s">
        <v>72</v>
      </c>
      <c r="B581" t="s">
        <v>5112</v>
      </c>
      <c r="C581" t="s">
        <v>74</v>
      </c>
      <c r="D581" t="s">
        <v>74</v>
      </c>
      <c r="E581" t="s">
        <v>74</v>
      </c>
      <c r="F581" t="s">
        <v>5113</v>
      </c>
      <c r="G581" t="s">
        <v>74</v>
      </c>
      <c r="H581" t="s">
        <v>74</v>
      </c>
      <c r="I581" t="s">
        <v>5114</v>
      </c>
      <c r="J581" t="s">
        <v>1728</v>
      </c>
      <c r="K581" t="s">
        <v>74</v>
      </c>
      <c r="L581" t="s">
        <v>74</v>
      </c>
      <c r="M581" t="s">
        <v>74</v>
      </c>
      <c r="N581" t="s">
        <v>74</v>
      </c>
      <c r="O581" t="s">
        <v>74</v>
      </c>
      <c r="P581" t="s">
        <v>74</v>
      </c>
      <c r="Q581" t="s">
        <v>74</v>
      </c>
      <c r="R581" t="s">
        <v>74</v>
      </c>
      <c r="S581" t="s">
        <v>74</v>
      </c>
      <c r="T581" t="s">
        <v>74</v>
      </c>
      <c r="U581" t="s">
        <v>74</v>
      </c>
      <c r="V581" t="s">
        <v>5115</v>
      </c>
      <c r="W581" t="s">
        <v>74</v>
      </c>
      <c r="X581" t="s">
        <v>74</v>
      </c>
      <c r="Y581" t="s">
        <v>74</v>
      </c>
      <c r="Z581" t="s">
        <v>74</v>
      </c>
      <c r="AA581" t="s">
        <v>5116</v>
      </c>
      <c r="AB581" t="s">
        <v>74</v>
      </c>
      <c r="AC581" t="s">
        <v>74</v>
      </c>
      <c r="AD581" t="s">
        <v>74</v>
      </c>
      <c r="AE581" t="s">
        <v>74</v>
      </c>
      <c r="AF581" t="s">
        <v>74</v>
      </c>
      <c r="AG581" t="s">
        <v>74</v>
      </c>
      <c r="AH581" t="s">
        <v>74</v>
      </c>
      <c r="AI581" t="s">
        <v>74</v>
      </c>
      <c r="AJ581" t="s">
        <v>74</v>
      </c>
      <c r="AK581" t="s">
        <v>74</v>
      </c>
      <c r="AL581" t="s">
        <v>74</v>
      </c>
      <c r="AM581" t="s">
        <v>74</v>
      </c>
      <c r="AN581" t="s">
        <v>74</v>
      </c>
      <c r="AO581" t="s">
        <v>1731</v>
      </c>
      <c r="AP581" t="s">
        <v>1732</v>
      </c>
      <c r="AQ581" t="s">
        <v>74</v>
      </c>
      <c r="AR581" t="s">
        <v>74</v>
      </c>
      <c r="AS581" t="s">
        <v>74</v>
      </c>
      <c r="AT581" t="s">
        <v>368</v>
      </c>
      <c r="AU581">
        <v>2021</v>
      </c>
      <c r="AV581">
        <v>14</v>
      </c>
      <c r="AW581">
        <v>7</v>
      </c>
      <c r="AX581" t="s">
        <v>74</v>
      </c>
      <c r="AY581" t="s">
        <v>74</v>
      </c>
      <c r="AZ581" t="s">
        <v>74</v>
      </c>
      <c r="BA581" t="s">
        <v>74</v>
      </c>
      <c r="BB581">
        <v>2424</v>
      </c>
      <c r="BC581">
        <v>2431</v>
      </c>
      <c r="BD581" t="s">
        <v>74</v>
      </c>
      <c r="BE581" t="s">
        <v>5117</v>
      </c>
      <c r="BF581" t="str">
        <f>HYPERLINK("http://dx.doi.org/10.1007/s12274-020-3245-3","http://dx.doi.org/10.1007/s12274-020-3245-3")</f>
        <v>http://dx.doi.org/10.1007/s12274-020-3245-3</v>
      </c>
      <c r="BG581" t="s">
        <v>74</v>
      </c>
      <c r="BH581" t="s">
        <v>5101</v>
      </c>
      <c r="BI581" t="s">
        <v>74</v>
      </c>
      <c r="BJ581" t="s">
        <v>74</v>
      </c>
      <c r="BK581" t="s">
        <v>74</v>
      </c>
      <c r="BL581" t="s">
        <v>74</v>
      </c>
      <c r="BM581" t="s">
        <v>74</v>
      </c>
      <c r="BN581" t="s">
        <v>74</v>
      </c>
      <c r="BO581" t="s">
        <v>74</v>
      </c>
      <c r="BP581" t="s">
        <v>74</v>
      </c>
      <c r="BQ581" t="s">
        <v>74</v>
      </c>
      <c r="BR581" t="s">
        <v>74</v>
      </c>
      <c r="BS581" t="s">
        <v>5118</v>
      </c>
      <c r="BT581" t="str">
        <f>HYPERLINK("https%3A%2F%2Fwww.webofscience.com%2Fwos%2Fwoscc%2Ffull-record%2FWOS:000599059500001","View Full Record in Web of Science")</f>
        <v>View Full Record in Web of Science</v>
      </c>
    </row>
    <row r="582" spans="1:72" x14ac:dyDescent="0.2">
      <c r="A582" t="s">
        <v>72</v>
      </c>
      <c r="B582" t="s">
        <v>5119</v>
      </c>
      <c r="C582" t="s">
        <v>74</v>
      </c>
      <c r="D582" t="s">
        <v>74</v>
      </c>
      <c r="E582" t="s">
        <v>74</v>
      </c>
      <c r="F582" t="s">
        <v>5120</v>
      </c>
      <c r="G582" t="s">
        <v>74</v>
      </c>
      <c r="H582" t="s">
        <v>74</v>
      </c>
      <c r="I582" t="s">
        <v>5121</v>
      </c>
      <c r="J582" t="s">
        <v>895</v>
      </c>
      <c r="K582" t="s">
        <v>74</v>
      </c>
      <c r="L582" t="s">
        <v>74</v>
      </c>
      <c r="M582" t="s">
        <v>74</v>
      </c>
      <c r="N582" t="s">
        <v>74</v>
      </c>
      <c r="O582" t="s">
        <v>74</v>
      </c>
      <c r="P582" t="s">
        <v>74</v>
      </c>
      <c r="Q582" t="s">
        <v>74</v>
      </c>
      <c r="R582" t="s">
        <v>74</v>
      </c>
      <c r="S582" t="s">
        <v>74</v>
      </c>
      <c r="T582" t="s">
        <v>74</v>
      </c>
      <c r="U582" t="s">
        <v>74</v>
      </c>
      <c r="V582" t="s">
        <v>5122</v>
      </c>
      <c r="W582" t="s">
        <v>74</v>
      </c>
      <c r="X582" t="s">
        <v>74</v>
      </c>
      <c r="Y582" t="s">
        <v>74</v>
      </c>
      <c r="Z582" t="s">
        <v>74</v>
      </c>
      <c r="AA582" t="s">
        <v>5123</v>
      </c>
      <c r="AB582" t="s">
        <v>5124</v>
      </c>
      <c r="AC582" t="s">
        <v>74</v>
      </c>
      <c r="AD582" t="s">
        <v>74</v>
      </c>
      <c r="AE582" t="s">
        <v>74</v>
      </c>
      <c r="AF582" t="s">
        <v>74</v>
      </c>
      <c r="AG582" t="s">
        <v>74</v>
      </c>
      <c r="AH582" t="s">
        <v>74</v>
      </c>
      <c r="AI582" t="s">
        <v>74</v>
      </c>
      <c r="AJ582" t="s">
        <v>74</v>
      </c>
      <c r="AK582" t="s">
        <v>74</v>
      </c>
      <c r="AL582" t="s">
        <v>74</v>
      </c>
      <c r="AM582" t="s">
        <v>74</v>
      </c>
      <c r="AN582" t="s">
        <v>74</v>
      </c>
      <c r="AO582" t="s">
        <v>899</v>
      </c>
      <c r="AP582" t="s">
        <v>900</v>
      </c>
      <c r="AQ582" t="s">
        <v>74</v>
      </c>
      <c r="AR582" t="s">
        <v>74</v>
      </c>
      <c r="AS582" t="s">
        <v>74</v>
      </c>
      <c r="AT582" t="s">
        <v>2571</v>
      </c>
      <c r="AU582">
        <v>2020</v>
      </c>
      <c r="AV582">
        <v>13</v>
      </c>
      <c r="AW582">
        <v>12</v>
      </c>
      <c r="AX582" t="s">
        <v>74</v>
      </c>
      <c r="AY582" t="s">
        <v>74</v>
      </c>
      <c r="AZ582" t="s">
        <v>74</v>
      </c>
      <c r="BA582" t="s">
        <v>74</v>
      </c>
      <c r="BB582">
        <v>5048</v>
      </c>
      <c r="BC582">
        <v>5058</v>
      </c>
      <c r="BD582" t="s">
        <v>74</v>
      </c>
      <c r="BE582" t="s">
        <v>5125</v>
      </c>
      <c r="BF582" t="str">
        <f>HYPERLINK("http://dx.doi.org/10.1039/d0ee01569e","http://dx.doi.org/10.1039/d0ee01569e")</f>
        <v>http://dx.doi.org/10.1039/d0ee01569e</v>
      </c>
      <c r="BG582" t="s">
        <v>74</v>
      </c>
      <c r="BH582" t="s">
        <v>74</v>
      </c>
      <c r="BI582" t="s">
        <v>74</v>
      </c>
      <c r="BJ582" t="s">
        <v>74</v>
      </c>
      <c r="BK582" t="s">
        <v>74</v>
      </c>
      <c r="BL582" t="s">
        <v>74</v>
      </c>
      <c r="BM582" t="s">
        <v>74</v>
      </c>
      <c r="BN582" t="s">
        <v>74</v>
      </c>
      <c r="BO582" t="s">
        <v>74</v>
      </c>
      <c r="BP582" t="s">
        <v>74</v>
      </c>
      <c r="BQ582" t="s">
        <v>74</v>
      </c>
      <c r="BR582" t="s">
        <v>74</v>
      </c>
      <c r="BS582" t="s">
        <v>5126</v>
      </c>
      <c r="BT582" t="str">
        <f>HYPERLINK("https%3A%2F%2Fwww.webofscience.com%2Fwos%2Fwoscc%2Ffull-record%2FWOS:000599751100032","View Full Record in Web of Science")</f>
        <v>View Full Record in Web of Science</v>
      </c>
    </row>
    <row r="583" spans="1:72" x14ac:dyDescent="0.2">
      <c r="A583" t="s">
        <v>72</v>
      </c>
      <c r="B583" t="s">
        <v>5127</v>
      </c>
      <c r="C583" t="s">
        <v>74</v>
      </c>
      <c r="D583" t="s">
        <v>74</v>
      </c>
      <c r="E583" t="s">
        <v>74</v>
      </c>
      <c r="F583" t="s">
        <v>5128</v>
      </c>
      <c r="G583" t="s">
        <v>74</v>
      </c>
      <c r="H583" t="s">
        <v>74</v>
      </c>
      <c r="I583" t="s">
        <v>5129</v>
      </c>
      <c r="J583" t="s">
        <v>151</v>
      </c>
      <c r="K583" t="s">
        <v>74</v>
      </c>
      <c r="L583" t="s">
        <v>74</v>
      </c>
      <c r="M583" t="s">
        <v>74</v>
      </c>
      <c r="N583" t="s">
        <v>74</v>
      </c>
      <c r="O583" t="s">
        <v>74</v>
      </c>
      <c r="P583" t="s">
        <v>74</v>
      </c>
      <c r="Q583" t="s">
        <v>74</v>
      </c>
      <c r="R583" t="s">
        <v>74</v>
      </c>
      <c r="S583" t="s">
        <v>74</v>
      </c>
      <c r="T583" t="s">
        <v>74</v>
      </c>
      <c r="U583" t="s">
        <v>74</v>
      </c>
      <c r="V583" t="s">
        <v>5130</v>
      </c>
      <c r="W583" t="s">
        <v>74</v>
      </c>
      <c r="X583" t="s">
        <v>74</v>
      </c>
      <c r="Y583" t="s">
        <v>74</v>
      </c>
      <c r="Z583" t="s">
        <v>74</v>
      </c>
      <c r="AA583" t="s">
        <v>5131</v>
      </c>
      <c r="AB583" t="s">
        <v>5132</v>
      </c>
      <c r="AC583" t="s">
        <v>74</v>
      </c>
      <c r="AD583" t="s">
        <v>74</v>
      </c>
      <c r="AE583" t="s">
        <v>74</v>
      </c>
      <c r="AF583" t="s">
        <v>74</v>
      </c>
      <c r="AG583" t="s">
        <v>74</v>
      </c>
      <c r="AH583" t="s">
        <v>74</v>
      </c>
      <c r="AI583" t="s">
        <v>74</v>
      </c>
      <c r="AJ583" t="s">
        <v>74</v>
      </c>
      <c r="AK583" t="s">
        <v>74</v>
      </c>
      <c r="AL583" t="s">
        <v>74</v>
      </c>
      <c r="AM583" t="s">
        <v>74</v>
      </c>
      <c r="AN583" t="s">
        <v>74</v>
      </c>
      <c r="AO583" t="s">
        <v>153</v>
      </c>
      <c r="AP583" t="s">
        <v>74</v>
      </c>
      <c r="AQ583" t="s">
        <v>74</v>
      </c>
      <c r="AR583" t="s">
        <v>74</v>
      </c>
      <c r="AS583" t="s">
        <v>74</v>
      </c>
      <c r="AT583" t="s">
        <v>1318</v>
      </c>
      <c r="AU583">
        <v>2020</v>
      </c>
      <c r="AV583">
        <v>33</v>
      </c>
      <c r="AW583" t="s">
        <v>74</v>
      </c>
      <c r="AX583" t="s">
        <v>74</v>
      </c>
      <c r="AY583" t="s">
        <v>74</v>
      </c>
      <c r="AZ583" t="s">
        <v>74</v>
      </c>
      <c r="BA583" t="s">
        <v>74</v>
      </c>
      <c r="BB583">
        <v>416</v>
      </c>
      <c r="BC583">
        <v>422</v>
      </c>
      <c r="BD583" t="s">
        <v>74</v>
      </c>
      <c r="BE583" t="s">
        <v>5133</v>
      </c>
      <c r="BF583" t="str">
        <f>HYPERLINK("http://dx.doi.org/10.1016/j.ensm.2020.08.018","http://dx.doi.org/10.1016/j.ensm.2020.08.018")</f>
        <v>http://dx.doi.org/10.1016/j.ensm.2020.08.018</v>
      </c>
      <c r="BG583" t="s">
        <v>74</v>
      </c>
      <c r="BH583" t="s">
        <v>74</v>
      </c>
      <c r="BI583" t="s">
        <v>74</v>
      </c>
      <c r="BJ583" t="s">
        <v>74</v>
      </c>
      <c r="BK583" t="s">
        <v>74</v>
      </c>
      <c r="BL583" t="s">
        <v>74</v>
      </c>
      <c r="BM583" t="s">
        <v>74</v>
      </c>
      <c r="BN583" t="s">
        <v>74</v>
      </c>
      <c r="BO583" t="s">
        <v>74</v>
      </c>
      <c r="BP583" t="s">
        <v>74</v>
      </c>
      <c r="BQ583" t="s">
        <v>74</v>
      </c>
      <c r="BR583" t="s">
        <v>74</v>
      </c>
      <c r="BS583" t="s">
        <v>5134</v>
      </c>
      <c r="BT583" t="str">
        <f>HYPERLINK("https%3A%2F%2Fwww.webofscience.com%2Fwos%2Fwoscc%2Ffull-record%2FWOS:000599505100008","View Full Record in Web of Science")</f>
        <v>View Full Record in Web of Science</v>
      </c>
    </row>
    <row r="584" spans="1:72" x14ac:dyDescent="0.2">
      <c r="A584" t="s">
        <v>72</v>
      </c>
      <c r="B584" t="s">
        <v>5135</v>
      </c>
      <c r="C584" t="s">
        <v>74</v>
      </c>
      <c r="D584" t="s">
        <v>74</v>
      </c>
      <c r="E584" t="s">
        <v>74</v>
      </c>
      <c r="F584" t="s">
        <v>5136</v>
      </c>
      <c r="G584" t="s">
        <v>74</v>
      </c>
      <c r="H584" t="s">
        <v>74</v>
      </c>
      <c r="I584" t="s">
        <v>5137</v>
      </c>
      <c r="J584" t="s">
        <v>5138</v>
      </c>
      <c r="K584" t="s">
        <v>74</v>
      </c>
      <c r="L584" t="s">
        <v>74</v>
      </c>
      <c r="M584" t="s">
        <v>74</v>
      </c>
      <c r="N584" t="s">
        <v>74</v>
      </c>
      <c r="O584" t="s">
        <v>74</v>
      </c>
      <c r="P584" t="s">
        <v>74</v>
      </c>
      <c r="Q584" t="s">
        <v>74</v>
      </c>
      <c r="R584" t="s">
        <v>74</v>
      </c>
      <c r="S584" t="s">
        <v>74</v>
      </c>
      <c r="T584" t="s">
        <v>74</v>
      </c>
      <c r="U584" t="s">
        <v>74</v>
      </c>
      <c r="V584" t="s">
        <v>5139</v>
      </c>
      <c r="W584" t="s">
        <v>74</v>
      </c>
      <c r="X584" t="s">
        <v>74</v>
      </c>
      <c r="Y584" t="s">
        <v>74</v>
      </c>
      <c r="Z584" t="s">
        <v>74</v>
      </c>
      <c r="AA584" t="s">
        <v>5140</v>
      </c>
      <c r="AB584" t="s">
        <v>5141</v>
      </c>
      <c r="AC584" t="s">
        <v>74</v>
      </c>
      <c r="AD584" t="s">
        <v>74</v>
      </c>
      <c r="AE584" t="s">
        <v>74</v>
      </c>
      <c r="AF584" t="s">
        <v>74</v>
      </c>
      <c r="AG584" t="s">
        <v>74</v>
      </c>
      <c r="AH584" t="s">
        <v>74</v>
      </c>
      <c r="AI584" t="s">
        <v>74</v>
      </c>
      <c r="AJ584" t="s">
        <v>74</v>
      </c>
      <c r="AK584" t="s">
        <v>74</v>
      </c>
      <c r="AL584" t="s">
        <v>74</v>
      </c>
      <c r="AM584" t="s">
        <v>74</v>
      </c>
      <c r="AN584" t="s">
        <v>74</v>
      </c>
      <c r="AO584" t="s">
        <v>5142</v>
      </c>
      <c r="AP584" t="s">
        <v>5143</v>
      </c>
      <c r="AQ584" t="s">
        <v>74</v>
      </c>
      <c r="AR584" t="s">
        <v>74</v>
      </c>
      <c r="AS584" t="s">
        <v>74</v>
      </c>
      <c r="AT584" t="s">
        <v>1318</v>
      </c>
      <c r="AU584">
        <v>2020</v>
      </c>
      <c r="AV584">
        <v>240</v>
      </c>
      <c r="AW584" t="s">
        <v>74</v>
      </c>
      <c r="AX584" t="s">
        <v>74</v>
      </c>
      <c r="AY584" t="s">
        <v>74</v>
      </c>
      <c r="AZ584" t="s">
        <v>74</v>
      </c>
      <c r="BA584" t="s">
        <v>74</v>
      </c>
      <c r="BB584" t="s">
        <v>74</v>
      </c>
      <c r="BC584" t="s">
        <v>74</v>
      </c>
      <c r="BD584">
        <v>109672</v>
      </c>
      <c r="BE584" t="s">
        <v>5144</v>
      </c>
      <c r="BF584" t="str">
        <f>HYPERLINK("http://dx.doi.org/10.1016/j.jfluchem.2020.109672","http://dx.doi.org/10.1016/j.jfluchem.2020.109672")</f>
        <v>http://dx.doi.org/10.1016/j.jfluchem.2020.109672</v>
      </c>
      <c r="BG584" t="s">
        <v>74</v>
      </c>
      <c r="BH584" t="s">
        <v>74</v>
      </c>
      <c r="BI584" t="s">
        <v>74</v>
      </c>
      <c r="BJ584" t="s">
        <v>74</v>
      </c>
      <c r="BK584" t="s">
        <v>74</v>
      </c>
      <c r="BL584" t="s">
        <v>74</v>
      </c>
      <c r="BM584" t="s">
        <v>74</v>
      </c>
      <c r="BN584" t="s">
        <v>74</v>
      </c>
      <c r="BO584" t="s">
        <v>74</v>
      </c>
      <c r="BP584" t="s">
        <v>74</v>
      </c>
      <c r="BQ584" t="s">
        <v>74</v>
      </c>
      <c r="BR584" t="s">
        <v>74</v>
      </c>
      <c r="BS584" t="s">
        <v>5145</v>
      </c>
      <c r="BT584" t="str">
        <f>HYPERLINK("https%3A%2F%2Fwww.webofscience.com%2Fwos%2Fwoscc%2Ffull-record%2FWOS:000590770200007","View Full Record in Web of Science")</f>
        <v>View Full Record in Web of Science</v>
      </c>
    </row>
    <row r="585" spans="1:72" x14ac:dyDescent="0.2">
      <c r="A585" t="s">
        <v>72</v>
      </c>
      <c r="B585" t="s">
        <v>5146</v>
      </c>
      <c r="C585" t="s">
        <v>74</v>
      </c>
      <c r="D585" t="s">
        <v>74</v>
      </c>
      <c r="E585" t="s">
        <v>74</v>
      </c>
      <c r="F585" t="s">
        <v>5147</v>
      </c>
      <c r="G585" t="s">
        <v>74</v>
      </c>
      <c r="H585" t="s">
        <v>74</v>
      </c>
      <c r="I585" t="s">
        <v>5148</v>
      </c>
      <c r="J585" t="s">
        <v>665</v>
      </c>
      <c r="K585" t="s">
        <v>74</v>
      </c>
      <c r="L585" t="s">
        <v>74</v>
      </c>
      <c r="M585" t="s">
        <v>74</v>
      </c>
      <c r="N585" t="s">
        <v>74</v>
      </c>
      <c r="O585" t="s">
        <v>74</v>
      </c>
      <c r="P585" t="s">
        <v>74</v>
      </c>
      <c r="Q585" t="s">
        <v>74</v>
      </c>
      <c r="R585" t="s">
        <v>74</v>
      </c>
      <c r="S585" t="s">
        <v>74</v>
      </c>
      <c r="T585" t="s">
        <v>74</v>
      </c>
      <c r="U585" t="s">
        <v>74</v>
      </c>
      <c r="V585" t="s">
        <v>5149</v>
      </c>
      <c r="W585" t="s">
        <v>74</v>
      </c>
      <c r="X585" t="s">
        <v>74</v>
      </c>
      <c r="Y585" t="s">
        <v>74</v>
      </c>
      <c r="Z585" t="s">
        <v>74</v>
      </c>
      <c r="AA585" t="s">
        <v>5150</v>
      </c>
      <c r="AB585" t="s">
        <v>5151</v>
      </c>
      <c r="AC585" t="s">
        <v>74</v>
      </c>
      <c r="AD585" t="s">
        <v>74</v>
      </c>
      <c r="AE585" t="s">
        <v>74</v>
      </c>
      <c r="AF585" t="s">
        <v>74</v>
      </c>
      <c r="AG585" t="s">
        <v>74</v>
      </c>
      <c r="AH585" t="s">
        <v>74</v>
      </c>
      <c r="AI585" t="s">
        <v>74</v>
      </c>
      <c r="AJ585" t="s">
        <v>74</v>
      </c>
      <c r="AK585" t="s">
        <v>74</v>
      </c>
      <c r="AL585" t="s">
        <v>74</v>
      </c>
      <c r="AM585" t="s">
        <v>74</v>
      </c>
      <c r="AN585" t="s">
        <v>74</v>
      </c>
      <c r="AO585" t="s">
        <v>668</v>
      </c>
      <c r="AP585" t="s">
        <v>669</v>
      </c>
      <c r="AQ585" t="s">
        <v>74</v>
      </c>
      <c r="AR585" t="s">
        <v>74</v>
      </c>
      <c r="AS585" t="s">
        <v>74</v>
      </c>
      <c r="AT585" t="s">
        <v>2571</v>
      </c>
      <c r="AU585">
        <v>2020</v>
      </c>
      <c r="AV585">
        <v>357</v>
      </c>
      <c r="AW585" t="s">
        <v>74</v>
      </c>
      <c r="AX585" t="s">
        <v>74</v>
      </c>
      <c r="AY585" t="s">
        <v>74</v>
      </c>
      <c r="AZ585" t="s">
        <v>74</v>
      </c>
      <c r="BA585" t="s">
        <v>74</v>
      </c>
      <c r="BB585" t="s">
        <v>74</v>
      </c>
      <c r="BC585" t="s">
        <v>74</v>
      </c>
      <c r="BD585">
        <v>115499</v>
      </c>
      <c r="BE585" t="s">
        <v>5152</v>
      </c>
      <c r="BF585" t="str">
        <f>HYPERLINK("http://dx.doi.org/10.1016/j.ssi.2020.115499","http://dx.doi.org/10.1016/j.ssi.2020.115499")</f>
        <v>http://dx.doi.org/10.1016/j.ssi.2020.115499</v>
      </c>
      <c r="BG585" t="s">
        <v>74</v>
      </c>
      <c r="BH585" t="s">
        <v>74</v>
      </c>
      <c r="BI585" t="s">
        <v>74</v>
      </c>
      <c r="BJ585" t="s">
        <v>74</v>
      </c>
      <c r="BK585" t="s">
        <v>74</v>
      </c>
      <c r="BL585" t="s">
        <v>74</v>
      </c>
      <c r="BM585" t="s">
        <v>74</v>
      </c>
      <c r="BN585" t="s">
        <v>74</v>
      </c>
      <c r="BO585" t="s">
        <v>74</v>
      </c>
      <c r="BP585" t="s">
        <v>74</v>
      </c>
      <c r="BQ585" t="s">
        <v>74</v>
      </c>
      <c r="BR585" t="s">
        <v>74</v>
      </c>
      <c r="BS585" t="s">
        <v>5153</v>
      </c>
      <c r="BT585" t="str">
        <f>HYPERLINK("https%3A%2F%2Fwww.webofscience.com%2Fwos%2Fwoscc%2Ffull-record%2FWOS:000591907000023","View Full Record in Web of Science")</f>
        <v>View Full Record in Web of Science</v>
      </c>
    </row>
    <row r="586" spans="1:72" x14ac:dyDescent="0.2">
      <c r="A586" t="s">
        <v>72</v>
      </c>
      <c r="B586" t="s">
        <v>5154</v>
      </c>
      <c r="C586" t="s">
        <v>74</v>
      </c>
      <c r="D586" t="s">
        <v>74</v>
      </c>
      <c r="E586" t="s">
        <v>74</v>
      </c>
      <c r="F586" t="s">
        <v>5155</v>
      </c>
      <c r="G586" t="s">
        <v>74</v>
      </c>
      <c r="H586" t="s">
        <v>74</v>
      </c>
      <c r="I586" t="s">
        <v>5156</v>
      </c>
      <c r="J586" t="s">
        <v>1293</v>
      </c>
      <c r="K586" t="s">
        <v>74</v>
      </c>
      <c r="L586" t="s">
        <v>74</v>
      </c>
      <c r="M586" t="s">
        <v>74</v>
      </c>
      <c r="N586" t="s">
        <v>74</v>
      </c>
      <c r="O586" t="s">
        <v>74</v>
      </c>
      <c r="P586" t="s">
        <v>74</v>
      </c>
      <c r="Q586" t="s">
        <v>74</v>
      </c>
      <c r="R586" t="s">
        <v>74</v>
      </c>
      <c r="S586" t="s">
        <v>74</v>
      </c>
      <c r="T586" t="s">
        <v>74</v>
      </c>
      <c r="U586" t="s">
        <v>74</v>
      </c>
      <c r="V586" t="s">
        <v>5157</v>
      </c>
      <c r="W586" t="s">
        <v>74</v>
      </c>
      <c r="X586" t="s">
        <v>74</v>
      </c>
      <c r="Y586" t="s">
        <v>74</v>
      </c>
      <c r="Z586" t="s">
        <v>74</v>
      </c>
      <c r="AA586" t="s">
        <v>5158</v>
      </c>
      <c r="AB586" t="s">
        <v>5159</v>
      </c>
      <c r="AC586" t="s">
        <v>74</v>
      </c>
      <c r="AD586" t="s">
        <v>74</v>
      </c>
      <c r="AE586" t="s">
        <v>74</v>
      </c>
      <c r="AF586" t="s">
        <v>74</v>
      </c>
      <c r="AG586" t="s">
        <v>74</v>
      </c>
      <c r="AH586" t="s">
        <v>74</v>
      </c>
      <c r="AI586" t="s">
        <v>74</v>
      </c>
      <c r="AJ586" t="s">
        <v>74</v>
      </c>
      <c r="AK586" t="s">
        <v>74</v>
      </c>
      <c r="AL586" t="s">
        <v>74</v>
      </c>
      <c r="AM586" t="s">
        <v>74</v>
      </c>
      <c r="AN586" t="s">
        <v>74</v>
      </c>
      <c r="AO586" t="s">
        <v>1297</v>
      </c>
      <c r="AP586" t="s">
        <v>1298</v>
      </c>
      <c r="AQ586" t="s">
        <v>74</v>
      </c>
      <c r="AR586" t="s">
        <v>74</v>
      </c>
      <c r="AS586" t="s">
        <v>74</v>
      </c>
      <c r="AT586" t="s">
        <v>2571</v>
      </c>
      <c r="AU586">
        <v>2020</v>
      </c>
      <c r="AV586">
        <v>167</v>
      </c>
      <c r="AW586">
        <v>16</v>
      </c>
      <c r="AX586" t="s">
        <v>74</v>
      </c>
      <c r="AY586" t="s">
        <v>74</v>
      </c>
      <c r="AZ586" t="s">
        <v>74</v>
      </c>
      <c r="BA586" t="s">
        <v>74</v>
      </c>
      <c r="BB586" t="s">
        <v>74</v>
      </c>
      <c r="BC586" t="s">
        <v>74</v>
      </c>
      <c r="BD586">
        <v>160511</v>
      </c>
      <c r="BE586" t="s">
        <v>5160</v>
      </c>
      <c r="BF586" t="str">
        <f>HYPERLINK("http://dx.doi.org/10.1149/1945-7111/abcc2f","http://dx.doi.org/10.1149/1945-7111/abcc2f")</f>
        <v>http://dx.doi.org/10.1149/1945-7111/abcc2f</v>
      </c>
      <c r="BG586" t="s">
        <v>74</v>
      </c>
      <c r="BH586" t="s">
        <v>74</v>
      </c>
      <c r="BI586" t="s">
        <v>74</v>
      </c>
      <c r="BJ586" t="s">
        <v>74</v>
      </c>
      <c r="BK586" t="s">
        <v>74</v>
      </c>
      <c r="BL586" t="s">
        <v>74</v>
      </c>
      <c r="BM586" t="s">
        <v>74</v>
      </c>
      <c r="BN586" t="s">
        <v>74</v>
      </c>
      <c r="BO586" t="s">
        <v>74</v>
      </c>
      <c r="BP586" t="s">
        <v>74</v>
      </c>
      <c r="BQ586" t="s">
        <v>74</v>
      </c>
      <c r="BR586" t="s">
        <v>74</v>
      </c>
      <c r="BS586" t="s">
        <v>5161</v>
      </c>
      <c r="BT586" t="str">
        <f>HYPERLINK("https%3A%2F%2Fwww.webofscience.com%2Fwos%2Fwoscc%2Ffull-record%2FWOS:000596102400001","View Full Record in Web of Science")</f>
        <v>View Full Record in Web of Science</v>
      </c>
    </row>
    <row r="587" spans="1:72" x14ac:dyDescent="0.2">
      <c r="A587" t="s">
        <v>72</v>
      </c>
      <c r="B587" t="s">
        <v>5162</v>
      </c>
      <c r="C587" t="s">
        <v>74</v>
      </c>
      <c r="D587" t="s">
        <v>74</v>
      </c>
      <c r="E587" t="s">
        <v>74</v>
      </c>
      <c r="F587" t="s">
        <v>5163</v>
      </c>
      <c r="G587" t="s">
        <v>74</v>
      </c>
      <c r="H587" t="s">
        <v>74</v>
      </c>
      <c r="I587" t="s">
        <v>5164</v>
      </c>
      <c r="J587" t="s">
        <v>98</v>
      </c>
      <c r="K587" t="s">
        <v>74</v>
      </c>
      <c r="L587" t="s">
        <v>74</v>
      </c>
      <c r="M587" t="s">
        <v>74</v>
      </c>
      <c r="N587" t="s">
        <v>74</v>
      </c>
      <c r="O587" t="s">
        <v>74</v>
      </c>
      <c r="P587" t="s">
        <v>74</v>
      </c>
      <c r="Q587" t="s">
        <v>74</v>
      </c>
      <c r="R587" t="s">
        <v>74</v>
      </c>
      <c r="S587" t="s">
        <v>74</v>
      </c>
      <c r="T587" t="s">
        <v>74</v>
      </c>
      <c r="U587" t="s">
        <v>74</v>
      </c>
      <c r="V587" t="s">
        <v>5165</v>
      </c>
      <c r="W587" t="s">
        <v>74</v>
      </c>
      <c r="X587" t="s">
        <v>74</v>
      </c>
      <c r="Y587" t="s">
        <v>74</v>
      </c>
      <c r="Z587" t="s">
        <v>74</v>
      </c>
      <c r="AA587" t="s">
        <v>5166</v>
      </c>
      <c r="AB587" t="s">
        <v>5167</v>
      </c>
      <c r="AC587" t="s">
        <v>74</v>
      </c>
      <c r="AD587" t="s">
        <v>74</v>
      </c>
      <c r="AE587" t="s">
        <v>74</v>
      </c>
      <c r="AF587" t="s">
        <v>74</v>
      </c>
      <c r="AG587" t="s">
        <v>74</v>
      </c>
      <c r="AH587" t="s">
        <v>74</v>
      </c>
      <c r="AI587" t="s">
        <v>74</v>
      </c>
      <c r="AJ587" t="s">
        <v>74</v>
      </c>
      <c r="AK587" t="s">
        <v>74</v>
      </c>
      <c r="AL587" t="s">
        <v>74</v>
      </c>
      <c r="AM587" t="s">
        <v>74</v>
      </c>
      <c r="AN587" t="s">
        <v>74</v>
      </c>
      <c r="AO587" t="s">
        <v>101</v>
      </c>
      <c r="AP587" t="s">
        <v>102</v>
      </c>
      <c r="AQ587" t="s">
        <v>74</v>
      </c>
      <c r="AR587" t="s">
        <v>74</v>
      </c>
      <c r="AS587" t="s">
        <v>74</v>
      </c>
      <c r="AT587" t="s">
        <v>3442</v>
      </c>
      <c r="AU587">
        <v>2020</v>
      </c>
      <c r="AV587">
        <v>477</v>
      </c>
      <c r="AW587" t="s">
        <v>74</v>
      </c>
      <c r="AX587" t="s">
        <v>74</v>
      </c>
      <c r="AY587" t="s">
        <v>74</v>
      </c>
      <c r="AZ587" t="s">
        <v>74</v>
      </c>
      <c r="BA587" t="s">
        <v>74</v>
      </c>
      <c r="BB587" t="s">
        <v>74</v>
      </c>
      <c r="BC587" t="s">
        <v>74</v>
      </c>
      <c r="BD587">
        <v>228473</v>
      </c>
      <c r="BE587" t="s">
        <v>5168</v>
      </c>
      <c r="BF587" t="str">
        <f>HYPERLINK("http://dx.doi.org/10.1016/j.jpowsour.2020.228473","http://dx.doi.org/10.1016/j.jpowsour.2020.228473")</f>
        <v>http://dx.doi.org/10.1016/j.jpowsour.2020.228473</v>
      </c>
      <c r="BG587" t="s">
        <v>74</v>
      </c>
      <c r="BH587" t="s">
        <v>74</v>
      </c>
      <c r="BI587" t="s">
        <v>74</v>
      </c>
      <c r="BJ587" t="s">
        <v>74</v>
      </c>
      <c r="BK587" t="s">
        <v>74</v>
      </c>
      <c r="BL587" t="s">
        <v>74</v>
      </c>
      <c r="BM587" t="s">
        <v>74</v>
      </c>
      <c r="BN587" t="s">
        <v>74</v>
      </c>
      <c r="BO587" t="s">
        <v>74</v>
      </c>
      <c r="BP587" t="s">
        <v>74</v>
      </c>
      <c r="BQ587" t="s">
        <v>74</v>
      </c>
      <c r="BR587" t="s">
        <v>74</v>
      </c>
      <c r="BS587" t="s">
        <v>5169</v>
      </c>
      <c r="BT587" t="str">
        <f>HYPERLINK("https%3A%2F%2Fwww.webofscience.com%2Fwos%2Fwoscc%2Ffull-record%2FWOS:000582488600002","View Full Record in Web of Science")</f>
        <v>View Full Record in Web of Science</v>
      </c>
    </row>
    <row r="588" spans="1:72" x14ac:dyDescent="0.2">
      <c r="A588" t="s">
        <v>72</v>
      </c>
      <c r="B588" t="s">
        <v>5170</v>
      </c>
      <c r="C588" t="s">
        <v>74</v>
      </c>
      <c r="D588" t="s">
        <v>74</v>
      </c>
      <c r="E588" t="s">
        <v>74</v>
      </c>
      <c r="F588" t="s">
        <v>5171</v>
      </c>
      <c r="G588" t="s">
        <v>74</v>
      </c>
      <c r="H588" t="s">
        <v>74</v>
      </c>
      <c r="I588" t="s">
        <v>5172</v>
      </c>
      <c r="J588" t="s">
        <v>3877</v>
      </c>
      <c r="K588" t="s">
        <v>74</v>
      </c>
      <c r="L588" t="s">
        <v>74</v>
      </c>
      <c r="M588" t="s">
        <v>74</v>
      </c>
      <c r="N588" t="s">
        <v>74</v>
      </c>
      <c r="O588" t="s">
        <v>74</v>
      </c>
      <c r="P588" t="s">
        <v>74</v>
      </c>
      <c r="Q588" t="s">
        <v>74</v>
      </c>
      <c r="R588" t="s">
        <v>74</v>
      </c>
      <c r="S588" t="s">
        <v>74</v>
      </c>
      <c r="T588" t="s">
        <v>74</v>
      </c>
      <c r="U588" t="s">
        <v>74</v>
      </c>
      <c r="V588" t="s">
        <v>5173</v>
      </c>
      <c r="W588" t="s">
        <v>74</v>
      </c>
      <c r="X588" t="s">
        <v>74</v>
      </c>
      <c r="Y588" t="s">
        <v>74</v>
      </c>
      <c r="Z588" t="s">
        <v>74</v>
      </c>
      <c r="AA588" t="s">
        <v>5174</v>
      </c>
      <c r="AB588" t="s">
        <v>5175</v>
      </c>
      <c r="AC588" t="s">
        <v>74</v>
      </c>
      <c r="AD588" t="s">
        <v>74</v>
      </c>
      <c r="AE588" t="s">
        <v>74</v>
      </c>
      <c r="AF588" t="s">
        <v>74</v>
      </c>
      <c r="AG588" t="s">
        <v>74</v>
      </c>
      <c r="AH588" t="s">
        <v>74</v>
      </c>
      <c r="AI588" t="s">
        <v>74</v>
      </c>
      <c r="AJ588" t="s">
        <v>74</v>
      </c>
      <c r="AK588" t="s">
        <v>74</v>
      </c>
      <c r="AL588" t="s">
        <v>74</v>
      </c>
      <c r="AM588" t="s">
        <v>74</v>
      </c>
      <c r="AN588" t="s">
        <v>74</v>
      </c>
      <c r="AO588" t="s">
        <v>3881</v>
      </c>
      <c r="AP588" t="s">
        <v>74</v>
      </c>
      <c r="AQ588" t="s">
        <v>74</v>
      </c>
      <c r="AR588" t="s">
        <v>74</v>
      </c>
      <c r="AS588" t="s">
        <v>74</v>
      </c>
      <c r="AT588" t="s">
        <v>1318</v>
      </c>
      <c r="AU588">
        <v>2020</v>
      </c>
      <c r="AV588">
        <v>5</v>
      </c>
      <c r="AW588">
        <v>12</v>
      </c>
      <c r="AX588" t="s">
        <v>74</v>
      </c>
      <c r="AY588" t="s">
        <v>74</v>
      </c>
      <c r="AZ588" t="s">
        <v>74</v>
      </c>
      <c r="BA588" t="s">
        <v>74</v>
      </c>
      <c r="BB588">
        <v>1043</v>
      </c>
      <c r="BC588">
        <v>1050</v>
      </c>
      <c r="BD588" t="s">
        <v>74</v>
      </c>
      <c r="BE588" t="s">
        <v>5176</v>
      </c>
      <c r="BF588" t="str">
        <f>HYPERLINK("http://dx.doi.org/10.1038/s41560-020-00734-0","http://dx.doi.org/10.1038/s41560-020-00734-0")</f>
        <v>http://dx.doi.org/10.1038/s41560-020-00734-0</v>
      </c>
      <c r="BG588" t="s">
        <v>74</v>
      </c>
      <c r="BH588" t="s">
        <v>5177</v>
      </c>
      <c r="BI588" t="s">
        <v>74</v>
      </c>
      <c r="BJ588" t="s">
        <v>74</v>
      </c>
      <c r="BK588" t="s">
        <v>74</v>
      </c>
      <c r="BL588" t="s">
        <v>74</v>
      </c>
      <c r="BM588" t="s">
        <v>74</v>
      </c>
      <c r="BN588" t="s">
        <v>74</v>
      </c>
      <c r="BO588" t="s">
        <v>74</v>
      </c>
      <c r="BP588" t="s">
        <v>74</v>
      </c>
      <c r="BQ588" t="s">
        <v>74</v>
      </c>
      <c r="BR588" t="s">
        <v>74</v>
      </c>
      <c r="BS588" t="s">
        <v>5178</v>
      </c>
      <c r="BT588" t="str">
        <f>HYPERLINK("https%3A%2F%2Fwww.webofscience.com%2Fwos%2Fwoscc%2Ffull-record%2FWOS:000595285900003","View Full Record in Web of Science")</f>
        <v>View Full Record in Web of Science</v>
      </c>
    </row>
    <row r="589" spans="1:72" x14ac:dyDescent="0.2">
      <c r="A589" t="s">
        <v>72</v>
      </c>
      <c r="B589" t="s">
        <v>5179</v>
      </c>
      <c r="C589" t="s">
        <v>74</v>
      </c>
      <c r="D589" t="s">
        <v>74</v>
      </c>
      <c r="E589" t="s">
        <v>74</v>
      </c>
      <c r="F589" t="s">
        <v>5180</v>
      </c>
      <c r="G589" t="s">
        <v>74</v>
      </c>
      <c r="H589" t="s">
        <v>74</v>
      </c>
      <c r="I589" t="s">
        <v>5181</v>
      </c>
      <c r="J589" t="s">
        <v>3581</v>
      </c>
      <c r="K589" t="s">
        <v>74</v>
      </c>
      <c r="L589" t="s">
        <v>74</v>
      </c>
      <c r="M589" t="s">
        <v>74</v>
      </c>
      <c r="N589" t="s">
        <v>74</v>
      </c>
      <c r="O589" t="s">
        <v>74</v>
      </c>
      <c r="P589" t="s">
        <v>74</v>
      </c>
      <c r="Q589" t="s">
        <v>74</v>
      </c>
      <c r="R589" t="s">
        <v>74</v>
      </c>
      <c r="S589" t="s">
        <v>74</v>
      </c>
      <c r="T589" t="s">
        <v>74</v>
      </c>
      <c r="U589" t="s">
        <v>74</v>
      </c>
      <c r="V589" t="s">
        <v>5182</v>
      </c>
      <c r="W589" t="s">
        <v>74</v>
      </c>
      <c r="X589" t="s">
        <v>74</v>
      </c>
      <c r="Y589" t="s">
        <v>74</v>
      </c>
      <c r="Z589" t="s">
        <v>74</v>
      </c>
      <c r="AA589" t="s">
        <v>5183</v>
      </c>
      <c r="AB589" t="s">
        <v>74</v>
      </c>
      <c r="AC589" t="s">
        <v>74</v>
      </c>
      <c r="AD589" t="s">
        <v>74</v>
      </c>
      <c r="AE589" t="s">
        <v>74</v>
      </c>
      <c r="AF589" t="s">
        <v>74</v>
      </c>
      <c r="AG589" t="s">
        <v>74</v>
      </c>
      <c r="AH589" t="s">
        <v>74</v>
      </c>
      <c r="AI589" t="s">
        <v>74</v>
      </c>
      <c r="AJ589" t="s">
        <v>74</v>
      </c>
      <c r="AK589" t="s">
        <v>74</v>
      </c>
      <c r="AL589" t="s">
        <v>74</v>
      </c>
      <c r="AM589" t="s">
        <v>74</v>
      </c>
      <c r="AN589" t="s">
        <v>74</v>
      </c>
      <c r="AO589" t="s">
        <v>3585</v>
      </c>
      <c r="AP589" t="s">
        <v>3586</v>
      </c>
      <c r="AQ589" t="s">
        <v>74</v>
      </c>
      <c r="AR589" t="s">
        <v>74</v>
      </c>
      <c r="AS589" t="s">
        <v>74</v>
      </c>
      <c r="AT589" t="s">
        <v>5184</v>
      </c>
      <c r="AU589">
        <v>2020</v>
      </c>
      <c r="AV589">
        <v>56</v>
      </c>
      <c r="AW589">
        <v>91</v>
      </c>
      <c r="AX589" t="s">
        <v>74</v>
      </c>
      <c r="AY589" t="s">
        <v>74</v>
      </c>
      <c r="AZ589" t="s">
        <v>74</v>
      </c>
      <c r="BA589" t="s">
        <v>74</v>
      </c>
      <c r="BB589">
        <v>14163</v>
      </c>
      <c r="BC589">
        <v>14166</v>
      </c>
      <c r="BD589" t="s">
        <v>74</v>
      </c>
      <c r="BE589" t="s">
        <v>5185</v>
      </c>
      <c r="BF589" t="str">
        <f>HYPERLINK("http://dx.doi.org/10.1039/d0cc05611a","http://dx.doi.org/10.1039/d0cc05611a")</f>
        <v>http://dx.doi.org/10.1039/d0cc05611a</v>
      </c>
      <c r="BG589" t="s">
        <v>74</v>
      </c>
      <c r="BH589" t="s">
        <v>74</v>
      </c>
      <c r="BI589" t="s">
        <v>74</v>
      </c>
      <c r="BJ589" t="s">
        <v>74</v>
      </c>
      <c r="BK589" t="s">
        <v>74</v>
      </c>
      <c r="BL589" t="s">
        <v>74</v>
      </c>
      <c r="BM589" t="s">
        <v>74</v>
      </c>
      <c r="BN589">
        <v>33079098</v>
      </c>
      <c r="BO589" t="s">
        <v>74</v>
      </c>
      <c r="BP589" t="s">
        <v>74</v>
      </c>
      <c r="BQ589" t="s">
        <v>74</v>
      </c>
      <c r="BR589" t="s">
        <v>74</v>
      </c>
      <c r="BS589" t="s">
        <v>5186</v>
      </c>
      <c r="BT589" t="str">
        <f>HYPERLINK("https%3A%2F%2Fwww.webofscience.com%2Fwos%2Fwoscc%2Ffull-record%2FWOS:000590124000039","View Full Record in Web of Science")</f>
        <v>View Full Record in Web of Science</v>
      </c>
    </row>
    <row r="590" spans="1:72" x14ac:dyDescent="0.2">
      <c r="A590" t="s">
        <v>72</v>
      </c>
      <c r="B590" t="s">
        <v>5187</v>
      </c>
      <c r="C590" t="s">
        <v>74</v>
      </c>
      <c r="D590" t="s">
        <v>74</v>
      </c>
      <c r="E590" t="s">
        <v>74</v>
      </c>
      <c r="F590" t="s">
        <v>5188</v>
      </c>
      <c r="G590" t="s">
        <v>74</v>
      </c>
      <c r="H590" t="s">
        <v>74</v>
      </c>
      <c r="I590" t="s">
        <v>5189</v>
      </c>
      <c r="J590" t="s">
        <v>5190</v>
      </c>
      <c r="K590" t="s">
        <v>74</v>
      </c>
      <c r="L590" t="s">
        <v>74</v>
      </c>
      <c r="M590" t="s">
        <v>74</v>
      </c>
      <c r="N590" t="s">
        <v>74</v>
      </c>
      <c r="O590" t="s">
        <v>74</v>
      </c>
      <c r="P590" t="s">
        <v>74</v>
      </c>
      <c r="Q590" t="s">
        <v>74</v>
      </c>
      <c r="R590" t="s">
        <v>74</v>
      </c>
      <c r="S590" t="s">
        <v>74</v>
      </c>
      <c r="T590" t="s">
        <v>74</v>
      </c>
      <c r="U590" t="s">
        <v>74</v>
      </c>
      <c r="V590" t="s">
        <v>5191</v>
      </c>
      <c r="W590" t="s">
        <v>74</v>
      </c>
      <c r="X590" t="s">
        <v>74</v>
      </c>
      <c r="Y590" t="s">
        <v>74</v>
      </c>
      <c r="Z590" t="s">
        <v>74</v>
      </c>
      <c r="AA590" t="s">
        <v>5192</v>
      </c>
      <c r="AB590" t="s">
        <v>5193</v>
      </c>
      <c r="AC590" t="s">
        <v>74</v>
      </c>
      <c r="AD590" t="s">
        <v>74</v>
      </c>
      <c r="AE590" t="s">
        <v>74</v>
      </c>
      <c r="AF590" t="s">
        <v>74</v>
      </c>
      <c r="AG590" t="s">
        <v>74</v>
      </c>
      <c r="AH590" t="s">
        <v>74</v>
      </c>
      <c r="AI590" t="s">
        <v>74</v>
      </c>
      <c r="AJ590" t="s">
        <v>74</v>
      </c>
      <c r="AK590" t="s">
        <v>74</v>
      </c>
      <c r="AL590" t="s">
        <v>74</v>
      </c>
      <c r="AM590" t="s">
        <v>74</v>
      </c>
      <c r="AN590" t="s">
        <v>74</v>
      </c>
      <c r="AO590" t="s">
        <v>74</v>
      </c>
      <c r="AP590" t="s">
        <v>5194</v>
      </c>
      <c r="AQ590" t="s">
        <v>74</v>
      </c>
      <c r="AR590" t="s">
        <v>74</v>
      </c>
      <c r="AS590" t="s">
        <v>74</v>
      </c>
      <c r="AT590" t="s">
        <v>1376</v>
      </c>
      <c r="AU590">
        <v>2020</v>
      </c>
      <c r="AV590">
        <v>1</v>
      </c>
      <c r="AW590">
        <v>11</v>
      </c>
      <c r="AX590" t="s">
        <v>74</v>
      </c>
      <c r="AY590" t="s">
        <v>74</v>
      </c>
      <c r="AZ590" t="s">
        <v>74</v>
      </c>
      <c r="BA590" t="s">
        <v>74</v>
      </c>
      <c r="BB590" t="s">
        <v>74</v>
      </c>
      <c r="BC590" t="s">
        <v>74</v>
      </c>
      <c r="BD590">
        <v>100246</v>
      </c>
      <c r="BE590" t="s">
        <v>5195</v>
      </c>
      <c r="BF590" t="str">
        <f>HYPERLINK("http://dx.doi.org/10.1016/j.xcrp.2020.100246","http://dx.doi.org/10.1016/j.xcrp.2020.100246")</f>
        <v>http://dx.doi.org/10.1016/j.xcrp.2020.100246</v>
      </c>
      <c r="BG590" t="s">
        <v>74</v>
      </c>
      <c r="BH590" t="s">
        <v>74</v>
      </c>
      <c r="BI590" t="s">
        <v>74</v>
      </c>
      <c r="BJ590" t="s">
        <v>74</v>
      </c>
      <c r="BK590" t="s">
        <v>74</v>
      </c>
      <c r="BL590" t="s">
        <v>74</v>
      </c>
      <c r="BM590" t="s">
        <v>74</v>
      </c>
      <c r="BN590" t="s">
        <v>74</v>
      </c>
      <c r="BO590" t="s">
        <v>74</v>
      </c>
      <c r="BP590" t="s">
        <v>74</v>
      </c>
      <c r="BQ590" t="s">
        <v>74</v>
      </c>
      <c r="BR590" t="s">
        <v>74</v>
      </c>
      <c r="BS590" t="s">
        <v>5196</v>
      </c>
      <c r="BT590" t="str">
        <f>HYPERLINK("https%3A%2F%2Fwww.webofscience.com%2Fwos%2Fwoscc%2Ffull-record%2FWOS:000658756600014","View Full Record in Web of Science")</f>
        <v>View Full Record in Web of Science</v>
      </c>
    </row>
    <row r="591" spans="1:72" x14ac:dyDescent="0.2">
      <c r="A591" t="s">
        <v>72</v>
      </c>
      <c r="B591" t="s">
        <v>5197</v>
      </c>
      <c r="C591" t="s">
        <v>74</v>
      </c>
      <c r="D591" t="s">
        <v>74</v>
      </c>
      <c r="E591" t="s">
        <v>74</v>
      </c>
      <c r="F591" t="s">
        <v>5198</v>
      </c>
      <c r="G591" t="s">
        <v>74</v>
      </c>
      <c r="H591" t="s">
        <v>74</v>
      </c>
      <c r="I591" t="s">
        <v>5199</v>
      </c>
      <c r="J591" t="s">
        <v>665</v>
      </c>
      <c r="K591" t="s">
        <v>74</v>
      </c>
      <c r="L591" t="s">
        <v>74</v>
      </c>
      <c r="M591" t="s">
        <v>74</v>
      </c>
      <c r="N591" t="s">
        <v>74</v>
      </c>
      <c r="O591" t="s">
        <v>5200</v>
      </c>
      <c r="P591" t="s">
        <v>5201</v>
      </c>
      <c r="Q591" t="s">
        <v>5202</v>
      </c>
      <c r="R591" t="s">
        <v>5203</v>
      </c>
      <c r="S591" t="s">
        <v>74</v>
      </c>
      <c r="T591" t="s">
        <v>74</v>
      </c>
      <c r="U591" t="s">
        <v>74</v>
      </c>
      <c r="V591" t="s">
        <v>5204</v>
      </c>
      <c r="W591" t="s">
        <v>74</v>
      </c>
      <c r="X591" t="s">
        <v>74</v>
      </c>
      <c r="Y591" t="s">
        <v>74</v>
      </c>
      <c r="Z591" t="s">
        <v>74</v>
      </c>
      <c r="AA591" t="s">
        <v>5205</v>
      </c>
      <c r="AB591" t="s">
        <v>74</v>
      </c>
      <c r="AC591" t="s">
        <v>74</v>
      </c>
      <c r="AD591" t="s">
        <v>74</v>
      </c>
      <c r="AE591" t="s">
        <v>74</v>
      </c>
      <c r="AF591" t="s">
        <v>74</v>
      </c>
      <c r="AG591" t="s">
        <v>74</v>
      </c>
      <c r="AH591" t="s">
        <v>74</v>
      </c>
      <c r="AI591" t="s">
        <v>74</v>
      </c>
      <c r="AJ591" t="s">
        <v>74</v>
      </c>
      <c r="AK591" t="s">
        <v>74</v>
      </c>
      <c r="AL591" t="s">
        <v>74</v>
      </c>
      <c r="AM591" t="s">
        <v>74</v>
      </c>
      <c r="AN591" t="s">
        <v>74</v>
      </c>
      <c r="AO591" t="s">
        <v>668</v>
      </c>
      <c r="AP591" t="s">
        <v>669</v>
      </c>
      <c r="AQ591" t="s">
        <v>74</v>
      </c>
      <c r="AR591" t="s">
        <v>74</v>
      </c>
      <c r="AS591" t="s">
        <v>74</v>
      </c>
      <c r="AT591" t="s">
        <v>1391</v>
      </c>
      <c r="AU591">
        <v>2020</v>
      </c>
      <c r="AV591">
        <v>356</v>
      </c>
      <c r="AW591" t="s">
        <v>74</v>
      </c>
      <c r="AX591" t="s">
        <v>74</v>
      </c>
      <c r="AY591" t="s">
        <v>74</v>
      </c>
      <c r="AZ591" t="s">
        <v>74</v>
      </c>
      <c r="BA591" t="s">
        <v>74</v>
      </c>
      <c r="BB591" t="s">
        <v>74</v>
      </c>
      <c r="BC591" t="s">
        <v>74</v>
      </c>
      <c r="BD591">
        <v>115455</v>
      </c>
      <c r="BE591" t="s">
        <v>5206</v>
      </c>
      <c r="BF591" t="str">
        <f>HYPERLINK("http://dx.doi.org/10.1016/j.ssi.2020.115455","http://dx.doi.org/10.1016/j.ssi.2020.115455")</f>
        <v>http://dx.doi.org/10.1016/j.ssi.2020.115455</v>
      </c>
      <c r="BG591" t="s">
        <v>74</v>
      </c>
      <c r="BH591" t="s">
        <v>74</v>
      </c>
      <c r="BI591" t="s">
        <v>74</v>
      </c>
      <c r="BJ591" t="s">
        <v>74</v>
      </c>
      <c r="BK591" t="s">
        <v>74</v>
      </c>
      <c r="BL591" t="s">
        <v>74</v>
      </c>
      <c r="BM591" t="s">
        <v>74</v>
      </c>
      <c r="BN591" t="s">
        <v>74</v>
      </c>
      <c r="BO591" t="s">
        <v>74</v>
      </c>
      <c r="BP591" t="s">
        <v>74</v>
      </c>
      <c r="BQ591" t="s">
        <v>74</v>
      </c>
      <c r="BR591" t="s">
        <v>74</v>
      </c>
      <c r="BS591" t="s">
        <v>5207</v>
      </c>
      <c r="BT591" t="str">
        <f>HYPERLINK("https%3A%2F%2Fwww.webofscience.com%2Fwos%2Fwoscc%2Ffull-record%2FWOS:000582033300012","View Full Record in Web of Science")</f>
        <v>View Full Record in Web of Science</v>
      </c>
    </row>
    <row r="592" spans="1:72" x14ac:dyDescent="0.2">
      <c r="A592" t="s">
        <v>72</v>
      </c>
      <c r="B592" t="s">
        <v>5208</v>
      </c>
      <c r="C592" t="s">
        <v>74</v>
      </c>
      <c r="D592" t="s">
        <v>74</v>
      </c>
      <c r="E592" t="s">
        <v>74</v>
      </c>
      <c r="F592" t="s">
        <v>5209</v>
      </c>
      <c r="G592" t="s">
        <v>74</v>
      </c>
      <c r="H592" t="s">
        <v>74</v>
      </c>
      <c r="I592" t="s">
        <v>5210</v>
      </c>
      <c r="J592" t="s">
        <v>1995</v>
      </c>
      <c r="K592" t="s">
        <v>74</v>
      </c>
      <c r="L592" t="s">
        <v>74</v>
      </c>
      <c r="M592" t="s">
        <v>74</v>
      </c>
      <c r="N592" t="s">
        <v>74</v>
      </c>
      <c r="O592" t="s">
        <v>74</v>
      </c>
      <c r="P592" t="s">
        <v>74</v>
      </c>
      <c r="Q592" t="s">
        <v>74</v>
      </c>
      <c r="R592" t="s">
        <v>74</v>
      </c>
      <c r="S592" t="s">
        <v>74</v>
      </c>
      <c r="T592" t="s">
        <v>74</v>
      </c>
      <c r="U592" t="s">
        <v>74</v>
      </c>
      <c r="V592" t="s">
        <v>5211</v>
      </c>
      <c r="W592" t="s">
        <v>74</v>
      </c>
      <c r="X592" t="s">
        <v>74</v>
      </c>
      <c r="Y592" t="s">
        <v>74</v>
      </c>
      <c r="Z592" t="s">
        <v>74</v>
      </c>
      <c r="AA592" t="s">
        <v>5212</v>
      </c>
      <c r="AB592" t="s">
        <v>74</v>
      </c>
      <c r="AC592" t="s">
        <v>74</v>
      </c>
      <c r="AD592" t="s">
        <v>74</v>
      </c>
      <c r="AE592" t="s">
        <v>74</v>
      </c>
      <c r="AF592" t="s">
        <v>74</v>
      </c>
      <c r="AG592" t="s">
        <v>74</v>
      </c>
      <c r="AH592" t="s">
        <v>74</v>
      </c>
      <c r="AI592" t="s">
        <v>74</v>
      </c>
      <c r="AJ592" t="s">
        <v>74</v>
      </c>
      <c r="AK592" t="s">
        <v>74</v>
      </c>
      <c r="AL592" t="s">
        <v>74</v>
      </c>
      <c r="AM592" t="s">
        <v>74</v>
      </c>
      <c r="AN592" t="s">
        <v>74</v>
      </c>
      <c r="AO592" t="s">
        <v>1997</v>
      </c>
      <c r="AP592" t="s">
        <v>1998</v>
      </c>
      <c r="AQ592" t="s">
        <v>74</v>
      </c>
      <c r="AR592" t="s">
        <v>74</v>
      </c>
      <c r="AS592" t="s">
        <v>74</v>
      </c>
      <c r="AT592" t="s">
        <v>3505</v>
      </c>
      <c r="AU592">
        <v>2020</v>
      </c>
      <c r="AV592">
        <v>422</v>
      </c>
      <c r="AW592" t="s">
        <v>74</v>
      </c>
      <c r="AX592" t="s">
        <v>74</v>
      </c>
      <c r="AY592" t="s">
        <v>74</v>
      </c>
      <c r="AZ592" t="s">
        <v>74</v>
      </c>
      <c r="BA592" t="s">
        <v>74</v>
      </c>
      <c r="BB592" t="s">
        <v>74</v>
      </c>
      <c r="BC592" t="s">
        <v>74</v>
      </c>
      <c r="BD592">
        <v>213478</v>
      </c>
      <c r="BE592" t="s">
        <v>5213</v>
      </c>
      <c r="BF592" t="str">
        <f>HYPERLINK("http://dx.doi.org/10.1016/j.ccr.2020.213478","http://dx.doi.org/10.1016/j.ccr.2020.213478")</f>
        <v>http://dx.doi.org/10.1016/j.ccr.2020.213478</v>
      </c>
      <c r="BG592" t="s">
        <v>74</v>
      </c>
      <c r="BH592" t="s">
        <v>74</v>
      </c>
      <c r="BI592" t="s">
        <v>74</v>
      </c>
      <c r="BJ592" t="s">
        <v>74</v>
      </c>
      <c r="BK592" t="s">
        <v>74</v>
      </c>
      <c r="BL592" t="s">
        <v>74</v>
      </c>
      <c r="BM592" t="s">
        <v>74</v>
      </c>
      <c r="BN592" t="s">
        <v>74</v>
      </c>
      <c r="BO592" t="s">
        <v>74</v>
      </c>
      <c r="BP592" t="s">
        <v>74</v>
      </c>
      <c r="BQ592" t="s">
        <v>74</v>
      </c>
      <c r="BR592" t="s">
        <v>74</v>
      </c>
      <c r="BS592" t="s">
        <v>5214</v>
      </c>
      <c r="BT592" t="str">
        <f>HYPERLINK("https%3A%2F%2Fwww.webofscience.com%2Fwos%2Fwoscc%2Ffull-record%2FWOS:000558026500013","View Full Record in Web of Science")</f>
        <v>View Full Record in Web of Science</v>
      </c>
    </row>
    <row r="593" spans="1:72" x14ac:dyDescent="0.2">
      <c r="A593" t="s">
        <v>72</v>
      </c>
      <c r="B593" t="s">
        <v>5215</v>
      </c>
      <c r="C593" t="s">
        <v>74</v>
      </c>
      <c r="D593" t="s">
        <v>74</v>
      </c>
      <c r="E593" t="s">
        <v>74</v>
      </c>
      <c r="F593" t="s">
        <v>5216</v>
      </c>
      <c r="G593" t="s">
        <v>74</v>
      </c>
      <c r="H593" t="s">
        <v>74</v>
      </c>
      <c r="I593" t="s">
        <v>5217</v>
      </c>
      <c r="J593" t="s">
        <v>1738</v>
      </c>
      <c r="K593" t="s">
        <v>74</v>
      </c>
      <c r="L593" t="s">
        <v>74</v>
      </c>
      <c r="M593" t="s">
        <v>74</v>
      </c>
      <c r="N593" t="s">
        <v>74</v>
      </c>
      <c r="O593" t="s">
        <v>74</v>
      </c>
      <c r="P593" t="s">
        <v>74</v>
      </c>
      <c r="Q593" t="s">
        <v>74</v>
      </c>
      <c r="R593" t="s">
        <v>74</v>
      </c>
      <c r="S593" t="s">
        <v>74</v>
      </c>
      <c r="T593" t="s">
        <v>74</v>
      </c>
      <c r="U593" t="s">
        <v>74</v>
      </c>
      <c r="V593" t="s">
        <v>5218</v>
      </c>
      <c r="W593" t="s">
        <v>74</v>
      </c>
      <c r="X593" t="s">
        <v>74</v>
      </c>
      <c r="Y593" t="s">
        <v>74</v>
      </c>
      <c r="Z593" t="s">
        <v>74</v>
      </c>
      <c r="AA593" t="s">
        <v>5219</v>
      </c>
      <c r="AB593" t="s">
        <v>5220</v>
      </c>
      <c r="AC593" t="s">
        <v>74</v>
      </c>
      <c r="AD593" t="s">
        <v>74</v>
      </c>
      <c r="AE593" t="s">
        <v>74</v>
      </c>
      <c r="AF593" t="s">
        <v>74</v>
      </c>
      <c r="AG593" t="s">
        <v>74</v>
      </c>
      <c r="AH593" t="s">
        <v>74</v>
      </c>
      <c r="AI593" t="s">
        <v>74</v>
      </c>
      <c r="AJ593" t="s">
        <v>74</v>
      </c>
      <c r="AK593" t="s">
        <v>74</v>
      </c>
      <c r="AL593" t="s">
        <v>74</v>
      </c>
      <c r="AM593" t="s">
        <v>74</v>
      </c>
      <c r="AN593" t="s">
        <v>74</v>
      </c>
      <c r="AO593" t="s">
        <v>1741</v>
      </c>
      <c r="AP593" t="s">
        <v>1742</v>
      </c>
      <c r="AQ593" t="s">
        <v>74</v>
      </c>
      <c r="AR593" t="s">
        <v>74</v>
      </c>
      <c r="AS593" t="s">
        <v>74</v>
      </c>
      <c r="AT593" t="s">
        <v>92</v>
      </c>
      <c r="AU593">
        <v>2020</v>
      </c>
      <c r="AV593">
        <v>7</v>
      </c>
      <c r="AW593">
        <v>11</v>
      </c>
      <c r="AX593" t="s">
        <v>74</v>
      </c>
      <c r="AY593" t="s">
        <v>74</v>
      </c>
      <c r="AZ593" t="s">
        <v>74</v>
      </c>
      <c r="BA593" t="s">
        <v>74</v>
      </c>
      <c r="BB593">
        <v>1768</v>
      </c>
      <c r="BC593">
        <v>1775</v>
      </c>
      <c r="BD593" t="s">
        <v>74</v>
      </c>
      <c r="BE593" t="s">
        <v>5221</v>
      </c>
      <c r="BF593" t="str">
        <f>HYPERLINK("http://dx.doi.org/10.1093/nsr/nwaa174","http://dx.doi.org/10.1093/nsr/nwaa174")</f>
        <v>http://dx.doi.org/10.1093/nsr/nwaa174</v>
      </c>
      <c r="BG593" t="s">
        <v>74</v>
      </c>
      <c r="BH593" t="s">
        <v>74</v>
      </c>
      <c r="BI593" t="s">
        <v>74</v>
      </c>
      <c r="BJ593" t="s">
        <v>74</v>
      </c>
      <c r="BK593" t="s">
        <v>74</v>
      </c>
      <c r="BL593" t="s">
        <v>74</v>
      </c>
      <c r="BM593" t="s">
        <v>74</v>
      </c>
      <c r="BN593">
        <v>34691510</v>
      </c>
      <c r="BO593" t="s">
        <v>74</v>
      </c>
      <c r="BP593" t="s">
        <v>74</v>
      </c>
      <c r="BQ593" t="s">
        <v>74</v>
      </c>
      <c r="BR593" t="s">
        <v>74</v>
      </c>
      <c r="BS593" t="s">
        <v>5222</v>
      </c>
      <c r="BT593" t="str">
        <f>HYPERLINK("https%3A%2F%2Fwww.webofscience.com%2Fwos%2Fwoscc%2Ffull-record%2FWOS:000593378100018","View Full Record in Web of Science")</f>
        <v>View Full Record in Web of Science</v>
      </c>
    </row>
    <row r="594" spans="1:72" x14ac:dyDescent="0.2">
      <c r="A594" t="s">
        <v>72</v>
      </c>
      <c r="B594" t="s">
        <v>5223</v>
      </c>
      <c r="C594" t="s">
        <v>74</v>
      </c>
      <c r="D594" t="s">
        <v>74</v>
      </c>
      <c r="E594" t="s">
        <v>74</v>
      </c>
      <c r="F594" t="s">
        <v>5224</v>
      </c>
      <c r="G594" t="s">
        <v>74</v>
      </c>
      <c r="H594" t="s">
        <v>74</v>
      </c>
      <c r="I594" t="s">
        <v>5225</v>
      </c>
      <c r="J594" t="s">
        <v>151</v>
      </c>
      <c r="K594" t="s">
        <v>74</v>
      </c>
      <c r="L594" t="s">
        <v>74</v>
      </c>
      <c r="M594" t="s">
        <v>74</v>
      </c>
      <c r="N594" t="s">
        <v>74</v>
      </c>
      <c r="O594" t="s">
        <v>74</v>
      </c>
      <c r="P594" t="s">
        <v>74</v>
      </c>
      <c r="Q594" t="s">
        <v>74</v>
      </c>
      <c r="R594" t="s">
        <v>74</v>
      </c>
      <c r="S594" t="s">
        <v>74</v>
      </c>
      <c r="T594" t="s">
        <v>74</v>
      </c>
      <c r="U594" t="s">
        <v>74</v>
      </c>
      <c r="V594" t="s">
        <v>5226</v>
      </c>
      <c r="W594" t="s">
        <v>74</v>
      </c>
      <c r="X594" t="s">
        <v>74</v>
      </c>
      <c r="Y594" t="s">
        <v>74</v>
      </c>
      <c r="Z594" t="s">
        <v>74</v>
      </c>
      <c r="AA594" t="s">
        <v>5227</v>
      </c>
      <c r="AB594" t="s">
        <v>5228</v>
      </c>
      <c r="AC594" t="s">
        <v>74</v>
      </c>
      <c r="AD594" t="s">
        <v>74</v>
      </c>
      <c r="AE594" t="s">
        <v>74</v>
      </c>
      <c r="AF594" t="s">
        <v>74</v>
      </c>
      <c r="AG594" t="s">
        <v>74</v>
      </c>
      <c r="AH594" t="s">
        <v>74</v>
      </c>
      <c r="AI594" t="s">
        <v>74</v>
      </c>
      <c r="AJ594" t="s">
        <v>74</v>
      </c>
      <c r="AK594" t="s">
        <v>74</v>
      </c>
      <c r="AL594" t="s">
        <v>74</v>
      </c>
      <c r="AM594" t="s">
        <v>74</v>
      </c>
      <c r="AN594" t="s">
        <v>74</v>
      </c>
      <c r="AO594" t="s">
        <v>153</v>
      </c>
      <c r="AP594" t="s">
        <v>74</v>
      </c>
      <c r="AQ594" t="s">
        <v>74</v>
      </c>
      <c r="AR594" t="s">
        <v>74</v>
      </c>
      <c r="AS594" t="s">
        <v>74</v>
      </c>
      <c r="AT594" t="s">
        <v>92</v>
      </c>
      <c r="AU594">
        <v>2020</v>
      </c>
      <c r="AV594">
        <v>32</v>
      </c>
      <c r="AW594" t="s">
        <v>74</v>
      </c>
      <c r="AX594" t="s">
        <v>74</v>
      </c>
      <c r="AY594" t="s">
        <v>74</v>
      </c>
      <c r="AZ594" t="s">
        <v>74</v>
      </c>
      <c r="BA594" t="s">
        <v>74</v>
      </c>
      <c r="BB594">
        <v>216</v>
      </c>
      <c r="BC594">
        <v>224</v>
      </c>
      <c r="BD594" t="s">
        <v>74</v>
      </c>
      <c r="BE594" t="s">
        <v>5229</v>
      </c>
      <c r="BF594" t="str">
        <f>HYPERLINK("http://dx.doi.org/10.1016/j.ensm.2020.07.040","http://dx.doi.org/10.1016/j.ensm.2020.07.040")</f>
        <v>http://dx.doi.org/10.1016/j.ensm.2020.07.040</v>
      </c>
      <c r="BG594" t="s">
        <v>74</v>
      </c>
      <c r="BH594" t="s">
        <v>74</v>
      </c>
      <c r="BI594" t="s">
        <v>74</v>
      </c>
      <c r="BJ594" t="s">
        <v>74</v>
      </c>
      <c r="BK594" t="s">
        <v>74</v>
      </c>
      <c r="BL594" t="s">
        <v>74</v>
      </c>
      <c r="BM594" t="s">
        <v>74</v>
      </c>
      <c r="BN594" t="s">
        <v>74</v>
      </c>
      <c r="BO594" t="s">
        <v>74</v>
      </c>
      <c r="BP594" t="s">
        <v>74</v>
      </c>
      <c r="BQ594" t="s">
        <v>74</v>
      </c>
      <c r="BR594" t="s">
        <v>74</v>
      </c>
      <c r="BS594" t="s">
        <v>5230</v>
      </c>
      <c r="BT594" t="str">
        <f>HYPERLINK("https%3A%2F%2Fwww.webofscience.com%2Fwos%2Fwoscc%2Ffull-record%2FWOS:000577138400010","View Full Record in Web of Science")</f>
        <v>View Full Record in Web of Science</v>
      </c>
    </row>
    <row r="595" spans="1:72" x14ac:dyDescent="0.2">
      <c r="A595" t="s">
        <v>72</v>
      </c>
      <c r="B595" t="s">
        <v>5231</v>
      </c>
      <c r="C595" t="s">
        <v>74</v>
      </c>
      <c r="D595" t="s">
        <v>74</v>
      </c>
      <c r="E595" t="s">
        <v>74</v>
      </c>
      <c r="F595" t="s">
        <v>5232</v>
      </c>
      <c r="G595" t="s">
        <v>74</v>
      </c>
      <c r="H595" t="s">
        <v>74</v>
      </c>
      <c r="I595" t="s">
        <v>5233</v>
      </c>
      <c r="J595" t="s">
        <v>1941</v>
      </c>
      <c r="K595" t="s">
        <v>74</v>
      </c>
      <c r="L595" t="s">
        <v>74</v>
      </c>
      <c r="M595" t="s">
        <v>74</v>
      </c>
      <c r="N595" t="s">
        <v>74</v>
      </c>
      <c r="O595" t="s">
        <v>74</v>
      </c>
      <c r="P595" t="s">
        <v>74</v>
      </c>
      <c r="Q595" t="s">
        <v>74</v>
      </c>
      <c r="R595" t="s">
        <v>74</v>
      </c>
      <c r="S595" t="s">
        <v>74</v>
      </c>
      <c r="T595" t="s">
        <v>74</v>
      </c>
      <c r="U595" t="s">
        <v>74</v>
      </c>
      <c r="V595" t="s">
        <v>5234</v>
      </c>
      <c r="W595" t="s">
        <v>74</v>
      </c>
      <c r="X595" t="s">
        <v>74</v>
      </c>
      <c r="Y595" t="s">
        <v>74</v>
      </c>
      <c r="Z595" t="s">
        <v>74</v>
      </c>
      <c r="AA595" t="s">
        <v>74</v>
      </c>
      <c r="AB595" t="s">
        <v>5235</v>
      </c>
      <c r="AC595" t="s">
        <v>74</v>
      </c>
      <c r="AD595" t="s">
        <v>74</v>
      </c>
      <c r="AE595" t="s">
        <v>74</v>
      </c>
      <c r="AF595" t="s">
        <v>74</v>
      </c>
      <c r="AG595" t="s">
        <v>74</v>
      </c>
      <c r="AH595" t="s">
        <v>74</v>
      </c>
      <c r="AI595" t="s">
        <v>74</v>
      </c>
      <c r="AJ595" t="s">
        <v>74</v>
      </c>
      <c r="AK595" t="s">
        <v>74</v>
      </c>
      <c r="AL595" t="s">
        <v>74</v>
      </c>
      <c r="AM595" t="s">
        <v>74</v>
      </c>
      <c r="AN595" t="s">
        <v>74</v>
      </c>
      <c r="AO595" t="s">
        <v>1945</v>
      </c>
      <c r="AP595" t="s">
        <v>74</v>
      </c>
      <c r="AQ595" t="s">
        <v>74</v>
      </c>
      <c r="AR595" t="s">
        <v>74</v>
      </c>
      <c r="AS595" t="s">
        <v>74</v>
      </c>
      <c r="AT595" t="s">
        <v>5236</v>
      </c>
      <c r="AU595">
        <v>2020</v>
      </c>
      <c r="AV595">
        <v>3</v>
      </c>
      <c r="AW595">
        <v>10</v>
      </c>
      <c r="AX595" t="s">
        <v>74</v>
      </c>
      <c r="AY595" t="s">
        <v>74</v>
      </c>
      <c r="AZ595" t="s">
        <v>74</v>
      </c>
      <c r="BA595" t="s">
        <v>74</v>
      </c>
      <c r="BB595">
        <v>10418</v>
      </c>
      <c r="BC595">
        <v>10426</v>
      </c>
      <c r="BD595" t="s">
        <v>74</v>
      </c>
      <c r="BE595" t="s">
        <v>5237</v>
      </c>
      <c r="BF595" t="str">
        <f>HYPERLINK("http://dx.doi.org/10.1021/acsanm.0c02307","http://dx.doi.org/10.1021/acsanm.0c02307")</f>
        <v>http://dx.doi.org/10.1021/acsanm.0c02307</v>
      </c>
      <c r="BG595" t="s">
        <v>74</v>
      </c>
      <c r="BH595" t="s">
        <v>74</v>
      </c>
      <c r="BI595" t="s">
        <v>74</v>
      </c>
      <c r="BJ595" t="s">
        <v>74</v>
      </c>
      <c r="BK595" t="s">
        <v>74</v>
      </c>
      <c r="BL595" t="s">
        <v>74</v>
      </c>
      <c r="BM595" t="s">
        <v>74</v>
      </c>
      <c r="BN595" t="s">
        <v>74</v>
      </c>
      <c r="BO595" t="s">
        <v>74</v>
      </c>
      <c r="BP595" t="s">
        <v>74</v>
      </c>
      <c r="BQ595" t="s">
        <v>74</v>
      </c>
      <c r="BR595" t="s">
        <v>74</v>
      </c>
      <c r="BS595" t="s">
        <v>5238</v>
      </c>
      <c r="BT595" t="str">
        <f>HYPERLINK("https%3A%2F%2Fwww.webofscience.com%2Fwos%2Fwoscc%2Ffull-record%2FWOS:000583331600045","View Full Record in Web of Science")</f>
        <v>View Full Record in Web of Science</v>
      </c>
    </row>
    <row r="596" spans="1:72" x14ac:dyDescent="0.2">
      <c r="A596" t="s">
        <v>72</v>
      </c>
      <c r="B596" t="s">
        <v>5239</v>
      </c>
      <c r="C596" t="s">
        <v>74</v>
      </c>
      <c r="D596" t="s">
        <v>74</v>
      </c>
      <c r="E596" t="s">
        <v>74</v>
      </c>
      <c r="F596" t="s">
        <v>5240</v>
      </c>
      <c r="G596" t="s">
        <v>74</v>
      </c>
      <c r="H596" t="s">
        <v>74</v>
      </c>
      <c r="I596" t="s">
        <v>5241</v>
      </c>
      <c r="J596" t="s">
        <v>5190</v>
      </c>
      <c r="K596" t="s">
        <v>74</v>
      </c>
      <c r="L596" t="s">
        <v>74</v>
      </c>
      <c r="M596" t="s">
        <v>74</v>
      </c>
      <c r="N596" t="s">
        <v>74</v>
      </c>
      <c r="O596" t="s">
        <v>74</v>
      </c>
      <c r="P596" t="s">
        <v>74</v>
      </c>
      <c r="Q596" t="s">
        <v>74</v>
      </c>
      <c r="R596" t="s">
        <v>74</v>
      </c>
      <c r="S596" t="s">
        <v>74</v>
      </c>
      <c r="T596" t="s">
        <v>74</v>
      </c>
      <c r="U596" t="s">
        <v>74</v>
      </c>
      <c r="V596" t="s">
        <v>5242</v>
      </c>
      <c r="W596" t="s">
        <v>74</v>
      </c>
      <c r="X596" t="s">
        <v>74</v>
      </c>
      <c r="Y596" t="s">
        <v>74</v>
      </c>
      <c r="Z596" t="s">
        <v>74</v>
      </c>
      <c r="AA596" t="s">
        <v>5243</v>
      </c>
      <c r="AB596" t="s">
        <v>5244</v>
      </c>
      <c r="AC596" t="s">
        <v>74</v>
      </c>
      <c r="AD596" t="s">
        <v>74</v>
      </c>
      <c r="AE596" t="s">
        <v>74</v>
      </c>
      <c r="AF596" t="s">
        <v>74</v>
      </c>
      <c r="AG596" t="s">
        <v>74</v>
      </c>
      <c r="AH596" t="s">
        <v>74</v>
      </c>
      <c r="AI596" t="s">
        <v>74</v>
      </c>
      <c r="AJ596" t="s">
        <v>74</v>
      </c>
      <c r="AK596" t="s">
        <v>74</v>
      </c>
      <c r="AL596" t="s">
        <v>74</v>
      </c>
      <c r="AM596" t="s">
        <v>74</v>
      </c>
      <c r="AN596" t="s">
        <v>74</v>
      </c>
      <c r="AO596" t="s">
        <v>74</v>
      </c>
      <c r="AP596" t="s">
        <v>5194</v>
      </c>
      <c r="AQ596" t="s">
        <v>74</v>
      </c>
      <c r="AR596" t="s">
        <v>74</v>
      </c>
      <c r="AS596" t="s">
        <v>74</v>
      </c>
      <c r="AT596" t="s">
        <v>5245</v>
      </c>
      <c r="AU596">
        <v>2020</v>
      </c>
      <c r="AV596">
        <v>1</v>
      </c>
      <c r="AW596">
        <v>10</v>
      </c>
      <c r="AX596" t="s">
        <v>74</v>
      </c>
      <c r="AY596" t="s">
        <v>74</v>
      </c>
      <c r="AZ596" t="s">
        <v>74</v>
      </c>
      <c r="BA596" t="s">
        <v>74</v>
      </c>
      <c r="BB596" t="s">
        <v>74</v>
      </c>
      <c r="BC596" t="s">
        <v>74</v>
      </c>
      <c r="BD596">
        <v>100217</v>
      </c>
      <c r="BE596" t="s">
        <v>5246</v>
      </c>
      <c r="BF596" t="str">
        <f>HYPERLINK("http://dx.doi.org/10.1016/j.xcrp.2020.100217","http://dx.doi.org/10.1016/j.xcrp.2020.100217")</f>
        <v>http://dx.doi.org/10.1016/j.xcrp.2020.100217</v>
      </c>
      <c r="BG596" t="s">
        <v>74</v>
      </c>
      <c r="BH596" t="s">
        <v>74</v>
      </c>
      <c r="BI596" t="s">
        <v>74</v>
      </c>
      <c r="BJ596" t="s">
        <v>74</v>
      </c>
      <c r="BK596" t="s">
        <v>74</v>
      </c>
      <c r="BL596" t="s">
        <v>74</v>
      </c>
      <c r="BM596" t="s">
        <v>74</v>
      </c>
      <c r="BN596" t="s">
        <v>74</v>
      </c>
      <c r="BO596" t="s">
        <v>74</v>
      </c>
      <c r="BP596" t="s">
        <v>74</v>
      </c>
      <c r="BQ596" t="s">
        <v>74</v>
      </c>
      <c r="BR596" t="s">
        <v>74</v>
      </c>
      <c r="BS596" t="s">
        <v>5247</v>
      </c>
      <c r="BT596" t="str">
        <f>HYPERLINK("https%3A%2F%2Fwww.webofscience.com%2Fwos%2Fwoscc%2Ffull-record%2FWOS:000658756100009","View Full Record in Web of Science")</f>
        <v>View Full Record in Web of Science</v>
      </c>
    </row>
    <row r="597" spans="1:72" x14ac:dyDescent="0.2">
      <c r="A597" t="s">
        <v>72</v>
      </c>
      <c r="B597" t="s">
        <v>5248</v>
      </c>
      <c r="C597" t="s">
        <v>74</v>
      </c>
      <c r="D597" t="s">
        <v>74</v>
      </c>
      <c r="E597" t="s">
        <v>74</v>
      </c>
      <c r="F597" t="s">
        <v>5249</v>
      </c>
      <c r="G597" t="s">
        <v>74</v>
      </c>
      <c r="H597" t="s">
        <v>74</v>
      </c>
      <c r="I597" t="s">
        <v>5250</v>
      </c>
      <c r="J597" t="s">
        <v>528</v>
      </c>
      <c r="K597" t="s">
        <v>74</v>
      </c>
      <c r="L597" t="s">
        <v>74</v>
      </c>
      <c r="M597" t="s">
        <v>74</v>
      </c>
      <c r="N597" t="s">
        <v>74</v>
      </c>
      <c r="O597" t="s">
        <v>74</v>
      </c>
      <c r="P597" t="s">
        <v>74</v>
      </c>
      <c r="Q597" t="s">
        <v>74</v>
      </c>
      <c r="R597" t="s">
        <v>74</v>
      </c>
      <c r="S597" t="s">
        <v>74</v>
      </c>
      <c r="T597" t="s">
        <v>74</v>
      </c>
      <c r="U597" t="s">
        <v>74</v>
      </c>
      <c r="V597" t="s">
        <v>5251</v>
      </c>
      <c r="W597" t="s">
        <v>74</v>
      </c>
      <c r="X597" t="s">
        <v>74</v>
      </c>
      <c r="Y597" t="s">
        <v>74</v>
      </c>
      <c r="Z597" t="s">
        <v>74</v>
      </c>
      <c r="AA597" t="s">
        <v>5252</v>
      </c>
      <c r="AB597" t="s">
        <v>5253</v>
      </c>
      <c r="AC597" t="s">
        <v>74</v>
      </c>
      <c r="AD597" t="s">
        <v>74</v>
      </c>
      <c r="AE597" t="s">
        <v>74</v>
      </c>
      <c r="AF597" t="s">
        <v>74</v>
      </c>
      <c r="AG597" t="s">
        <v>74</v>
      </c>
      <c r="AH597" t="s">
        <v>74</v>
      </c>
      <c r="AI597" t="s">
        <v>74</v>
      </c>
      <c r="AJ597" t="s">
        <v>74</v>
      </c>
      <c r="AK597" t="s">
        <v>74</v>
      </c>
      <c r="AL597" t="s">
        <v>74</v>
      </c>
      <c r="AM597" t="s">
        <v>74</v>
      </c>
      <c r="AN597" t="s">
        <v>74</v>
      </c>
      <c r="AO597" t="s">
        <v>532</v>
      </c>
      <c r="AP597" t="s">
        <v>533</v>
      </c>
      <c r="AQ597" t="s">
        <v>74</v>
      </c>
      <c r="AR597" t="s">
        <v>74</v>
      </c>
      <c r="AS597" t="s">
        <v>74</v>
      </c>
      <c r="AT597" t="s">
        <v>5245</v>
      </c>
      <c r="AU597">
        <v>2020</v>
      </c>
      <c r="AV597">
        <v>12</v>
      </c>
      <c r="AW597">
        <v>42</v>
      </c>
      <c r="AX597" t="s">
        <v>74</v>
      </c>
      <c r="AY597" t="s">
        <v>74</v>
      </c>
      <c r="AZ597" t="s">
        <v>74</v>
      </c>
      <c r="BA597" t="s">
        <v>74</v>
      </c>
      <c r="BB597">
        <v>47425</v>
      </c>
      <c r="BC597">
        <v>47434</v>
      </c>
      <c r="BD597" t="s">
        <v>74</v>
      </c>
      <c r="BE597" t="s">
        <v>5254</v>
      </c>
      <c r="BF597" t="str">
        <f>HYPERLINK("http://dx.doi.org/10.1021/acsami.0c12163","http://dx.doi.org/10.1021/acsami.0c12163")</f>
        <v>http://dx.doi.org/10.1021/acsami.0c12163</v>
      </c>
      <c r="BG597" t="s">
        <v>74</v>
      </c>
      <c r="BH597" t="s">
        <v>74</v>
      </c>
      <c r="BI597" t="s">
        <v>74</v>
      </c>
      <c r="BJ597" t="s">
        <v>74</v>
      </c>
      <c r="BK597" t="s">
        <v>74</v>
      </c>
      <c r="BL597" t="s">
        <v>74</v>
      </c>
      <c r="BM597" t="s">
        <v>74</v>
      </c>
      <c r="BN597">
        <v>32975401</v>
      </c>
      <c r="BO597" t="s">
        <v>74</v>
      </c>
      <c r="BP597" t="s">
        <v>74</v>
      </c>
      <c r="BQ597" t="s">
        <v>74</v>
      </c>
      <c r="BR597" t="s">
        <v>74</v>
      </c>
      <c r="BS597" t="s">
        <v>5255</v>
      </c>
      <c r="BT597" t="str">
        <f>HYPERLINK("https%3A%2F%2Fwww.webofscience.com%2Fwos%2Fwoscc%2Ffull-record%2FWOS:000584489800027","View Full Record in Web of Science")</f>
        <v>View Full Record in Web of Science</v>
      </c>
    </row>
    <row r="598" spans="1:72" x14ac:dyDescent="0.2">
      <c r="A598" t="s">
        <v>72</v>
      </c>
      <c r="B598" t="s">
        <v>5256</v>
      </c>
      <c r="C598" t="s">
        <v>74</v>
      </c>
      <c r="D598" t="s">
        <v>74</v>
      </c>
      <c r="E598" t="s">
        <v>74</v>
      </c>
      <c r="F598" t="s">
        <v>5257</v>
      </c>
      <c r="G598" t="s">
        <v>74</v>
      </c>
      <c r="H598" t="s">
        <v>74</v>
      </c>
      <c r="I598" t="s">
        <v>5258</v>
      </c>
      <c r="J598" t="s">
        <v>267</v>
      </c>
      <c r="K598" t="s">
        <v>74</v>
      </c>
      <c r="L598" t="s">
        <v>74</v>
      </c>
      <c r="M598" t="s">
        <v>74</v>
      </c>
      <c r="N598" t="s">
        <v>74</v>
      </c>
      <c r="O598" t="s">
        <v>74</v>
      </c>
      <c r="P598" t="s">
        <v>74</v>
      </c>
      <c r="Q598" t="s">
        <v>74</v>
      </c>
      <c r="R598" t="s">
        <v>74</v>
      </c>
      <c r="S598" t="s">
        <v>74</v>
      </c>
      <c r="T598" t="s">
        <v>74</v>
      </c>
      <c r="U598" t="s">
        <v>74</v>
      </c>
      <c r="V598" t="s">
        <v>5259</v>
      </c>
      <c r="W598" t="s">
        <v>74</v>
      </c>
      <c r="X598" t="s">
        <v>74</v>
      </c>
      <c r="Y598" t="s">
        <v>74</v>
      </c>
      <c r="Z598" t="s">
        <v>74</v>
      </c>
      <c r="AA598" t="s">
        <v>5260</v>
      </c>
      <c r="AB598" t="s">
        <v>5261</v>
      </c>
      <c r="AC598" t="s">
        <v>74</v>
      </c>
      <c r="AD598" t="s">
        <v>74</v>
      </c>
      <c r="AE598" t="s">
        <v>74</v>
      </c>
      <c r="AF598" t="s">
        <v>74</v>
      </c>
      <c r="AG598" t="s">
        <v>74</v>
      </c>
      <c r="AH598" t="s">
        <v>74</v>
      </c>
      <c r="AI598" t="s">
        <v>74</v>
      </c>
      <c r="AJ598" t="s">
        <v>74</v>
      </c>
      <c r="AK598" t="s">
        <v>74</v>
      </c>
      <c r="AL598" t="s">
        <v>74</v>
      </c>
      <c r="AM598" t="s">
        <v>74</v>
      </c>
      <c r="AN598" t="s">
        <v>74</v>
      </c>
      <c r="AO598" t="s">
        <v>270</v>
      </c>
      <c r="AP598" t="s">
        <v>271</v>
      </c>
      <c r="AQ598" t="s">
        <v>74</v>
      </c>
      <c r="AR598" t="s">
        <v>74</v>
      </c>
      <c r="AS598" t="s">
        <v>74</v>
      </c>
      <c r="AT598" t="s">
        <v>1194</v>
      </c>
      <c r="AU598">
        <v>2021</v>
      </c>
      <c r="AV598">
        <v>31</v>
      </c>
      <c r="AW598">
        <v>4</v>
      </c>
      <c r="AX598" t="s">
        <v>74</v>
      </c>
      <c r="AY598" t="s">
        <v>74</v>
      </c>
      <c r="AZ598" t="s">
        <v>74</v>
      </c>
      <c r="BA598" t="s">
        <v>74</v>
      </c>
      <c r="BB598" t="s">
        <v>74</v>
      </c>
      <c r="BC598" t="s">
        <v>74</v>
      </c>
      <c r="BD598">
        <v>2006683</v>
      </c>
      <c r="BE598" t="s">
        <v>5262</v>
      </c>
      <c r="BF598" t="str">
        <f>HYPERLINK("http://dx.doi.org/10.1002/adfm.202006683","http://dx.doi.org/10.1002/adfm.202006683")</f>
        <v>http://dx.doi.org/10.1002/adfm.202006683</v>
      </c>
      <c r="BG598" t="s">
        <v>74</v>
      </c>
      <c r="BH598" t="s">
        <v>5263</v>
      </c>
      <c r="BI598" t="s">
        <v>74</v>
      </c>
      <c r="BJ598" t="s">
        <v>74</v>
      </c>
      <c r="BK598" t="s">
        <v>74</v>
      </c>
      <c r="BL598" t="s">
        <v>74</v>
      </c>
      <c r="BM598" t="s">
        <v>74</v>
      </c>
      <c r="BN598" t="s">
        <v>74</v>
      </c>
      <c r="BO598" t="s">
        <v>74</v>
      </c>
      <c r="BP598" t="s">
        <v>74</v>
      </c>
      <c r="BQ598" t="s">
        <v>74</v>
      </c>
      <c r="BR598" t="s">
        <v>74</v>
      </c>
      <c r="BS598" t="s">
        <v>5264</v>
      </c>
      <c r="BT598" t="str">
        <f>HYPERLINK("https%3A%2F%2Fwww.webofscience.com%2Fwos%2Fwoscc%2Ffull-record%2FWOS:000577621400001","View Full Record in Web of Science")</f>
        <v>View Full Record in Web of Science</v>
      </c>
    </row>
    <row r="599" spans="1:72" x14ac:dyDescent="0.2">
      <c r="A599" t="s">
        <v>72</v>
      </c>
      <c r="B599" t="s">
        <v>5265</v>
      </c>
      <c r="C599" t="s">
        <v>74</v>
      </c>
      <c r="D599" t="s">
        <v>74</v>
      </c>
      <c r="E599" t="s">
        <v>74</v>
      </c>
      <c r="F599" t="s">
        <v>5266</v>
      </c>
      <c r="G599" t="s">
        <v>74</v>
      </c>
      <c r="H599" t="s">
        <v>74</v>
      </c>
      <c r="I599" t="s">
        <v>5267</v>
      </c>
      <c r="J599" t="s">
        <v>5268</v>
      </c>
      <c r="K599" t="s">
        <v>74</v>
      </c>
      <c r="L599" t="s">
        <v>74</v>
      </c>
      <c r="M599" t="s">
        <v>74</v>
      </c>
      <c r="N599" t="s">
        <v>74</v>
      </c>
      <c r="O599" t="s">
        <v>74</v>
      </c>
      <c r="P599" t="s">
        <v>74</v>
      </c>
      <c r="Q599" t="s">
        <v>74</v>
      </c>
      <c r="R599" t="s">
        <v>74</v>
      </c>
      <c r="S599" t="s">
        <v>74</v>
      </c>
      <c r="T599" t="s">
        <v>74</v>
      </c>
      <c r="U599" t="s">
        <v>74</v>
      </c>
      <c r="V599" t="s">
        <v>5269</v>
      </c>
      <c r="W599" t="s">
        <v>74</v>
      </c>
      <c r="X599" t="s">
        <v>74</v>
      </c>
      <c r="Y599" t="s">
        <v>74</v>
      </c>
      <c r="Z599" t="s">
        <v>74</v>
      </c>
      <c r="AA599" t="s">
        <v>5270</v>
      </c>
      <c r="AB599" t="s">
        <v>74</v>
      </c>
      <c r="AC599" t="s">
        <v>74</v>
      </c>
      <c r="AD599" t="s">
        <v>74</v>
      </c>
      <c r="AE599" t="s">
        <v>74</v>
      </c>
      <c r="AF599" t="s">
        <v>74</v>
      </c>
      <c r="AG599" t="s">
        <v>74</v>
      </c>
      <c r="AH599" t="s">
        <v>74</v>
      </c>
      <c r="AI599" t="s">
        <v>74</v>
      </c>
      <c r="AJ599" t="s">
        <v>74</v>
      </c>
      <c r="AK599" t="s">
        <v>74</v>
      </c>
      <c r="AL599" t="s">
        <v>74</v>
      </c>
      <c r="AM599" t="s">
        <v>74</v>
      </c>
      <c r="AN599" t="s">
        <v>74</v>
      </c>
      <c r="AO599" t="s">
        <v>5271</v>
      </c>
      <c r="AP599" t="s">
        <v>5272</v>
      </c>
      <c r="AQ599" t="s">
        <v>74</v>
      </c>
      <c r="AR599" t="s">
        <v>74</v>
      </c>
      <c r="AS599" t="s">
        <v>74</v>
      </c>
      <c r="AT599" t="s">
        <v>103</v>
      </c>
      <c r="AU599">
        <v>2020</v>
      </c>
      <c r="AV599">
        <v>277</v>
      </c>
      <c r="AW599" t="s">
        <v>74</v>
      </c>
      <c r="AX599" t="s">
        <v>74</v>
      </c>
      <c r="AY599" t="s">
        <v>74</v>
      </c>
      <c r="AZ599" t="s">
        <v>74</v>
      </c>
      <c r="BA599" t="s">
        <v>74</v>
      </c>
      <c r="BB599" t="s">
        <v>74</v>
      </c>
      <c r="BC599" t="s">
        <v>74</v>
      </c>
      <c r="BD599">
        <v>128391</v>
      </c>
      <c r="BE599" t="s">
        <v>5273</v>
      </c>
      <c r="BF599" t="str">
        <f>HYPERLINK("http://dx.doi.org/10.1016/j.matlet.2020.128391","http://dx.doi.org/10.1016/j.matlet.2020.128391")</f>
        <v>http://dx.doi.org/10.1016/j.matlet.2020.128391</v>
      </c>
      <c r="BG599" t="s">
        <v>74</v>
      </c>
      <c r="BH599" t="s">
        <v>74</v>
      </c>
      <c r="BI599" t="s">
        <v>74</v>
      </c>
      <c r="BJ599" t="s">
        <v>74</v>
      </c>
      <c r="BK599" t="s">
        <v>74</v>
      </c>
      <c r="BL599" t="s">
        <v>74</v>
      </c>
      <c r="BM599" t="s">
        <v>74</v>
      </c>
      <c r="BN599" t="s">
        <v>74</v>
      </c>
      <c r="BO599" t="s">
        <v>74</v>
      </c>
      <c r="BP599" t="s">
        <v>74</v>
      </c>
      <c r="BQ599" t="s">
        <v>74</v>
      </c>
      <c r="BR599" t="s">
        <v>74</v>
      </c>
      <c r="BS599" t="s">
        <v>5274</v>
      </c>
      <c r="BT599" t="str">
        <f>HYPERLINK("https%3A%2F%2Fwww.webofscience.com%2Fwos%2Fwoscc%2Ffull-record%2FWOS:000564554500007","View Full Record in Web of Science")</f>
        <v>View Full Record in Web of Science</v>
      </c>
    </row>
    <row r="600" spans="1:72" x14ac:dyDescent="0.2">
      <c r="A600" t="s">
        <v>72</v>
      </c>
      <c r="B600" t="s">
        <v>5275</v>
      </c>
      <c r="C600" t="s">
        <v>74</v>
      </c>
      <c r="D600" t="s">
        <v>74</v>
      </c>
      <c r="E600" t="s">
        <v>74</v>
      </c>
      <c r="F600" t="s">
        <v>5276</v>
      </c>
      <c r="G600" t="s">
        <v>74</v>
      </c>
      <c r="H600" t="s">
        <v>74</v>
      </c>
      <c r="I600" t="s">
        <v>5277</v>
      </c>
      <c r="J600" t="s">
        <v>3822</v>
      </c>
      <c r="K600" t="s">
        <v>74</v>
      </c>
      <c r="L600" t="s">
        <v>74</v>
      </c>
      <c r="M600" t="s">
        <v>74</v>
      </c>
      <c r="N600" t="s">
        <v>74</v>
      </c>
      <c r="O600" t="s">
        <v>74</v>
      </c>
      <c r="P600" t="s">
        <v>74</v>
      </c>
      <c r="Q600" t="s">
        <v>74</v>
      </c>
      <c r="R600" t="s">
        <v>74</v>
      </c>
      <c r="S600" t="s">
        <v>74</v>
      </c>
      <c r="T600" t="s">
        <v>74</v>
      </c>
      <c r="U600" t="s">
        <v>74</v>
      </c>
      <c r="V600" t="s">
        <v>5278</v>
      </c>
      <c r="W600" t="s">
        <v>74</v>
      </c>
      <c r="X600" t="s">
        <v>74</v>
      </c>
      <c r="Y600" t="s">
        <v>74</v>
      </c>
      <c r="Z600" t="s">
        <v>74</v>
      </c>
      <c r="AA600" t="s">
        <v>5279</v>
      </c>
      <c r="AB600" t="s">
        <v>74</v>
      </c>
      <c r="AC600" t="s">
        <v>74</v>
      </c>
      <c r="AD600" t="s">
        <v>74</v>
      </c>
      <c r="AE600" t="s">
        <v>74</v>
      </c>
      <c r="AF600" t="s">
        <v>74</v>
      </c>
      <c r="AG600" t="s">
        <v>74</v>
      </c>
      <c r="AH600" t="s">
        <v>74</v>
      </c>
      <c r="AI600" t="s">
        <v>74</v>
      </c>
      <c r="AJ600" t="s">
        <v>74</v>
      </c>
      <c r="AK600" t="s">
        <v>74</v>
      </c>
      <c r="AL600" t="s">
        <v>74</v>
      </c>
      <c r="AM600" t="s">
        <v>74</v>
      </c>
      <c r="AN600" t="s">
        <v>74</v>
      </c>
      <c r="AO600" t="s">
        <v>3826</v>
      </c>
      <c r="AP600" t="s">
        <v>3827</v>
      </c>
      <c r="AQ600" t="s">
        <v>74</v>
      </c>
      <c r="AR600" t="s">
        <v>74</v>
      </c>
      <c r="AS600" t="s">
        <v>74</v>
      </c>
      <c r="AT600" t="s">
        <v>103</v>
      </c>
      <c r="AU600">
        <v>2020</v>
      </c>
      <c r="AV600">
        <v>167</v>
      </c>
      <c r="AW600" t="s">
        <v>74</v>
      </c>
      <c r="AX600" t="s">
        <v>74</v>
      </c>
      <c r="AY600" t="s">
        <v>74</v>
      </c>
      <c r="AZ600" t="s">
        <v>74</v>
      </c>
      <c r="BA600" t="s">
        <v>74</v>
      </c>
      <c r="BB600">
        <v>918</v>
      </c>
      <c r="BC600">
        <v>929</v>
      </c>
      <c r="BD600" t="s">
        <v>74</v>
      </c>
      <c r="BE600" t="s">
        <v>5280</v>
      </c>
      <c r="BF600" t="str">
        <f>HYPERLINK("http://dx.doi.org/10.1016/j.carbon.2020.06.017","http://dx.doi.org/10.1016/j.carbon.2020.06.017")</f>
        <v>http://dx.doi.org/10.1016/j.carbon.2020.06.017</v>
      </c>
      <c r="BG600" t="s">
        <v>74</v>
      </c>
      <c r="BH600" t="s">
        <v>74</v>
      </c>
      <c r="BI600" t="s">
        <v>74</v>
      </c>
      <c r="BJ600" t="s">
        <v>74</v>
      </c>
      <c r="BK600" t="s">
        <v>74</v>
      </c>
      <c r="BL600" t="s">
        <v>74</v>
      </c>
      <c r="BM600" t="s">
        <v>74</v>
      </c>
      <c r="BN600" t="s">
        <v>74</v>
      </c>
      <c r="BO600" t="s">
        <v>74</v>
      </c>
      <c r="BP600" t="s">
        <v>74</v>
      </c>
      <c r="BQ600" t="s">
        <v>74</v>
      </c>
      <c r="BR600" t="s">
        <v>74</v>
      </c>
      <c r="BS600" t="s">
        <v>5281</v>
      </c>
      <c r="BT600" t="str">
        <f>HYPERLINK("https%3A%2F%2Fwww.webofscience.com%2Fwos%2Fwoscc%2Ffull-record%2FWOS:000565243300006","View Full Record in Web of Science")</f>
        <v>View Full Record in Web of Science</v>
      </c>
    </row>
    <row r="601" spans="1:72" x14ac:dyDescent="0.2">
      <c r="A601" t="s">
        <v>72</v>
      </c>
      <c r="B601" t="s">
        <v>5282</v>
      </c>
      <c r="C601" t="s">
        <v>74</v>
      </c>
      <c r="D601" t="s">
        <v>74</v>
      </c>
      <c r="E601" t="s">
        <v>74</v>
      </c>
      <c r="F601" t="s">
        <v>5283</v>
      </c>
      <c r="G601" t="s">
        <v>74</v>
      </c>
      <c r="H601" t="s">
        <v>74</v>
      </c>
      <c r="I601" t="s">
        <v>5284</v>
      </c>
      <c r="J601" t="s">
        <v>5285</v>
      </c>
      <c r="K601" t="s">
        <v>74</v>
      </c>
      <c r="L601" t="s">
        <v>74</v>
      </c>
      <c r="M601" t="s">
        <v>74</v>
      </c>
      <c r="N601" t="s">
        <v>74</v>
      </c>
      <c r="O601" t="s">
        <v>74</v>
      </c>
      <c r="P601" t="s">
        <v>74</v>
      </c>
      <c r="Q601" t="s">
        <v>74</v>
      </c>
      <c r="R601" t="s">
        <v>74</v>
      </c>
      <c r="S601" t="s">
        <v>74</v>
      </c>
      <c r="T601" t="s">
        <v>74</v>
      </c>
      <c r="U601" t="s">
        <v>74</v>
      </c>
      <c r="V601" t="s">
        <v>5286</v>
      </c>
      <c r="W601" t="s">
        <v>74</v>
      </c>
      <c r="X601" t="s">
        <v>74</v>
      </c>
      <c r="Y601" t="s">
        <v>74</v>
      </c>
      <c r="Z601" t="s">
        <v>74</v>
      </c>
      <c r="AA601" t="s">
        <v>5287</v>
      </c>
      <c r="AB601" t="s">
        <v>5288</v>
      </c>
      <c r="AC601" t="s">
        <v>74</v>
      </c>
      <c r="AD601" t="s">
        <v>74</v>
      </c>
      <c r="AE601" t="s">
        <v>74</v>
      </c>
      <c r="AF601" t="s">
        <v>74</v>
      </c>
      <c r="AG601" t="s">
        <v>74</v>
      </c>
      <c r="AH601" t="s">
        <v>74</v>
      </c>
      <c r="AI601" t="s">
        <v>74</v>
      </c>
      <c r="AJ601" t="s">
        <v>74</v>
      </c>
      <c r="AK601" t="s">
        <v>74</v>
      </c>
      <c r="AL601" t="s">
        <v>74</v>
      </c>
      <c r="AM601" t="s">
        <v>74</v>
      </c>
      <c r="AN601" t="s">
        <v>74</v>
      </c>
      <c r="AO601" t="s">
        <v>5289</v>
      </c>
      <c r="AP601" t="s">
        <v>5290</v>
      </c>
      <c r="AQ601" t="s">
        <v>74</v>
      </c>
      <c r="AR601" t="s">
        <v>74</v>
      </c>
      <c r="AS601" t="s">
        <v>74</v>
      </c>
      <c r="AT601" t="s">
        <v>113</v>
      </c>
      <c r="AU601">
        <v>2020</v>
      </c>
      <c r="AV601">
        <v>29</v>
      </c>
      <c r="AW601">
        <v>10</v>
      </c>
      <c r="AX601" t="s">
        <v>74</v>
      </c>
      <c r="AY601" t="s">
        <v>74</v>
      </c>
      <c r="AZ601" t="s">
        <v>74</v>
      </c>
      <c r="BA601" t="s">
        <v>74</v>
      </c>
      <c r="BB601">
        <v>6535</v>
      </c>
      <c r="BC601">
        <v>6549</v>
      </c>
      <c r="BD601" t="s">
        <v>74</v>
      </c>
      <c r="BE601" t="s">
        <v>5291</v>
      </c>
      <c r="BF601" t="str">
        <f>HYPERLINK("http://dx.doi.org/10.1007/s11665-020-05176-z","http://dx.doi.org/10.1007/s11665-020-05176-z")</f>
        <v>http://dx.doi.org/10.1007/s11665-020-05176-z</v>
      </c>
      <c r="BG601" t="s">
        <v>74</v>
      </c>
      <c r="BH601" t="s">
        <v>5263</v>
      </c>
      <c r="BI601" t="s">
        <v>74</v>
      </c>
      <c r="BJ601" t="s">
        <v>74</v>
      </c>
      <c r="BK601" t="s">
        <v>74</v>
      </c>
      <c r="BL601" t="s">
        <v>74</v>
      </c>
      <c r="BM601" t="s">
        <v>74</v>
      </c>
      <c r="BN601" t="s">
        <v>74</v>
      </c>
      <c r="BO601" t="s">
        <v>74</v>
      </c>
      <c r="BP601" t="s">
        <v>74</v>
      </c>
      <c r="BQ601" t="s">
        <v>74</v>
      </c>
      <c r="BR601" t="s">
        <v>74</v>
      </c>
      <c r="BS601" t="s">
        <v>5292</v>
      </c>
      <c r="BT601" t="str">
        <f>HYPERLINK("https%3A%2F%2Fwww.webofscience.com%2Fwos%2Fwoscc%2Ffull-record%2FWOS:000577513500005","View Full Record in Web of Science")</f>
        <v>View Full Record in Web of Science</v>
      </c>
    </row>
    <row r="602" spans="1:72" x14ac:dyDescent="0.2">
      <c r="A602" t="s">
        <v>72</v>
      </c>
      <c r="B602" t="s">
        <v>5293</v>
      </c>
      <c r="C602" t="s">
        <v>74</v>
      </c>
      <c r="D602" t="s">
        <v>74</v>
      </c>
      <c r="E602" t="s">
        <v>74</v>
      </c>
      <c r="F602" t="s">
        <v>5294</v>
      </c>
      <c r="G602" t="s">
        <v>74</v>
      </c>
      <c r="H602" t="s">
        <v>74</v>
      </c>
      <c r="I602" t="s">
        <v>5295</v>
      </c>
      <c r="J602" t="s">
        <v>5296</v>
      </c>
      <c r="K602" t="s">
        <v>74</v>
      </c>
      <c r="L602" t="s">
        <v>74</v>
      </c>
      <c r="M602" t="s">
        <v>74</v>
      </c>
      <c r="N602" t="s">
        <v>74</v>
      </c>
      <c r="O602" t="s">
        <v>74</v>
      </c>
      <c r="P602" t="s">
        <v>74</v>
      </c>
      <c r="Q602" t="s">
        <v>74</v>
      </c>
      <c r="R602" t="s">
        <v>74</v>
      </c>
      <c r="S602" t="s">
        <v>74</v>
      </c>
      <c r="T602" t="s">
        <v>74</v>
      </c>
      <c r="U602" t="s">
        <v>74</v>
      </c>
      <c r="V602" t="s">
        <v>5297</v>
      </c>
      <c r="W602" t="s">
        <v>74</v>
      </c>
      <c r="X602" t="s">
        <v>74</v>
      </c>
      <c r="Y602" t="s">
        <v>74</v>
      </c>
      <c r="Z602" t="s">
        <v>74</v>
      </c>
      <c r="AA602" t="s">
        <v>5298</v>
      </c>
      <c r="AB602" t="s">
        <v>5299</v>
      </c>
      <c r="AC602" t="s">
        <v>74</v>
      </c>
      <c r="AD602" t="s">
        <v>74</v>
      </c>
      <c r="AE602" t="s">
        <v>74</v>
      </c>
      <c r="AF602" t="s">
        <v>74</v>
      </c>
      <c r="AG602" t="s">
        <v>74</v>
      </c>
      <c r="AH602" t="s">
        <v>74</v>
      </c>
      <c r="AI602" t="s">
        <v>74</v>
      </c>
      <c r="AJ602" t="s">
        <v>74</v>
      </c>
      <c r="AK602" t="s">
        <v>74</v>
      </c>
      <c r="AL602" t="s">
        <v>74</v>
      </c>
      <c r="AM602" t="s">
        <v>74</v>
      </c>
      <c r="AN602" t="s">
        <v>74</v>
      </c>
      <c r="AO602" t="s">
        <v>5300</v>
      </c>
      <c r="AP602" t="s">
        <v>5301</v>
      </c>
      <c r="AQ602" t="s">
        <v>74</v>
      </c>
      <c r="AR602" t="s">
        <v>74</v>
      </c>
      <c r="AS602" t="s">
        <v>74</v>
      </c>
      <c r="AT602" t="s">
        <v>5302</v>
      </c>
      <c r="AU602">
        <v>2020</v>
      </c>
      <c r="AV602">
        <v>15</v>
      </c>
      <c r="AW602">
        <v>21</v>
      </c>
      <c r="AX602" t="s">
        <v>74</v>
      </c>
      <c r="AY602" t="s">
        <v>74</v>
      </c>
      <c r="AZ602" t="s">
        <v>74</v>
      </c>
      <c r="BA602" t="s">
        <v>74</v>
      </c>
      <c r="BB602">
        <v>3535</v>
      </c>
      <c r="BC602">
        <v>3541</v>
      </c>
      <c r="BD602" t="s">
        <v>74</v>
      </c>
      <c r="BE602" t="s">
        <v>5303</v>
      </c>
      <c r="BF602" t="str">
        <f>HYPERLINK("http://dx.doi.org/10.1002/asia.202000913","http://dx.doi.org/10.1002/asia.202000913")</f>
        <v>http://dx.doi.org/10.1002/asia.202000913</v>
      </c>
      <c r="BG602" t="s">
        <v>74</v>
      </c>
      <c r="BH602" t="s">
        <v>5263</v>
      </c>
      <c r="BI602" t="s">
        <v>74</v>
      </c>
      <c r="BJ602" t="s">
        <v>74</v>
      </c>
      <c r="BK602" t="s">
        <v>74</v>
      </c>
      <c r="BL602" t="s">
        <v>74</v>
      </c>
      <c r="BM602" t="s">
        <v>74</v>
      </c>
      <c r="BN602">
        <v>32929889</v>
      </c>
      <c r="BO602" t="s">
        <v>74</v>
      </c>
      <c r="BP602" t="s">
        <v>74</v>
      </c>
      <c r="BQ602" t="s">
        <v>74</v>
      </c>
      <c r="BR602" t="s">
        <v>74</v>
      </c>
      <c r="BS602" t="s">
        <v>5304</v>
      </c>
      <c r="BT602" t="str">
        <f>HYPERLINK("https%3A%2F%2Fwww.webofscience.com%2Fwos%2Fwoscc%2Ffull-record%2FWOS:000575289100001","View Full Record in Web of Science")</f>
        <v>View Full Record in Web of Science</v>
      </c>
    </row>
    <row r="603" spans="1:72" x14ac:dyDescent="0.2">
      <c r="A603" t="s">
        <v>72</v>
      </c>
      <c r="B603" t="s">
        <v>5305</v>
      </c>
      <c r="C603" t="s">
        <v>74</v>
      </c>
      <c r="D603" t="s">
        <v>74</v>
      </c>
      <c r="E603" t="s">
        <v>74</v>
      </c>
      <c r="F603" t="s">
        <v>5306</v>
      </c>
      <c r="G603" t="s">
        <v>74</v>
      </c>
      <c r="H603" t="s">
        <v>74</v>
      </c>
      <c r="I603" t="s">
        <v>5307</v>
      </c>
      <c r="J603" t="s">
        <v>1005</v>
      </c>
      <c r="K603" t="s">
        <v>74</v>
      </c>
      <c r="L603" t="s">
        <v>74</v>
      </c>
      <c r="M603" t="s">
        <v>74</v>
      </c>
      <c r="N603" t="s">
        <v>74</v>
      </c>
      <c r="O603" t="s">
        <v>74</v>
      </c>
      <c r="P603" t="s">
        <v>74</v>
      </c>
      <c r="Q603" t="s">
        <v>74</v>
      </c>
      <c r="R603" t="s">
        <v>74</v>
      </c>
      <c r="S603" t="s">
        <v>74</v>
      </c>
      <c r="T603" t="s">
        <v>74</v>
      </c>
      <c r="U603" t="s">
        <v>74</v>
      </c>
      <c r="V603" t="s">
        <v>5308</v>
      </c>
      <c r="W603" t="s">
        <v>74</v>
      </c>
      <c r="X603" t="s">
        <v>74</v>
      </c>
      <c r="Y603" t="s">
        <v>74</v>
      </c>
      <c r="Z603" t="s">
        <v>74</v>
      </c>
      <c r="AA603" t="s">
        <v>5309</v>
      </c>
      <c r="AB603" t="s">
        <v>5310</v>
      </c>
      <c r="AC603" t="s">
        <v>74</v>
      </c>
      <c r="AD603" t="s">
        <v>74</v>
      </c>
      <c r="AE603" t="s">
        <v>74</v>
      </c>
      <c r="AF603" t="s">
        <v>74</v>
      </c>
      <c r="AG603" t="s">
        <v>74</v>
      </c>
      <c r="AH603" t="s">
        <v>74</v>
      </c>
      <c r="AI603" t="s">
        <v>74</v>
      </c>
      <c r="AJ603" t="s">
        <v>74</v>
      </c>
      <c r="AK603" t="s">
        <v>74</v>
      </c>
      <c r="AL603" t="s">
        <v>74</v>
      </c>
      <c r="AM603" t="s">
        <v>74</v>
      </c>
      <c r="AN603" t="s">
        <v>74</v>
      </c>
      <c r="AO603" t="s">
        <v>1008</v>
      </c>
      <c r="AP603" t="s">
        <v>1009</v>
      </c>
      <c r="AQ603" t="s">
        <v>74</v>
      </c>
      <c r="AR603" t="s">
        <v>74</v>
      </c>
      <c r="AS603" t="s">
        <v>74</v>
      </c>
      <c r="AT603" t="s">
        <v>113</v>
      </c>
      <c r="AU603">
        <v>2020</v>
      </c>
      <c r="AV603">
        <v>108</v>
      </c>
      <c r="AW603" t="s">
        <v>74</v>
      </c>
      <c r="AX603" t="s">
        <v>74</v>
      </c>
      <c r="AY603" t="s">
        <v>74</v>
      </c>
      <c r="AZ603" t="s">
        <v>74</v>
      </c>
      <c r="BA603" t="s">
        <v>74</v>
      </c>
      <c r="BB603" t="s">
        <v>74</v>
      </c>
      <c r="BC603" t="s">
        <v>74</v>
      </c>
      <c r="BD603">
        <v>107983</v>
      </c>
      <c r="BE603" t="s">
        <v>5311</v>
      </c>
      <c r="BF603" t="str">
        <f>HYPERLINK("http://dx.doi.org/10.1016/j.diamond.2020.107983","http://dx.doi.org/10.1016/j.diamond.2020.107983")</f>
        <v>http://dx.doi.org/10.1016/j.diamond.2020.107983</v>
      </c>
      <c r="BG603" t="s">
        <v>74</v>
      </c>
      <c r="BH603" t="s">
        <v>74</v>
      </c>
      <c r="BI603" t="s">
        <v>74</v>
      </c>
      <c r="BJ603" t="s">
        <v>74</v>
      </c>
      <c r="BK603" t="s">
        <v>74</v>
      </c>
      <c r="BL603" t="s">
        <v>74</v>
      </c>
      <c r="BM603" t="s">
        <v>74</v>
      </c>
      <c r="BN603" t="s">
        <v>74</v>
      </c>
      <c r="BO603" t="s">
        <v>74</v>
      </c>
      <c r="BP603" t="s">
        <v>74</v>
      </c>
      <c r="BQ603" t="s">
        <v>74</v>
      </c>
      <c r="BR603" t="s">
        <v>74</v>
      </c>
      <c r="BS603" t="s">
        <v>5312</v>
      </c>
      <c r="BT603" t="str">
        <f>HYPERLINK("https%3A%2F%2Fwww.webofscience.com%2Fwos%2Fwoscc%2Ffull-record%2FWOS:000569886800009","View Full Record in Web of Science")</f>
        <v>View Full Record in Web of Science</v>
      </c>
    </row>
    <row r="604" spans="1:72" x14ac:dyDescent="0.2">
      <c r="A604" t="s">
        <v>72</v>
      </c>
      <c r="B604" t="s">
        <v>5313</v>
      </c>
      <c r="C604" t="s">
        <v>74</v>
      </c>
      <c r="D604" t="s">
        <v>74</v>
      </c>
      <c r="E604" t="s">
        <v>74</v>
      </c>
      <c r="F604" t="s">
        <v>5314</v>
      </c>
      <c r="G604" t="s">
        <v>74</v>
      </c>
      <c r="H604" t="s">
        <v>74</v>
      </c>
      <c r="I604" t="s">
        <v>5315</v>
      </c>
      <c r="J604" t="s">
        <v>278</v>
      </c>
      <c r="K604" t="s">
        <v>74</v>
      </c>
      <c r="L604" t="s">
        <v>74</v>
      </c>
      <c r="M604" t="s">
        <v>74</v>
      </c>
      <c r="N604" t="s">
        <v>74</v>
      </c>
      <c r="O604" t="s">
        <v>74</v>
      </c>
      <c r="P604" t="s">
        <v>74</v>
      </c>
      <c r="Q604" t="s">
        <v>74</v>
      </c>
      <c r="R604" t="s">
        <v>74</v>
      </c>
      <c r="S604" t="s">
        <v>74</v>
      </c>
      <c r="T604" t="s">
        <v>74</v>
      </c>
      <c r="U604" t="s">
        <v>74</v>
      </c>
      <c r="V604" t="s">
        <v>5316</v>
      </c>
      <c r="W604" t="s">
        <v>74</v>
      </c>
      <c r="X604" t="s">
        <v>74</v>
      </c>
      <c r="Y604" t="s">
        <v>74</v>
      </c>
      <c r="Z604" t="s">
        <v>74</v>
      </c>
      <c r="AA604" t="s">
        <v>5317</v>
      </c>
      <c r="AB604" t="s">
        <v>5318</v>
      </c>
      <c r="AC604" t="s">
        <v>74</v>
      </c>
      <c r="AD604" t="s">
        <v>74</v>
      </c>
      <c r="AE604" t="s">
        <v>74</v>
      </c>
      <c r="AF604" t="s">
        <v>74</v>
      </c>
      <c r="AG604" t="s">
        <v>74</v>
      </c>
      <c r="AH604" t="s">
        <v>74</v>
      </c>
      <c r="AI604" t="s">
        <v>74</v>
      </c>
      <c r="AJ604" t="s">
        <v>74</v>
      </c>
      <c r="AK604" t="s">
        <v>74</v>
      </c>
      <c r="AL604" t="s">
        <v>74</v>
      </c>
      <c r="AM604" t="s">
        <v>74</v>
      </c>
      <c r="AN604" t="s">
        <v>74</v>
      </c>
      <c r="AO604" t="s">
        <v>281</v>
      </c>
      <c r="AP604" t="s">
        <v>282</v>
      </c>
      <c r="AQ604" t="s">
        <v>74</v>
      </c>
      <c r="AR604" t="s">
        <v>74</v>
      </c>
      <c r="AS604" t="s">
        <v>74</v>
      </c>
      <c r="AT604" t="s">
        <v>2748</v>
      </c>
      <c r="AU604">
        <v>2020</v>
      </c>
      <c r="AV604">
        <v>8</v>
      </c>
      <c r="AW604">
        <v>36</v>
      </c>
      <c r="AX604" t="s">
        <v>74</v>
      </c>
      <c r="AY604" t="s">
        <v>74</v>
      </c>
      <c r="AZ604" t="s">
        <v>74</v>
      </c>
      <c r="BA604" t="s">
        <v>74</v>
      </c>
      <c r="BB604">
        <v>18802</v>
      </c>
      <c r="BC604">
        <v>18809</v>
      </c>
      <c r="BD604" t="s">
        <v>74</v>
      </c>
      <c r="BE604" t="s">
        <v>5319</v>
      </c>
      <c r="BF604" t="str">
        <f>HYPERLINK("http://dx.doi.org/10.1039/d0ta05644h","http://dx.doi.org/10.1039/d0ta05644h")</f>
        <v>http://dx.doi.org/10.1039/d0ta05644h</v>
      </c>
      <c r="BG604" t="s">
        <v>74</v>
      </c>
      <c r="BH604" t="s">
        <v>74</v>
      </c>
      <c r="BI604" t="s">
        <v>74</v>
      </c>
      <c r="BJ604" t="s">
        <v>74</v>
      </c>
      <c r="BK604" t="s">
        <v>74</v>
      </c>
      <c r="BL604" t="s">
        <v>74</v>
      </c>
      <c r="BM604" t="s">
        <v>74</v>
      </c>
      <c r="BN604" t="s">
        <v>74</v>
      </c>
      <c r="BO604" t="s">
        <v>74</v>
      </c>
      <c r="BP604" t="s">
        <v>74</v>
      </c>
      <c r="BQ604" t="s">
        <v>74</v>
      </c>
      <c r="BR604" t="s">
        <v>74</v>
      </c>
      <c r="BS604" t="s">
        <v>5320</v>
      </c>
      <c r="BT604" t="str">
        <f>HYPERLINK("https%3A%2F%2Fwww.webofscience.com%2Fwos%2Fwoscc%2Ffull-record%2FWOS:000572173300022","View Full Record in Web of Science")</f>
        <v>View Full Record in Web of Science</v>
      </c>
    </row>
    <row r="605" spans="1:72" x14ac:dyDescent="0.2">
      <c r="A605" t="s">
        <v>72</v>
      </c>
      <c r="B605" t="s">
        <v>5321</v>
      </c>
      <c r="C605" t="s">
        <v>74</v>
      </c>
      <c r="D605" t="s">
        <v>74</v>
      </c>
      <c r="E605" t="s">
        <v>74</v>
      </c>
      <c r="F605" t="s">
        <v>5322</v>
      </c>
      <c r="G605" t="s">
        <v>74</v>
      </c>
      <c r="H605" t="s">
        <v>74</v>
      </c>
      <c r="I605" t="s">
        <v>5323</v>
      </c>
      <c r="J605" t="s">
        <v>2969</v>
      </c>
      <c r="K605" t="s">
        <v>74</v>
      </c>
      <c r="L605" t="s">
        <v>74</v>
      </c>
      <c r="M605" t="s">
        <v>74</v>
      </c>
      <c r="N605" t="s">
        <v>74</v>
      </c>
      <c r="O605" t="s">
        <v>74</v>
      </c>
      <c r="P605" t="s">
        <v>74</v>
      </c>
      <c r="Q605" t="s">
        <v>74</v>
      </c>
      <c r="R605" t="s">
        <v>74</v>
      </c>
      <c r="S605" t="s">
        <v>74</v>
      </c>
      <c r="T605" t="s">
        <v>74</v>
      </c>
      <c r="U605" t="s">
        <v>74</v>
      </c>
      <c r="V605" t="s">
        <v>5324</v>
      </c>
      <c r="W605" t="s">
        <v>74</v>
      </c>
      <c r="X605" t="s">
        <v>74</v>
      </c>
      <c r="Y605" t="s">
        <v>74</v>
      </c>
      <c r="Z605" t="s">
        <v>74</v>
      </c>
      <c r="AA605" t="s">
        <v>5325</v>
      </c>
      <c r="AB605" t="s">
        <v>74</v>
      </c>
      <c r="AC605" t="s">
        <v>74</v>
      </c>
      <c r="AD605" t="s">
        <v>74</v>
      </c>
      <c r="AE605" t="s">
        <v>74</v>
      </c>
      <c r="AF605" t="s">
        <v>74</v>
      </c>
      <c r="AG605" t="s">
        <v>74</v>
      </c>
      <c r="AH605" t="s">
        <v>74</v>
      </c>
      <c r="AI605" t="s">
        <v>74</v>
      </c>
      <c r="AJ605" t="s">
        <v>74</v>
      </c>
      <c r="AK605" t="s">
        <v>74</v>
      </c>
      <c r="AL605" t="s">
        <v>74</v>
      </c>
      <c r="AM605" t="s">
        <v>74</v>
      </c>
      <c r="AN605" t="s">
        <v>74</v>
      </c>
      <c r="AO605" t="s">
        <v>2972</v>
      </c>
      <c r="AP605" t="s">
        <v>2973</v>
      </c>
      <c r="AQ605" t="s">
        <v>74</v>
      </c>
      <c r="AR605" t="s">
        <v>74</v>
      </c>
      <c r="AS605" t="s">
        <v>74</v>
      </c>
      <c r="AT605" t="s">
        <v>1026</v>
      </c>
      <c r="AU605">
        <v>2021</v>
      </c>
      <c r="AV605">
        <v>25</v>
      </c>
      <c r="AW605">
        <v>2</v>
      </c>
      <c r="AX605" t="s">
        <v>74</v>
      </c>
      <c r="AY605" t="s">
        <v>74</v>
      </c>
      <c r="AZ605" t="s">
        <v>74</v>
      </c>
      <c r="BA605" t="s">
        <v>74</v>
      </c>
      <c r="BB605">
        <v>527</v>
      </c>
      <c r="BC605">
        <v>534</v>
      </c>
      <c r="BD605" t="s">
        <v>74</v>
      </c>
      <c r="BE605" t="s">
        <v>5326</v>
      </c>
      <c r="BF605" t="str">
        <f>HYPERLINK("http://dx.doi.org/10.1007/s10008-020-04829-2","http://dx.doi.org/10.1007/s10008-020-04829-2")</f>
        <v>http://dx.doi.org/10.1007/s10008-020-04829-2</v>
      </c>
      <c r="BG605" t="s">
        <v>74</v>
      </c>
      <c r="BH605" t="s">
        <v>5327</v>
      </c>
      <c r="BI605" t="s">
        <v>74</v>
      </c>
      <c r="BJ605" t="s">
        <v>74</v>
      </c>
      <c r="BK605" t="s">
        <v>74</v>
      </c>
      <c r="BL605" t="s">
        <v>74</v>
      </c>
      <c r="BM605" t="s">
        <v>74</v>
      </c>
      <c r="BN605" t="s">
        <v>74</v>
      </c>
      <c r="BO605" t="s">
        <v>74</v>
      </c>
      <c r="BP605" t="s">
        <v>74</v>
      </c>
      <c r="BQ605" t="s">
        <v>74</v>
      </c>
      <c r="BR605" t="s">
        <v>74</v>
      </c>
      <c r="BS605" t="s">
        <v>5328</v>
      </c>
      <c r="BT605" t="str">
        <f>HYPERLINK("https%3A%2F%2Fwww.webofscience.com%2Fwos%2Fwoscc%2Ffull-record%2FWOS:000572858800001","View Full Record in Web of Science")</f>
        <v>View Full Record in Web of Science</v>
      </c>
    </row>
    <row r="606" spans="1:72" x14ac:dyDescent="0.2">
      <c r="A606" t="s">
        <v>72</v>
      </c>
      <c r="B606" t="s">
        <v>5329</v>
      </c>
      <c r="C606" t="s">
        <v>74</v>
      </c>
      <c r="D606" t="s">
        <v>74</v>
      </c>
      <c r="E606" t="s">
        <v>74</v>
      </c>
      <c r="F606" t="s">
        <v>5330</v>
      </c>
      <c r="G606" t="s">
        <v>74</v>
      </c>
      <c r="H606" t="s">
        <v>74</v>
      </c>
      <c r="I606" t="s">
        <v>5331</v>
      </c>
      <c r="J606" t="s">
        <v>5027</v>
      </c>
      <c r="K606" t="s">
        <v>74</v>
      </c>
      <c r="L606" t="s">
        <v>74</v>
      </c>
      <c r="M606" t="s">
        <v>74</v>
      </c>
      <c r="N606" t="s">
        <v>74</v>
      </c>
      <c r="O606" t="s">
        <v>74</v>
      </c>
      <c r="P606" t="s">
        <v>74</v>
      </c>
      <c r="Q606" t="s">
        <v>74</v>
      </c>
      <c r="R606" t="s">
        <v>74</v>
      </c>
      <c r="S606" t="s">
        <v>74</v>
      </c>
      <c r="T606" t="s">
        <v>74</v>
      </c>
      <c r="U606" t="s">
        <v>74</v>
      </c>
      <c r="V606" t="s">
        <v>5332</v>
      </c>
      <c r="W606" t="s">
        <v>74</v>
      </c>
      <c r="X606" t="s">
        <v>74</v>
      </c>
      <c r="Y606" t="s">
        <v>74</v>
      </c>
      <c r="Z606" t="s">
        <v>74</v>
      </c>
      <c r="AA606" t="s">
        <v>5333</v>
      </c>
      <c r="AB606" t="s">
        <v>74</v>
      </c>
      <c r="AC606" t="s">
        <v>74</v>
      </c>
      <c r="AD606" t="s">
        <v>74</v>
      </c>
      <c r="AE606" t="s">
        <v>74</v>
      </c>
      <c r="AF606" t="s">
        <v>74</v>
      </c>
      <c r="AG606" t="s">
        <v>74</v>
      </c>
      <c r="AH606" t="s">
        <v>74</v>
      </c>
      <c r="AI606" t="s">
        <v>74</v>
      </c>
      <c r="AJ606" t="s">
        <v>74</v>
      </c>
      <c r="AK606" t="s">
        <v>74</v>
      </c>
      <c r="AL606" t="s">
        <v>74</v>
      </c>
      <c r="AM606" t="s">
        <v>74</v>
      </c>
      <c r="AN606" t="s">
        <v>74</v>
      </c>
      <c r="AO606" t="s">
        <v>5030</v>
      </c>
      <c r="AP606" t="s">
        <v>74</v>
      </c>
      <c r="AQ606" t="s">
        <v>74</v>
      </c>
      <c r="AR606" t="s">
        <v>74</v>
      </c>
      <c r="AS606" t="s">
        <v>74</v>
      </c>
      <c r="AT606" t="s">
        <v>5334</v>
      </c>
      <c r="AU606">
        <v>2020</v>
      </c>
      <c r="AV606">
        <v>398</v>
      </c>
      <c r="AW606" t="s">
        <v>74</v>
      </c>
      <c r="AX606" t="s">
        <v>74</v>
      </c>
      <c r="AY606" t="s">
        <v>74</v>
      </c>
      <c r="AZ606" t="s">
        <v>74</v>
      </c>
      <c r="BA606" t="s">
        <v>74</v>
      </c>
      <c r="BB606" t="s">
        <v>74</v>
      </c>
      <c r="BC606" t="s">
        <v>74</v>
      </c>
      <c r="BD606">
        <v>126103</v>
      </c>
      <c r="BE606" t="s">
        <v>5335</v>
      </c>
      <c r="BF606" t="str">
        <f>HYPERLINK("http://dx.doi.org/10.1016/j.surfcoat.2020.126103","http://dx.doi.org/10.1016/j.surfcoat.2020.126103")</f>
        <v>http://dx.doi.org/10.1016/j.surfcoat.2020.126103</v>
      </c>
      <c r="BG606" t="s">
        <v>74</v>
      </c>
      <c r="BH606" t="s">
        <v>74</v>
      </c>
      <c r="BI606" t="s">
        <v>74</v>
      </c>
      <c r="BJ606" t="s">
        <v>74</v>
      </c>
      <c r="BK606" t="s">
        <v>74</v>
      </c>
      <c r="BL606" t="s">
        <v>74</v>
      </c>
      <c r="BM606" t="s">
        <v>74</v>
      </c>
      <c r="BN606" t="s">
        <v>74</v>
      </c>
      <c r="BO606" t="s">
        <v>74</v>
      </c>
      <c r="BP606" t="s">
        <v>74</v>
      </c>
      <c r="BQ606" t="s">
        <v>74</v>
      </c>
      <c r="BR606" t="s">
        <v>74</v>
      </c>
      <c r="BS606" t="s">
        <v>5336</v>
      </c>
      <c r="BT606" t="str">
        <f>HYPERLINK("https%3A%2F%2Fwww.webofscience.com%2Fwos%2Fwoscc%2Ffull-record%2FWOS:000549325000032","View Full Record in Web of Science")</f>
        <v>View Full Record in Web of Science</v>
      </c>
    </row>
    <row r="607" spans="1:72" x14ac:dyDescent="0.2">
      <c r="A607" t="s">
        <v>72</v>
      </c>
      <c r="B607" t="s">
        <v>5337</v>
      </c>
      <c r="C607" t="s">
        <v>74</v>
      </c>
      <c r="D607" t="s">
        <v>74</v>
      </c>
      <c r="E607" t="s">
        <v>74</v>
      </c>
      <c r="F607" t="s">
        <v>5338</v>
      </c>
      <c r="G607" t="s">
        <v>74</v>
      </c>
      <c r="H607" t="s">
        <v>74</v>
      </c>
      <c r="I607" t="s">
        <v>5339</v>
      </c>
      <c r="J607" t="s">
        <v>3088</v>
      </c>
      <c r="K607" t="s">
        <v>74</v>
      </c>
      <c r="L607" t="s">
        <v>74</v>
      </c>
      <c r="M607" t="s">
        <v>74</v>
      </c>
      <c r="N607" t="s">
        <v>74</v>
      </c>
      <c r="O607" t="s">
        <v>74</v>
      </c>
      <c r="P607" t="s">
        <v>74</v>
      </c>
      <c r="Q607" t="s">
        <v>74</v>
      </c>
      <c r="R607" t="s">
        <v>74</v>
      </c>
      <c r="S607" t="s">
        <v>74</v>
      </c>
      <c r="T607" t="s">
        <v>74</v>
      </c>
      <c r="U607" t="s">
        <v>74</v>
      </c>
      <c r="V607" t="s">
        <v>5340</v>
      </c>
      <c r="W607" t="s">
        <v>74</v>
      </c>
      <c r="X607" t="s">
        <v>74</v>
      </c>
      <c r="Y607" t="s">
        <v>74</v>
      </c>
      <c r="Z607" t="s">
        <v>74</v>
      </c>
      <c r="AA607" t="s">
        <v>5341</v>
      </c>
      <c r="AB607" t="s">
        <v>5342</v>
      </c>
      <c r="AC607" t="s">
        <v>74</v>
      </c>
      <c r="AD607" t="s">
        <v>74</v>
      </c>
      <c r="AE607" t="s">
        <v>74</v>
      </c>
      <c r="AF607" t="s">
        <v>74</v>
      </c>
      <c r="AG607" t="s">
        <v>74</v>
      </c>
      <c r="AH607" t="s">
        <v>74</v>
      </c>
      <c r="AI607" t="s">
        <v>74</v>
      </c>
      <c r="AJ607" t="s">
        <v>74</v>
      </c>
      <c r="AK607" t="s">
        <v>74</v>
      </c>
      <c r="AL607" t="s">
        <v>74</v>
      </c>
      <c r="AM607" t="s">
        <v>74</v>
      </c>
      <c r="AN607" t="s">
        <v>74</v>
      </c>
      <c r="AO607" t="s">
        <v>3092</v>
      </c>
      <c r="AP607" t="s">
        <v>3093</v>
      </c>
      <c r="AQ607" t="s">
        <v>74</v>
      </c>
      <c r="AR607" t="s">
        <v>74</v>
      </c>
      <c r="AS607" t="s">
        <v>74</v>
      </c>
      <c r="AT607" t="s">
        <v>4606</v>
      </c>
      <c r="AU607">
        <v>2020</v>
      </c>
      <c r="AV607">
        <v>45</v>
      </c>
      <c r="AW607">
        <v>46</v>
      </c>
      <c r="AX607" t="s">
        <v>74</v>
      </c>
      <c r="AY607" t="s">
        <v>74</v>
      </c>
      <c r="AZ607" t="s">
        <v>74</v>
      </c>
      <c r="BA607" t="s">
        <v>74</v>
      </c>
      <c r="BB607">
        <v>24991</v>
      </c>
      <c r="BC607">
        <v>25001</v>
      </c>
      <c r="BD607" t="s">
        <v>74</v>
      </c>
      <c r="BE607" t="s">
        <v>5343</v>
      </c>
      <c r="BF607" t="str">
        <f>HYPERLINK("http://dx.doi.org/10.1016/j.ijhydene.2020.06.221","http://dx.doi.org/10.1016/j.ijhydene.2020.06.221")</f>
        <v>http://dx.doi.org/10.1016/j.ijhydene.2020.06.221</v>
      </c>
      <c r="BG607" t="s">
        <v>74</v>
      </c>
      <c r="BH607" t="s">
        <v>74</v>
      </c>
      <c r="BI607" t="s">
        <v>74</v>
      </c>
      <c r="BJ607" t="s">
        <v>74</v>
      </c>
      <c r="BK607" t="s">
        <v>74</v>
      </c>
      <c r="BL607" t="s">
        <v>74</v>
      </c>
      <c r="BM607" t="s">
        <v>74</v>
      </c>
      <c r="BN607" t="s">
        <v>74</v>
      </c>
      <c r="BO607" t="s">
        <v>74</v>
      </c>
      <c r="BP607" t="s">
        <v>74</v>
      </c>
      <c r="BQ607" t="s">
        <v>74</v>
      </c>
      <c r="BR607" t="s">
        <v>74</v>
      </c>
      <c r="BS607" t="s">
        <v>5344</v>
      </c>
      <c r="BT607" t="str">
        <f>HYPERLINK("https%3A%2F%2Fwww.webofscience.com%2Fwos%2Fwoscc%2Ffull-record%2FWOS:000569369200008","View Full Record in Web of Science")</f>
        <v>View Full Record in Web of Science</v>
      </c>
    </row>
    <row r="608" spans="1:72" x14ac:dyDescent="0.2">
      <c r="A608" t="s">
        <v>72</v>
      </c>
      <c r="B608" t="s">
        <v>5345</v>
      </c>
      <c r="C608" t="s">
        <v>74</v>
      </c>
      <c r="D608" t="s">
        <v>74</v>
      </c>
      <c r="E608" t="s">
        <v>74</v>
      </c>
      <c r="F608" t="s">
        <v>5346</v>
      </c>
      <c r="G608" t="s">
        <v>74</v>
      </c>
      <c r="H608" t="s">
        <v>74</v>
      </c>
      <c r="I608" t="s">
        <v>5347</v>
      </c>
      <c r="J608" t="s">
        <v>352</v>
      </c>
      <c r="K608" t="s">
        <v>74</v>
      </c>
      <c r="L608" t="s">
        <v>74</v>
      </c>
      <c r="M608" t="s">
        <v>74</v>
      </c>
      <c r="N608" t="s">
        <v>74</v>
      </c>
      <c r="O608" t="s">
        <v>74</v>
      </c>
      <c r="P608" t="s">
        <v>74</v>
      </c>
      <c r="Q608" t="s">
        <v>74</v>
      </c>
      <c r="R608" t="s">
        <v>74</v>
      </c>
      <c r="S608" t="s">
        <v>74</v>
      </c>
      <c r="T608" t="s">
        <v>74</v>
      </c>
      <c r="U608" t="s">
        <v>74</v>
      </c>
      <c r="V608" t="s">
        <v>5348</v>
      </c>
      <c r="W608" t="s">
        <v>74</v>
      </c>
      <c r="X608" t="s">
        <v>74</v>
      </c>
      <c r="Y608" t="s">
        <v>74</v>
      </c>
      <c r="Z608" t="s">
        <v>74</v>
      </c>
      <c r="AA608" t="s">
        <v>5349</v>
      </c>
      <c r="AB608" t="s">
        <v>5350</v>
      </c>
      <c r="AC608" t="s">
        <v>74</v>
      </c>
      <c r="AD608" t="s">
        <v>74</v>
      </c>
      <c r="AE608" t="s">
        <v>74</v>
      </c>
      <c r="AF608" t="s">
        <v>74</v>
      </c>
      <c r="AG608" t="s">
        <v>74</v>
      </c>
      <c r="AH608" t="s">
        <v>74</v>
      </c>
      <c r="AI608" t="s">
        <v>74</v>
      </c>
      <c r="AJ608" t="s">
        <v>74</v>
      </c>
      <c r="AK608" t="s">
        <v>74</v>
      </c>
      <c r="AL608" t="s">
        <v>74</v>
      </c>
      <c r="AM608" t="s">
        <v>74</v>
      </c>
      <c r="AN608" t="s">
        <v>74</v>
      </c>
      <c r="AO608" t="s">
        <v>354</v>
      </c>
      <c r="AP608" t="s">
        <v>355</v>
      </c>
      <c r="AQ608" t="s">
        <v>74</v>
      </c>
      <c r="AR608" t="s">
        <v>74</v>
      </c>
      <c r="AS608" t="s">
        <v>74</v>
      </c>
      <c r="AT608" t="s">
        <v>92</v>
      </c>
      <c r="AU608">
        <v>2020</v>
      </c>
      <c r="AV608">
        <v>10</v>
      </c>
      <c r="AW608">
        <v>44</v>
      </c>
      <c r="AX608" t="s">
        <v>74</v>
      </c>
      <c r="AY608" t="s">
        <v>74</v>
      </c>
      <c r="AZ608" t="s">
        <v>74</v>
      </c>
      <c r="BA608" t="s">
        <v>74</v>
      </c>
      <c r="BB608" t="s">
        <v>74</v>
      </c>
      <c r="BC608" t="s">
        <v>74</v>
      </c>
      <c r="BD608">
        <v>2002202</v>
      </c>
      <c r="BE608" t="s">
        <v>5351</v>
      </c>
      <c r="BF608" t="str">
        <f>HYPERLINK("http://dx.doi.org/10.1002/aenm.202002202","http://dx.doi.org/10.1002/aenm.202002202")</f>
        <v>http://dx.doi.org/10.1002/aenm.202002202</v>
      </c>
      <c r="BG608" t="s">
        <v>74</v>
      </c>
      <c r="BH608" t="s">
        <v>5327</v>
      </c>
      <c r="BI608" t="s">
        <v>74</v>
      </c>
      <c r="BJ608" t="s">
        <v>74</v>
      </c>
      <c r="BK608" t="s">
        <v>74</v>
      </c>
      <c r="BL608" t="s">
        <v>74</v>
      </c>
      <c r="BM608" t="s">
        <v>74</v>
      </c>
      <c r="BN608" t="s">
        <v>74</v>
      </c>
      <c r="BO608" t="s">
        <v>74</v>
      </c>
      <c r="BP608" t="s">
        <v>74</v>
      </c>
      <c r="BQ608" t="s">
        <v>74</v>
      </c>
      <c r="BR608" t="s">
        <v>74</v>
      </c>
      <c r="BS608" t="s">
        <v>5352</v>
      </c>
      <c r="BT608" t="str">
        <f>HYPERLINK("https%3A%2F%2Fwww.webofscience.com%2Fwos%2Fwoscc%2Ffull-record%2FWOS:000565675900001","View Full Record in Web of Science")</f>
        <v>View Full Record in Web of Science</v>
      </c>
    </row>
    <row r="609" spans="1:72" x14ac:dyDescent="0.2">
      <c r="A609" t="s">
        <v>72</v>
      </c>
      <c r="B609" t="s">
        <v>5353</v>
      </c>
      <c r="C609" t="s">
        <v>74</v>
      </c>
      <c r="D609" t="s">
        <v>74</v>
      </c>
      <c r="E609" t="s">
        <v>74</v>
      </c>
      <c r="F609" t="s">
        <v>5354</v>
      </c>
      <c r="G609" t="s">
        <v>74</v>
      </c>
      <c r="H609" t="s">
        <v>74</v>
      </c>
      <c r="I609" t="s">
        <v>5355</v>
      </c>
      <c r="J609" t="s">
        <v>528</v>
      </c>
      <c r="K609" t="s">
        <v>74</v>
      </c>
      <c r="L609" t="s">
        <v>74</v>
      </c>
      <c r="M609" t="s">
        <v>74</v>
      </c>
      <c r="N609" t="s">
        <v>74</v>
      </c>
      <c r="O609" t="s">
        <v>74</v>
      </c>
      <c r="P609" t="s">
        <v>74</v>
      </c>
      <c r="Q609" t="s">
        <v>74</v>
      </c>
      <c r="R609" t="s">
        <v>74</v>
      </c>
      <c r="S609" t="s">
        <v>74</v>
      </c>
      <c r="T609" t="s">
        <v>74</v>
      </c>
      <c r="U609" t="s">
        <v>74</v>
      </c>
      <c r="V609" t="s">
        <v>5356</v>
      </c>
      <c r="W609" t="s">
        <v>74</v>
      </c>
      <c r="X609" t="s">
        <v>74</v>
      </c>
      <c r="Y609" t="s">
        <v>74</v>
      </c>
      <c r="Z609" t="s">
        <v>74</v>
      </c>
      <c r="AA609" t="s">
        <v>5357</v>
      </c>
      <c r="AB609" t="s">
        <v>5358</v>
      </c>
      <c r="AC609" t="s">
        <v>74</v>
      </c>
      <c r="AD609" t="s">
        <v>74</v>
      </c>
      <c r="AE609" t="s">
        <v>74</v>
      </c>
      <c r="AF609" t="s">
        <v>74</v>
      </c>
      <c r="AG609" t="s">
        <v>74</v>
      </c>
      <c r="AH609" t="s">
        <v>74</v>
      </c>
      <c r="AI609" t="s">
        <v>74</v>
      </c>
      <c r="AJ609" t="s">
        <v>74</v>
      </c>
      <c r="AK609" t="s">
        <v>74</v>
      </c>
      <c r="AL609" t="s">
        <v>74</v>
      </c>
      <c r="AM609" t="s">
        <v>74</v>
      </c>
      <c r="AN609" t="s">
        <v>74</v>
      </c>
      <c r="AO609" t="s">
        <v>532</v>
      </c>
      <c r="AP609" t="s">
        <v>533</v>
      </c>
      <c r="AQ609" t="s">
        <v>74</v>
      </c>
      <c r="AR609" t="s">
        <v>74</v>
      </c>
      <c r="AS609" t="s">
        <v>74</v>
      </c>
      <c r="AT609" t="s">
        <v>5359</v>
      </c>
      <c r="AU609">
        <v>2020</v>
      </c>
      <c r="AV609">
        <v>12</v>
      </c>
      <c r="AW609">
        <v>35</v>
      </c>
      <c r="AX609" t="s">
        <v>74</v>
      </c>
      <c r="AY609" t="s">
        <v>74</v>
      </c>
      <c r="AZ609" t="s">
        <v>74</v>
      </c>
      <c r="BA609" t="s">
        <v>74</v>
      </c>
      <c r="BB609">
        <v>39135</v>
      </c>
      <c r="BC609">
        <v>39144</v>
      </c>
      <c r="BD609" t="s">
        <v>74</v>
      </c>
      <c r="BE609" t="s">
        <v>5360</v>
      </c>
      <c r="BF609" t="str">
        <f>HYPERLINK("http://dx.doi.org/10.1021/acsami.0c09948","http://dx.doi.org/10.1021/acsami.0c09948")</f>
        <v>http://dx.doi.org/10.1021/acsami.0c09948</v>
      </c>
      <c r="BG609" t="s">
        <v>74</v>
      </c>
      <c r="BH609" t="s">
        <v>74</v>
      </c>
      <c r="BI609" t="s">
        <v>74</v>
      </c>
      <c r="BJ609" t="s">
        <v>74</v>
      </c>
      <c r="BK609" t="s">
        <v>74</v>
      </c>
      <c r="BL609" t="s">
        <v>74</v>
      </c>
      <c r="BM609" t="s">
        <v>74</v>
      </c>
      <c r="BN609">
        <v>32805873</v>
      </c>
      <c r="BO609" t="s">
        <v>74</v>
      </c>
      <c r="BP609" t="s">
        <v>74</v>
      </c>
      <c r="BQ609" t="s">
        <v>74</v>
      </c>
      <c r="BR609" t="s">
        <v>74</v>
      </c>
      <c r="BS609" t="s">
        <v>5361</v>
      </c>
      <c r="BT609" t="str">
        <f>HYPERLINK("https%3A%2F%2Fwww.webofscience.com%2Fwos%2Fwoscc%2Ffull-record%2FWOS:000569268800030","View Full Record in Web of Science")</f>
        <v>View Full Record in Web of Science</v>
      </c>
    </row>
    <row r="610" spans="1:72" x14ac:dyDescent="0.2">
      <c r="A610" t="s">
        <v>72</v>
      </c>
      <c r="B610" t="s">
        <v>5362</v>
      </c>
      <c r="C610" t="s">
        <v>74</v>
      </c>
      <c r="D610" t="s">
        <v>74</v>
      </c>
      <c r="E610" t="s">
        <v>74</v>
      </c>
      <c r="F610" t="s">
        <v>5363</v>
      </c>
      <c r="G610" t="s">
        <v>74</v>
      </c>
      <c r="H610" t="s">
        <v>74</v>
      </c>
      <c r="I610" t="s">
        <v>5364</v>
      </c>
      <c r="J610" t="s">
        <v>528</v>
      </c>
      <c r="K610" t="s">
        <v>74</v>
      </c>
      <c r="L610" t="s">
        <v>74</v>
      </c>
      <c r="M610" t="s">
        <v>74</v>
      </c>
      <c r="N610" t="s">
        <v>74</v>
      </c>
      <c r="O610" t="s">
        <v>74</v>
      </c>
      <c r="P610" t="s">
        <v>74</v>
      </c>
      <c r="Q610" t="s">
        <v>74</v>
      </c>
      <c r="R610" t="s">
        <v>74</v>
      </c>
      <c r="S610" t="s">
        <v>74</v>
      </c>
      <c r="T610" t="s">
        <v>74</v>
      </c>
      <c r="U610" t="s">
        <v>74</v>
      </c>
      <c r="V610" t="s">
        <v>5365</v>
      </c>
      <c r="W610" t="s">
        <v>74</v>
      </c>
      <c r="X610" t="s">
        <v>74</v>
      </c>
      <c r="Y610" t="s">
        <v>74</v>
      </c>
      <c r="Z610" t="s">
        <v>74</v>
      </c>
      <c r="AA610" t="s">
        <v>5366</v>
      </c>
      <c r="AB610" t="s">
        <v>5367</v>
      </c>
      <c r="AC610" t="s">
        <v>74</v>
      </c>
      <c r="AD610" t="s">
        <v>74</v>
      </c>
      <c r="AE610" t="s">
        <v>74</v>
      </c>
      <c r="AF610" t="s">
        <v>74</v>
      </c>
      <c r="AG610" t="s">
        <v>74</v>
      </c>
      <c r="AH610" t="s">
        <v>74</v>
      </c>
      <c r="AI610" t="s">
        <v>74</v>
      </c>
      <c r="AJ610" t="s">
        <v>74</v>
      </c>
      <c r="AK610" t="s">
        <v>74</v>
      </c>
      <c r="AL610" t="s">
        <v>74</v>
      </c>
      <c r="AM610" t="s">
        <v>74</v>
      </c>
      <c r="AN610" t="s">
        <v>74</v>
      </c>
      <c r="AO610" t="s">
        <v>532</v>
      </c>
      <c r="AP610" t="s">
        <v>533</v>
      </c>
      <c r="AQ610" t="s">
        <v>74</v>
      </c>
      <c r="AR610" t="s">
        <v>74</v>
      </c>
      <c r="AS610" t="s">
        <v>74</v>
      </c>
      <c r="AT610" t="s">
        <v>5368</v>
      </c>
      <c r="AU610">
        <v>2020</v>
      </c>
      <c r="AV610">
        <v>12</v>
      </c>
      <c r="AW610">
        <v>34</v>
      </c>
      <c r="AX610" t="s">
        <v>74</v>
      </c>
      <c r="AY610" t="s">
        <v>74</v>
      </c>
      <c r="AZ610" t="s">
        <v>74</v>
      </c>
      <c r="BA610" t="s">
        <v>74</v>
      </c>
      <c r="BB610">
        <v>37957</v>
      </c>
      <c r="BC610">
        <v>37966</v>
      </c>
      <c r="BD610" t="s">
        <v>74</v>
      </c>
      <c r="BE610" t="s">
        <v>5369</v>
      </c>
      <c r="BF610" t="str">
        <f>HYPERLINK("http://dx.doi.org/10.1021/acsami.9b19091","http://dx.doi.org/10.1021/acsami.9b19091")</f>
        <v>http://dx.doi.org/10.1021/acsami.9b19091</v>
      </c>
      <c r="BG610" t="s">
        <v>74</v>
      </c>
      <c r="BH610" t="s">
        <v>74</v>
      </c>
      <c r="BI610" t="s">
        <v>74</v>
      </c>
      <c r="BJ610" t="s">
        <v>74</v>
      </c>
      <c r="BK610" t="s">
        <v>74</v>
      </c>
      <c r="BL610" t="s">
        <v>74</v>
      </c>
      <c r="BM610" t="s">
        <v>74</v>
      </c>
      <c r="BN610">
        <v>32700896</v>
      </c>
      <c r="BO610" t="s">
        <v>74</v>
      </c>
      <c r="BP610" t="s">
        <v>74</v>
      </c>
      <c r="BQ610" t="s">
        <v>74</v>
      </c>
      <c r="BR610" t="s">
        <v>74</v>
      </c>
      <c r="BS610" t="s">
        <v>5370</v>
      </c>
      <c r="BT610" t="str">
        <f>HYPERLINK("https%3A%2F%2Fwww.webofscience.com%2Fwos%2Fwoscc%2Ffull-record%2FWOS:000566662000014","View Full Record in Web of Science")</f>
        <v>View Full Record in Web of Science</v>
      </c>
    </row>
    <row r="611" spans="1:72" x14ac:dyDescent="0.2">
      <c r="A611" t="s">
        <v>72</v>
      </c>
      <c r="B611" t="s">
        <v>5371</v>
      </c>
      <c r="C611" t="s">
        <v>74</v>
      </c>
      <c r="D611" t="s">
        <v>74</v>
      </c>
      <c r="E611" t="s">
        <v>74</v>
      </c>
      <c r="F611" t="s">
        <v>5372</v>
      </c>
      <c r="G611" t="s">
        <v>74</v>
      </c>
      <c r="H611" t="s">
        <v>74</v>
      </c>
      <c r="I611" t="s">
        <v>5373</v>
      </c>
      <c r="J611" t="s">
        <v>422</v>
      </c>
      <c r="K611" t="s">
        <v>74</v>
      </c>
      <c r="L611" t="s">
        <v>74</v>
      </c>
      <c r="M611" t="s">
        <v>74</v>
      </c>
      <c r="N611" t="s">
        <v>74</v>
      </c>
      <c r="O611" t="s">
        <v>74</v>
      </c>
      <c r="P611" t="s">
        <v>74</v>
      </c>
      <c r="Q611" t="s">
        <v>74</v>
      </c>
      <c r="R611" t="s">
        <v>74</v>
      </c>
      <c r="S611" t="s">
        <v>74</v>
      </c>
      <c r="T611" t="s">
        <v>74</v>
      </c>
      <c r="U611" t="s">
        <v>74</v>
      </c>
      <c r="V611" t="s">
        <v>5374</v>
      </c>
      <c r="W611" t="s">
        <v>74</v>
      </c>
      <c r="X611" t="s">
        <v>74</v>
      </c>
      <c r="Y611" t="s">
        <v>74</v>
      </c>
      <c r="Z611" t="s">
        <v>74</v>
      </c>
      <c r="AA611" t="s">
        <v>5375</v>
      </c>
      <c r="AB611" t="s">
        <v>5376</v>
      </c>
      <c r="AC611" t="s">
        <v>74</v>
      </c>
      <c r="AD611" t="s">
        <v>74</v>
      </c>
      <c r="AE611" t="s">
        <v>74</v>
      </c>
      <c r="AF611" t="s">
        <v>74</v>
      </c>
      <c r="AG611" t="s">
        <v>74</v>
      </c>
      <c r="AH611" t="s">
        <v>74</v>
      </c>
      <c r="AI611" t="s">
        <v>74</v>
      </c>
      <c r="AJ611" t="s">
        <v>74</v>
      </c>
      <c r="AK611" t="s">
        <v>74</v>
      </c>
      <c r="AL611" t="s">
        <v>74</v>
      </c>
      <c r="AM611" t="s">
        <v>74</v>
      </c>
      <c r="AN611" t="s">
        <v>74</v>
      </c>
      <c r="AO611" t="s">
        <v>426</v>
      </c>
      <c r="AP611" t="s">
        <v>74</v>
      </c>
      <c r="AQ611" t="s">
        <v>74</v>
      </c>
      <c r="AR611" t="s">
        <v>74</v>
      </c>
      <c r="AS611" t="s">
        <v>74</v>
      </c>
      <c r="AT611" t="s">
        <v>5377</v>
      </c>
      <c r="AU611">
        <v>2020</v>
      </c>
      <c r="AV611">
        <v>3</v>
      </c>
      <c r="AW611">
        <v>8</v>
      </c>
      <c r="AX611" t="s">
        <v>74</v>
      </c>
      <c r="AY611" t="s">
        <v>74</v>
      </c>
      <c r="AZ611" t="s">
        <v>74</v>
      </c>
      <c r="BA611" t="s">
        <v>74</v>
      </c>
      <c r="BB611">
        <v>7306</v>
      </c>
      <c r="BC611">
        <v>7317</v>
      </c>
      <c r="BD611" t="s">
        <v>74</v>
      </c>
      <c r="BE611" t="s">
        <v>5378</v>
      </c>
      <c r="BF611" t="str">
        <f>HYPERLINK("http://dx.doi.org/10.1021/acsaem.0c00492","http://dx.doi.org/10.1021/acsaem.0c00492")</f>
        <v>http://dx.doi.org/10.1021/acsaem.0c00492</v>
      </c>
      <c r="BG611" t="s">
        <v>74</v>
      </c>
      <c r="BH611" t="s">
        <v>74</v>
      </c>
      <c r="BI611" t="s">
        <v>74</v>
      </c>
      <c r="BJ611" t="s">
        <v>74</v>
      </c>
      <c r="BK611" t="s">
        <v>74</v>
      </c>
      <c r="BL611" t="s">
        <v>74</v>
      </c>
      <c r="BM611" t="s">
        <v>74</v>
      </c>
      <c r="BN611" t="s">
        <v>74</v>
      </c>
      <c r="BO611" t="s">
        <v>74</v>
      </c>
      <c r="BP611" t="s">
        <v>74</v>
      </c>
      <c r="BQ611" t="s">
        <v>74</v>
      </c>
      <c r="BR611" t="s">
        <v>74</v>
      </c>
      <c r="BS611" t="s">
        <v>5379</v>
      </c>
      <c r="BT611" t="str">
        <f>HYPERLINK("https%3A%2F%2Fwww.webofscience.com%2Fwos%2Fwoscc%2Ffull-record%2FWOS:000563784400010","View Full Record in Web of Science")</f>
        <v>View Full Record in Web of Science</v>
      </c>
    </row>
    <row r="612" spans="1:72" x14ac:dyDescent="0.2">
      <c r="A612" t="s">
        <v>72</v>
      </c>
      <c r="B612" t="s">
        <v>5380</v>
      </c>
      <c r="C612" t="s">
        <v>74</v>
      </c>
      <c r="D612" t="s">
        <v>74</v>
      </c>
      <c r="E612" t="s">
        <v>74</v>
      </c>
      <c r="F612" t="s">
        <v>5381</v>
      </c>
      <c r="G612" t="s">
        <v>74</v>
      </c>
      <c r="H612" t="s">
        <v>74</v>
      </c>
      <c r="I612" t="s">
        <v>5382</v>
      </c>
      <c r="J612" t="s">
        <v>1809</v>
      </c>
      <c r="K612" t="s">
        <v>74</v>
      </c>
      <c r="L612" t="s">
        <v>74</v>
      </c>
      <c r="M612" t="s">
        <v>74</v>
      </c>
      <c r="N612" t="s">
        <v>74</v>
      </c>
      <c r="O612" t="s">
        <v>74</v>
      </c>
      <c r="P612" t="s">
        <v>74</v>
      </c>
      <c r="Q612" t="s">
        <v>74</v>
      </c>
      <c r="R612" t="s">
        <v>74</v>
      </c>
      <c r="S612" t="s">
        <v>74</v>
      </c>
      <c r="T612" t="s">
        <v>74</v>
      </c>
      <c r="U612" t="s">
        <v>74</v>
      </c>
      <c r="V612" t="s">
        <v>5383</v>
      </c>
      <c r="W612" t="s">
        <v>74</v>
      </c>
      <c r="X612" t="s">
        <v>74</v>
      </c>
      <c r="Y612" t="s">
        <v>74</v>
      </c>
      <c r="Z612" t="s">
        <v>74</v>
      </c>
      <c r="AA612" t="s">
        <v>5384</v>
      </c>
      <c r="AB612" t="s">
        <v>5385</v>
      </c>
      <c r="AC612" t="s">
        <v>74</v>
      </c>
      <c r="AD612" t="s">
        <v>74</v>
      </c>
      <c r="AE612" t="s">
        <v>74</v>
      </c>
      <c r="AF612" t="s">
        <v>74</v>
      </c>
      <c r="AG612" t="s">
        <v>74</v>
      </c>
      <c r="AH612" t="s">
        <v>74</v>
      </c>
      <c r="AI612" t="s">
        <v>74</v>
      </c>
      <c r="AJ612" t="s">
        <v>74</v>
      </c>
      <c r="AK612" t="s">
        <v>74</v>
      </c>
      <c r="AL612" t="s">
        <v>74</v>
      </c>
      <c r="AM612" t="s">
        <v>74</v>
      </c>
      <c r="AN612" t="s">
        <v>74</v>
      </c>
      <c r="AO612" t="s">
        <v>74</v>
      </c>
      <c r="AP612" t="s">
        <v>1813</v>
      </c>
      <c r="AQ612" t="s">
        <v>74</v>
      </c>
      <c r="AR612" t="s">
        <v>74</v>
      </c>
      <c r="AS612" t="s">
        <v>74</v>
      </c>
      <c r="AT612" t="s">
        <v>113</v>
      </c>
      <c r="AU612">
        <v>2020</v>
      </c>
      <c r="AV612">
        <v>7</v>
      </c>
      <c r="AW612">
        <v>19</v>
      </c>
      <c r="AX612" t="s">
        <v>74</v>
      </c>
      <c r="AY612" t="s">
        <v>74</v>
      </c>
      <c r="AZ612" t="s">
        <v>74</v>
      </c>
      <c r="BA612" t="s">
        <v>74</v>
      </c>
      <c r="BB612" t="s">
        <v>74</v>
      </c>
      <c r="BC612" t="s">
        <v>74</v>
      </c>
      <c r="BD612">
        <v>2001303</v>
      </c>
      <c r="BE612" t="s">
        <v>5386</v>
      </c>
      <c r="BF612" t="str">
        <f>HYPERLINK("http://dx.doi.org/10.1002/advs.202001303","http://dx.doi.org/10.1002/advs.202001303")</f>
        <v>http://dx.doi.org/10.1002/advs.202001303</v>
      </c>
      <c r="BG612" t="s">
        <v>74</v>
      </c>
      <c r="BH612" t="s">
        <v>5387</v>
      </c>
      <c r="BI612" t="s">
        <v>74</v>
      </c>
      <c r="BJ612" t="s">
        <v>74</v>
      </c>
      <c r="BK612" t="s">
        <v>74</v>
      </c>
      <c r="BL612" t="s">
        <v>74</v>
      </c>
      <c r="BM612" t="s">
        <v>74</v>
      </c>
      <c r="BN612">
        <v>33042749</v>
      </c>
      <c r="BO612" t="s">
        <v>74</v>
      </c>
      <c r="BP612" t="s">
        <v>74</v>
      </c>
      <c r="BQ612" t="s">
        <v>74</v>
      </c>
      <c r="BR612" t="s">
        <v>74</v>
      </c>
      <c r="BS612" t="s">
        <v>5388</v>
      </c>
      <c r="BT612" t="str">
        <f>HYPERLINK("https%3A%2F%2Fwww.webofscience.com%2Fwos%2Fwoscc%2Ffull-record%2FWOS:000560851400001","View Full Record in Web of Science")</f>
        <v>View Full Record in Web of Science</v>
      </c>
    </row>
    <row r="613" spans="1:72" x14ac:dyDescent="0.2">
      <c r="A613" t="s">
        <v>72</v>
      </c>
      <c r="B613" t="s">
        <v>5389</v>
      </c>
      <c r="C613" t="s">
        <v>74</v>
      </c>
      <c r="D613" t="s">
        <v>74</v>
      </c>
      <c r="E613" t="s">
        <v>74</v>
      </c>
      <c r="F613" t="s">
        <v>5390</v>
      </c>
      <c r="G613" t="s">
        <v>74</v>
      </c>
      <c r="H613" t="s">
        <v>74</v>
      </c>
      <c r="I613" t="s">
        <v>5391</v>
      </c>
      <c r="J613" t="s">
        <v>2987</v>
      </c>
      <c r="K613" t="s">
        <v>74</v>
      </c>
      <c r="L613" t="s">
        <v>74</v>
      </c>
      <c r="M613" t="s">
        <v>74</v>
      </c>
      <c r="N613" t="s">
        <v>74</v>
      </c>
      <c r="O613" t="s">
        <v>74</v>
      </c>
      <c r="P613" t="s">
        <v>74</v>
      </c>
      <c r="Q613" t="s">
        <v>74</v>
      </c>
      <c r="R613" t="s">
        <v>74</v>
      </c>
      <c r="S613" t="s">
        <v>74</v>
      </c>
      <c r="T613" t="s">
        <v>74</v>
      </c>
      <c r="U613" t="s">
        <v>74</v>
      </c>
      <c r="V613" t="s">
        <v>5392</v>
      </c>
      <c r="W613" t="s">
        <v>74</v>
      </c>
      <c r="X613" t="s">
        <v>74</v>
      </c>
      <c r="Y613" t="s">
        <v>74</v>
      </c>
      <c r="Z613" t="s">
        <v>74</v>
      </c>
      <c r="AA613" t="s">
        <v>5393</v>
      </c>
      <c r="AB613" t="s">
        <v>5394</v>
      </c>
      <c r="AC613" t="s">
        <v>74</v>
      </c>
      <c r="AD613" t="s">
        <v>74</v>
      </c>
      <c r="AE613" t="s">
        <v>74</v>
      </c>
      <c r="AF613" t="s">
        <v>74</v>
      </c>
      <c r="AG613" t="s">
        <v>74</v>
      </c>
      <c r="AH613" t="s">
        <v>74</v>
      </c>
      <c r="AI613" t="s">
        <v>74</v>
      </c>
      <c r="AJ613" t="s">
        <v>74</v>
      </c>
      <c r="AK613" t="s">
        <v>74</v>
      </c>
      <c r="AL613" t="s">
        <v>74</v>
      </c>
      <c r="AM613" t="s">
        <v>74</v>
      </c>
      <c r="AN613" t="s">
        <v>74</v>
      </c>
      <c r="AO613" t="s">
        <v>2991</v>
      </c>
      <c r="AP613" t="s">
        <v>2992</v>
      </c>
      <c r="AQ613" t="s">
        <v>74</v>
      </c>
      <c r="AR613" t="s">
        <v>74</v>
      </c>
      <c r="AS613" t="s">
        <v>74</v>
      </c>
      <c r="AT613" t="s">
        <v>165</v>
      </c>
      <c r="AU613">
        <v>2020</v>
      </c>
      <c r="AV613">
        <v>312</v>
      </c>
      <c r="AW613" t="s">
        <v>74</v>
      </c>
      <c r="AX613" t="s">
        <v>74</v>
      </c>
      <c r="AY613" t="s">
        <v>74</v>
      </c>
      <c r="AZ613" t="s">
        <v>74</v>
      </c>
      <c r="BA613" t="s">
        <v>74</v>
      </c>
      <c r="BB613" t="s">
        <v>74</v>
      </c>
      <c r="BC613" t="s">
        <v>74</v>
      </c>
      <c r="BD613">
        <v>113400</v>
      </c>
      <c r="BE613" t="s">
        <v>5395</v>
      </c>
      <c r="BF613" t="str">
        <f>HYPERLINK("http://dx.doi.org/10.1016/j.molliq.2020.113400","http://dx.doi.org/10.1016/j.molliq.2020.113400")</f>
        <v>http://dx.doi.org/10.1016/j.molliq.2020.113400</v>
      </c>
      <c r="BG613" t="s">
        <v>74</v>
      </c>
      <c r="BH613" t="s">
        <v>74</v>
      </c>
      <c r="BI613" t="s">
        <v>74</v>
      </c>
      <c r="BJ613" t="s">
        <v>74</v>
      </c>
      <c r="BK613" t="s">
        <v>74</v>
      </c>
      <c r="BL613" t="s">
        <v>74</v>
      </c>
      <c r="BM613" t="s">
        <v>74</v>
      </c>
      <c r="BN613" t="s">
        <v>74</v>
      </c>
      <c r="BO613" t="s">
        <v>74</v>
      </c>
      <c r="BP613" t="s">
        <v>74</v>
      </c>
      <c r="BQ613" t="s">
        <v>74</v>
      </c>
      <c r="BR613" t="s">
        <v>74</v>
      </c>
      <c r="BS613" t="s">
        <v>5396</v>
      </c>
      <c r="BT613" t="str">
        <f>HYPERLINK("https%3A%2F%2Fwww.webofscience.com%2Fwos%2Fwoscc%2Ffull-record%2FWOS:000559968600016","View Full Record in Web of Science")</f>
        <v>View Full Record in Web of Science</v>
      </c>
    </row>
    <row r="614" spans="1:72" x14ac:dyDescent="0.2">
      <c r="A614" t="s">
        <v>72</v>
      </c>
      <c r="B614" t="s">
        <v>5397</v>
      </c>
      <c r="C614" t="s">
        <v>74</v>
      </c>
      <c r="D614" t="s">
        <v>74</v>
      </c>
      <c r="E614" t="s">
        <v>74</v>
      </c>
      <c r="F614" t="s">
        <v>5398</v>
      </c>
      <c r="G614" t="s">
        <v>74</v>
      </c>
      <c r="H614" t="s">
        <v>74</v>
      </c>
      <c r="I614" t="s">
        <v>5399</v>
      </c>
      <c r="J614" t="s">
        <v>587</v>
      </c>
      <c r="K614" t="s">
        <v>74</v>
      </c>
      <c r="L614" t="s">
        <v>74</v>
      </c>
      <c r="M614" t="s">
        <v>74</v>
      </c>
      <c r="N614" t="s">
        <v>74</v>
      </c>
      <c r="O614" t="s">
        <v>74</v>
      </c>
      <c r="P614" t="s">
        <v>74</v>
      </c>
      <c r="Q614" t="s">
        <v>74</v>
      </c>
      <c r="R614" t="s">
        <v>74</v>
      </c>
      <c r="S614" t="s">
        <v>74</v>
      </c>
      <c r="T614" t="s">
        <v>74</v>
      </c>
      <c r="U614" t="s">
        <v>74</v>
      </c>
      <c r="V614" t="s">
        <v>5400</v>
      </c>
      <c r="W614" t="s">
        <v>74</v>
      </c>
      <c r="X614" t="s">
        <v>74</v>
      </c>
      <c r="Y614" t="s">
        <v>74</v>
      </c>
      <c r="Z614" t="s">
        <v>74</v>
      </c>
      <c r="AA614" t="s">
        <v>5401</v>
      </c>
      <c r="AB614" t="s">
        <v>5402</v>
      </c>
      <c r="AC614" t="s">
        <v>74</v>
      </c>
      <c r="AD614" t="s">
        <v>74</v>
      </c>
      <c r="AE614" t="s">
        <v>74</v>
      </c>
      <c r="AF614" t="s">
        <v>74</v>
      </c>
      <c r="AG614" t="s">
        <v>74</v>
      </c>
      <c r="AH614" t="s">
        <v>74</v>
      </c>
      <c r="AI614" t="s">
        <v>74</v>
      </c>
      <c r="AJ614" t="s">
        <v>74</v>
      </c>
      <c r="AK614" t="s">
        <v>74</v>
      </c>
      <c r="AL614" t="s">
        <v>74</v>
      </c>
      <c r="AM614" t="s">
        <v>74</v>
      </c>
      <c r="AN614" t="s">
        <v>74</v>
      </c>
      <c r="AO614" t="s">
        <v>591</v>
      </c>
      <c r="AP614" t="s">
        <v>74</v>
      </c>
      <c r="AQ614" t="s">
        <v>74</v>
      </c>
      <c r="AR614" t="s">
        <v>74</v>
      </c>
      <c r="AS614" t="s">
        <v>74</v>
      </c>
      <c r="AT614" t="s">
        <v>3798</v>
      </c>
      <c r="AU614">
        <v>2020</v>
      </c>
      <c r="AV614">
        <v>7</v>
      </c>
      <c r="AW614">
        <v>15</v>
      </c>
      <c r="AX614" t="s">
        <v>74</v>
      </c>
      <c r="AY614" t="s">
        <v>74</v>
      </c>
      <c r="AZ614" t="s">
        <v>74</v>
      </c>
      <c r="BA614" t="s">
        <v>74</v>
      </c>
      <c r="BB614">
        <v>3353</v>
      </c>
      <c r="BC614">
        <v>3360</v>
      </c>
      <c r="BD614" t="s">
        <v>74</v>
      </c>
      <c r="BE614" t="s">
        <v>5403</v>
      </c>
      <c r="BF614" t="str">
        <f>HYPERLINK("http://dx.doi.org/10.1002/celc.202000784","http://dx.doi.org/10.1002/celc.202000784")</f>
        <v>http://dx.doi.org/10.1002/celc.202000784</v>
      </c>
      <c r="BG614" t="s">
        <v>74</v>
      </c>
      <c r="BH614" t="s">
        <v>74</v>
      </c>
      <c r="BI614" t="s">
        <v>74</v>
      </c>
      <c r="BJ614" t="s">
        <v>74</v>
      </c>
      <c r="BK614" t="s">
        <v>74</v>
      </c>
      <c r="BL614" t="s">
        <v>74</v>
      </c>
      <c r="BM614" t="s">
        <v>74</v>
      </c>
      <c r="BN614" t="s">
        <v>74</v>
      </c>
      <c r="BO614" t="s">
        <v>74</v>
      </c>
      <c r="BP614" t="s">
        <v>74</v>
      </c>
      <c r="BQ614" t="s">
        <v>74</v>
      </c>
      <c r="BR614" t="s">
        <v>74</v>
      </c>
      <c r="BS614" t="s">
        <v>5404</v>
      </c>
      <c r="BT614" t="str">
        <f>HYPERLINK("https%3A%2F%2Fwww.webofscience.com%2Fwos%2Fwoscc%2Ffull-record%2FWOS:000563957400020","View Full Record in Web of Science")</f>
        <v>View Full Record in Web of Science</v>
      </c>
    </row>
    <row r="615" spans="1:72" x14ac:dyDescent="0.2">
      <c r="A615" t="s">
        <v>72</v>
      </c>
      <c r="B615" t="s">
        <v>5405</v>
      </c>
      <c r="C615" t="s">
        <v>74</v>
      </c>
      <c r="D615" t="s">
        <v>74</v>
      </c>
      <c r="E615" t="s">
        <v>74</v>
      </c>
      <c r="F615" t="s">
        <v>5406</v>
      </c>
      <c r="G615" t="s">
        <v>74</v>
      </c>
      <c r="H615" t="s">
        <v>74</v>
      </c>
      <c r="I615" t="s">
        <v>5407</v>
      </c>
      <c r="J615" t="s">
        <v>4354</v>
      </c>
      <c r="K615" t="s">
        <v>74</v>
      </c>
      <c r="L615" t="s">
        <v>74</v>
      </c>
      <c r="M615" t="s">
        <v>74</v>
      </c>
      <c r="N615" t="s">
        <v>74</v>
      </c>
      <c r="O615" t="s">
        <v>74</v>
      </c>
      <c r="P615" t="s">
        <v>74</v>
      </c>
      <c r="Q615" t="s">
        <v>74</v>
      </c>
      <c r="R615" t="s">
        <v>74</v>
      </c>
      <c r="S615" t="s">
        <v>74</v>
      </c>
      <c r="T615" t="s">
        <v>74</v>
      </c>
      <c r="U615" t="s">
        <v>74</v>
      </c>
      <c r="V615" t="s">
        <v>5408</v>
      </c>
      <c r="W615" t="s">
        <v>74</v>
      </c>
      <c r="X615" t="s">
        <v>74</v>
      </c>
      <c r="Y615" t="s">
        <v>74</v>
      </c>
      <c r="Z615" t="s">
        <v>74</v>
      </c>
      <c r="AA615" t="s">
        <v>4033</v>
      </c>
      <c r="AB615" t="s">
        <v>5409</v>
      </c>
      <c r="AC615" t="s">
        <v>74</v>
      </c>
      <c r="AD615" t="s">
        <v>74</v>
      </c>
      <c r="AE615" t="s">
        <v>74</v>
      </c>
      <c r="AF615" t="s">
        <v>74</v>
      </c>
      <c r="AG615" t="s">
        <v>74</v>
      </c>
      <c r="AH615" t="s">
        <v>74</v>
      </c>
      <c r="AI615" t="s">
        <v>74</v>
      </c>
      <c r="AJ615" t="s">
        <v>74</v>
      </c>
      <c r="AK615" t="s">
        <v>74</v>
      </c>
      <c r="AL615" t="s">
        <v>74</v>
      </c>
      <c r="AM615" t="s">
        <v>74</v>
      </c>
      <c r="AN615" t="s">
        <v>74</v>
      </c>
      <c r="AO615" t="s">
        <v>4358</v>
      </c>
      <c r="AP615" t="s">
        <v>74</v>
      </c>
      <c r="AQ615" t="s">
        <v>74</v>
      </c>
      <c r="AR615" t="s">
        <v>74</v>
      </c>
      <c r="AS615" t="s">
        <v>74</v>
      </c>
      <c r="AT615" t="s">
        <v>1803</v>
      </c>
      <c r="AU615">
        <v>2020</v>
      </c>
      <c r="AV615">
        <v>4</v>
      </c>
      <c r="AW615">
        <v>8</v>
      </c>
      <c r="AX615" t="s">
        <v>74</v>
      </c>
      <c r="AY615" t="s">
        <v>74</v>
      </c>
      <c r="AZ615" t="s">
        <v>74</v>
      </c>
      <c r="BA615" t="s">
        <v>74</v>
      </c>
      <c r="BB615">
        <v>4126</v>
      </c>
      <c r="BC615">
        <v>4136</v>
      </c>
      <c r="BD615" t="s">
        <v>74</v>
      </c>
      <c r="BE615" t="s">
        <v>5410</v>
      </c>
      <c r="BF615" t="str">
        <f>HYPERLINK("http://dx.doi.org/10.1039/d0se00529k","http://dx.doi.org/10.1039/d0se00529k")</f>
        <v>http://dx.doi.org/10.1039/d0se00529k</v>
      </c>
      <c r="BG615" t="s">
        <v>74</v>
      </c>
      <c r="BH615" t="s">
        <v>74</v>
      </c>
      <c r="BI615" t="s">
        <v>74</v>
      </c>
      <c r="BJ615" t="s">
        <v>74</v>
      </c>
      <c r="BK615" t="s">
        <v>74</v>
      </c>
      <c r="BL615" t="s">
        <v>74</v>
      </c>
      <c r="BM615" t="s">
        <v>74</v>
      </c>
      <c r="BN615" t="s">
        <v>74</v>
      </c>
      <c r="BO615" t="s">
        <v>74</v>
      </c>
      <c r="BP615" t="s">
        <v>74</v>
      </c>
      <c r="BQ615" t="s">
        <v>74</v>
      </c>
      <c r="BR615" t="s">
        <v>74</v>
      </c>
      <c r="BS615" t="s">
        <v>5411</v>
      </c>
      <c r="BT615" t="str">
        <f>HYPERLINK("https%3A%2F%2Fwww.webofscience.com%2Fwos%2Fwoscc%2Ffull-record%2FWOS:000552930600029","View Full Record in Web of Science")</f>
        <v>View Full Record in Web of Science</v>
      </c>
    </row>
    <row r="616" spans="1:72" x14ac:dyDescent="0.2">
      <c r="A616" t="s">
        <v>72</v>
      </c>
      <c r="B616" t="s">
        <v>5412</v>
      </c>
      <c r="C616" t="s">
        <v>74</v>
      </c>
      <c r="D616" t="s">
        <v>74</v>
      </c>
      <c r="E616" t="s">
        <v>74</v>
      </c>
      <c r="F616" t="s">
        <v>5413</v>
      </c>
      <c r="G616" t="s">
        <v>74</v>
      </c>
      <c r="H616" t="s">
        <v>74</v>
      </c>
      <c r="I616" t="s">
        <v>5414</v>
      </c>
      <c r="J616" t="s">
        <v>422</v>
      </c>
      <c r="K616" t="s">
        <v>74</v>
      </c>
      <c r="L616" t="s">
        <v>74</v>
      </c>
      <c r="M616" t="s">
        <v>74</v>
      </c>
      <c r="N616" t="s">
        <v>74</v>
      </c>
      <c r="O616" t="s">
        <v>74</v>
      </c>
      <c r="P616" t="s">
        <v>74</v>
      </c>
      <c r="Q616" t="s">
        <v>74</v>
      </c>
      <c r="R616" t="s">
        <v>74</v>
      </c>
      <c r="S616" t="s">
        <v>74</v>
      </c>
      <c r="T616" t="s">
        <v>74</v>
      </c>
      <c r="U616" t="s">
        <v>74</v>
      </c>
      <c r="V616" t="s">
        <v>5415</v>
      </c>
      <c r="W616" t="s">
        <v>74</v>
      </c>
      <c r="X616" t="s">
        <v>74</v>
      </c>
      <c r="Y616" t="s">
        <v>74</v>
      </c>
      <c r="Z616" t="s">
        <v>74</v>
      </c>
      <c r="AA616" t="s">
        <v>5416</v>
      </c>
      <c r="AB616" t="s">
        <v>5417</v>
      </c>
      <c r="AC616" t="s">
        <v>74</v>
      </c>
      <c r="AD616" t="s">
        <v>74</v>
      </c>
      <c r="AE616" t="s">
        <v>74</v>
      </c>
      <c r="AF616" t="s">
        <v>74</v>
      </c>
      <c r="AG616" t="s">
        <v>74</v>
      </c>
      <c r="AH616" t="s">
        <v>74</v>
      </c>
      <c r="AI616" t="s">
        <v>74</v>
      </c>
      <c r="AJ616" t="s">
        <v>74</v>
      </c>
      <c r="AK616" t="s">
        <v>74</v>
      </c>
      <c r="AL616" t="s">
        <v>74</v>
      </c>
      <c r="AM616" t="s">
        <v>74</v>
      </c>
      <c r="AN616" t="s">
        <v>74</v>
      </c>
      <c r="AO616" t="s">
        <v>426</v>
      </c>
      <c r="AP616" t="s">
        <v>74</v>
      </c>
      <c r="AQ616" t="s">
        <v>74</v>
      </c>
      <c r="AR616" t="s">
        <v>74</v>
      </c>
      <c r="AS616" t="s">
        <v>74</v>
      </c>
      <c r="AT616" t="s">
        <v>5418</v>
      </c>
      <c r="AU616">
        <v>2020</v>
      </c>
      <c r="AV616">
        <v>3</v>
      </c>
      <c r="AW616">
        <v>7</v>
      </c>
      <c r="AX616" t="s">
        <v>74</v>
      </c>
      <c r="AY616" t="s">
        <v>74</v>
      </c>
      <c r="AZ616" t="s">
        <v>74</v>
      </c>
      <c r="BA616" t="s">
        <v>74</v>
      </c>
      <c r="BB616">
        <v>6775</v>
      </c>
      <c r="BC616">
        <v>6784</v>
      </c>
      <c r="BD616" t="s">
        <v>74</v>
      </c>
      <c r="BE616" t="s">
        <v>5419</v>
      </c>
      <c r="BF616" t="str">
        <f>HYPERLINK("http://dx.doi.org/10.1021/acsaem.0c00905","http://dx.doi.org/10.1021/acsaem.0c00905")</f>
        <v>http://dx.doi.org/10.1021/acsaem.0c00905</v>
      </c>
      <c r="BG616" t="s">
        <v>74</v>
      </c>
      <c r="BH616" t="s">
        <v>74</v>
      </c>
      <c r="BI616" t="s">
        <v>74</v>
      </c>
      <c r="BJ616" t="s">
        <v>74</v>
      </c>
      <c r="BK616" t="s">
        <v>74</v>
      </c>
      <c r="BL616" t="s">
        <v>74</v>
      </c>
      <c r="BM616" t="s">
        <v>74</v>
      </c>
      <c r="BN616" t="s">
        <v>74</v>
      </c>
      <c r="BO616" t="s">
        <v>74</v>
      </c>
      <c r="BP616" t="s">
        <v>74</v>
      </c>
      <c r="BQ616" t="s">
        <v>74</v>
      </c>
      <c r="BR616" t="s">
        <v>74</v>
      </c>
      <c r="BS616" t="s">
        <v>5420</v>
      </c>
      <c r="BT616" t="str">
        <f>HYPERLINK("https%3A%2F%2Fwww.webofscience.com%2Fwos%2Fwoscc%2Ffull-record%2FWOS:000557375200084","View Full Record in Web of Science")</f>
        <v>View Full Record in Web of Science</v>
      </c>
    </row>
    <row r="617" spans="1:72" x14ac:dyDescent="0.2">
      <c r="A617" t="s">
        <v>72</v>
      </c>
      <c r="B617" t="s">
        <v>5421</v>
      </c>
      <c r="C617" t="s">
        <v>74</v>
      </c>
      <c r="D617" t="s">
        <v>74</v>
      </c>
      <c r="E617" t="s">
        <v>74</v>
      </c>
      <c r="F617" t="s">
        <v>5422</v>
      </c>
      <c r="G617" t="s">
        <v>74</v>
      </c>
      <c r="H617" t="s">
        <v>74</v>
      </c>
      <c r="I617" t="s">
        <v>5423</v>
      </c>
      <c r="J617" t="s">
        <v>411</v>
      </c>
      <c r="K617" t="s">
        <v>74</v>
      </c>
      <c r="L617" t="s">
        <v>74</v>
      </c>
      <c r="M617" t="s">
        <v>74</v>
      </c>
      <c r="N617" t="s">
        <v>74</v>
      </c>
      <c r="O617" t="s">
        <v>74</v>
      </c>
      <c r="P617" t="s">
        <v>74</v>
      </c>
      <c r="Q617" t="s">
        <v>74</v>
      </c>
      <c r="R617" t="s">
        <v>74</v>
      </c>
      <c r="S617" t="s">
        <v>74</v>
      </c>
      <c r="T617" t="s">
        <v>74</v>
      </c>
      <c r="U617" t="s">
        <v>74</v>
      </c>
      <c r="V617" t="s">
        <v>5424</v>
      </c>
      <c r="W617" t="s">
        <v>74</v>
      </c>
      <c r="X617" t="s">
        <v>74</v>
      </c>
      <c r="Y617" t="s">
        <v>74</v>
      </c>
      <c r="Z617" t="s">
        <v>74</v>
      </c>
      <c r="AA617" t="s">
        <v>5425</v>
      </c>
      <c r="AB617" t="s">
        <v>5426</v>
      </c>
      <c r="AC617" t="s">
        <v>74</v>
      </c>
      <c r="AD617" t="s">
        <v>74</v>
      </c>
      <c r="AE617" t="s">
        <v>74</v>
      </c>
      <c r="AF617" t="s">
        <v>74</v>
      </c>
      <c r="AG617" t="s">
        <v>74</v>
      </c>
      <c r="AH617" t="s">
        <v>74</v>
      </c>
      <c r="AI617" t="s">
        <v>74</v>
      </c>
      <c r="AJ617" t="s">
        <v>74</v>
      </c>
      <c r="AK617" t="s">
        <v>74</v>
      </c>
      <c r="AL617" t="s">
        <v>74</v>
      </c>
      <c r="AM617" t="s">
        <v>74</v>
      </c>
      <c r="AN617" t="s">
        <v>74</v>
      </c>
      <c r="AO617" t="s">
        <v>414</v>
      </c>
      <c r="AP617" t="s">
        <v>415</v>
      </c>
      <c r="AQ617" t="s">
        <v>74</v>
      </c>
      <c r="AR617" t="s">
        <v>74</v>
      </c>
      <c r="AS617" t="s">
        <v>74</v>
      </c>
      <c r="AT617" t="s">
        <v>629</v>
      </c>
      <c r="AU617">
        <v>2020</v>
      </c>
      <c r="AV617">
        <v>16</v>
      </c>
      <c r="AW617">
        <v>34</v>
      </c>
      <c r="AX617" t="s">
        <v>74</v>
      </c>
      <c r="AY617" t="s">
        <v>74</v>
      </c>
      <c r="AZ617" t="s">
        <v>74</v>
      </c>
      <c r="BA617" t="s">
        <v>74</v>
      </c>
      <c r="BB617" t="s">
        <v>74</v>
      </c>
      <c r="BC617" t="s">
        <v>74</v>
      </c>
      <c r="BD617">
        <v>2002671</v>
      </c>
      <c r="BE617" t="s">
        <v>5427</v>
      </c>
      <c r="BF617" t="str">
        <f>HYPERLINK("http://dx.doi.org/10.1002/smll.202002671","http://dx.doi.org/10.1002/smll.202002671")</f>
        <v>http://dx.doi.org/10.1002/smll.202002671</v>
      </c>
      <c r="BG617" t="s">
        <v>74</v>
      </c>
      <c r="BH617" t="s">
        <v>5428</v>
      </c>
      <c r="BI617" t="s">
        <v>74</v>
      </c>
      <c r="BJ617" t="s">
        <v>74</v>
      </c>
      <c r="BK617" t="s">
        <v>74</v>
      </c>
      <c r="BL617" t="s">
        <v>74</v>
      </c>
      <c r="BM617" t="s">
        <v>74</v>
      </c>
      <c r="BN617">
        <v>32696583</v>
      </c>
      <c r="BO617" t="s">
        <v>74</v>
      </c>
      <c r="BP617" t="s">
        <v>74</v>
      </c>
      <c r="BQ617" t="s">
        <v>74</v>
      </c>
      <c r="BR617" t="s">
        <v>74</v>
      </c>
      <c r="BS617" t="s">
        <v>5429</v>
      </c>
      <c r="BT617" t="str">
        <f>HYPERLINK("https%3A%2F%2Fwww.webofscience.com%2Fwos%2Fwoscc%2Ffull-record%2FWOS:000550683000001","View Full Record in Web of Science")</f>
        <v>View Full Record in Web of Science</v>
      </c>
    </row>
    <row r="618" spans="1:72" x14ac:dyDescent="0.2">
      <c r="A618" t="s">
        <v>72</v>
      </c>
      <c r="B618" t="s">
        <v>5430</v>
      </c>
      <c r="C618" t="s">
        <v>74</v>
      </c>
      <c r="D618" t="s">
        <v>74</v>
      </c>
      <c r="E618" t="s">
        <v>74</v>
      </c>
      <c r="F618" t="s">
        <v>5431</v>
      </c>
      <c r="G618" t="s">
        <v>74</v>
      </c>
      <c r="H618" t="s">
        <v>74</v>
      </c>
      <c r="I618" t="s">
        <v>5432</v>
      </c>
      <c r="J618" t="s">
        <v>5433</v>
      </c>
      <c r="K618" t="s">
        <v>74</v>
      </c>
      <c r="L618" t="s">
        <v>74</v>
      </c>
      <c r="M618" t="s">
        <v>74</v>
      </c>
      <c r="N618" t="s">
        <v>74</v>
      </c>
      <c r="O618" t="s">
        <v>74</v>
      </c>
      <c r="P618" t="s">
        <v>74</v>
      </c>
      <c r="Q618" t="s">
        <v>74</v>
      </c>
      <c r="R618" t="s">
        <v>74</v>
      </c>
      <c r="S618" t="s">
        <v>74</v>
      </c>
      <c r="T618" t="s">
        <v>74</v>
      </c>
      <c r="U618" t="s">
        <v>74</v>
      </c>
      <c r="V618" t="s">
        <v>5434</v>
      </c>
      <c r="W618" t="s">
        <v>74</v>
      </c>
      <c r="X618" t="s">
        <v>74</v>
      </c>
      <c r="Y618" t="s">
        <v>74</v>
      </c>
      <c r="Z618" t="s">
        <v>74</v>
      </c>
      <c r="AA618" t="s">
        <v>5435</v>
      </c>
      <c r="AB618" t="s">
        <v>5436</v>
      </c>
      <c r="AC618" t="s">
        <v>74</v>
      </c>
      <c r="AD618" t="s">
        <v>74</v>
      </c>
      <c r="AE618" t="s">
        <v>74</v>
      </c>
      <c r="AF618" t="s">
        <v>74</v>
      </c>
      <c r="AG618" t="s">
        <v>74</v>
      </c>
      <c r="AH618" t="s">
        <v>74</v>
      </c>
      <c r="AI618" t="s">
        <v>74</v>
      </c>
      <c r="AJ618" t="s">
        <v>74</v>
      </c>
      <c r="AK618" t="s">
        <v>74</v>
      </c>
      <c r="AL618" t="s">
        <v>74</v>
      </c>
      <c r="AM618" t="s">
        <v>74</v>
      </c>
      <c r="AN618" t="s">
        <v>74</v>
      </c>
      <c r="AO618" t="s">
        <v>5437</v>
      </c>
      <c r="AP618" t="s">
        <v>74</v>
      </c>
      <c r="AQ618" t="s">
        <v>74</v>
      </c>
      <c r="AR618" t="s">
        <v>74</v>
      </c>
      <c r="AS618" t="s">
        <v>74</v>
      </c>
      <c r="AT618" t="s">
        <v>5438</v>
      </c>
      <c r="AU618">
        <v>2020</v>
      </c>
      <c r="AV618">
        <v>5</v>
      </c>
      <c r="AW618">
        <v>25</v>
      </c>
      <c r="AX618" t="s">
        <v>74</v>
      </c>
      <c r="AY618" t="s">
        <v>74</v>
      </c>
      <c r="AZ618" t="s">
        <v>74</v>
      </c>
      <c r="BA618" t="s">
        <v>74</v>
      </c>
      <c r="BB618">
        <v>7563</v>
      </c>
      <c r="BC618">
        <v>7570</v>
      </c>
      <c r="BD618" t="s">
        <v>74</v>
      </c>
      <c r="BE618" t="s">
        <v>5439</v>
      </c>
      <c r="BF618" t="str">
        <f>HYPERLINK("http://dx.doi.org/10.1002/slct.202001729","http://dx.doi.org/10.1002/slct.202001729")</f>
        <v>http://dx.doi.org/10.1002/slct.202001729</v>
      </c>
      <c r="BG618" t="s">
        <v>74</v>
      </c>
      <c r="BH618" t="s">
        <v>74</v>
      </c>
      <c r="BI618" t="s">
        <v>74</v>
      </c>
      <c r="BJ618" t="s">
        <v>74</v>
      </c>
      <c r="BK618" t="s">
        <v>74</v>
      </c>
      <c r="BL618" t="s">
        <v>74</v>
      </c>
      <c r="BM618" t="s">
        <v>74</v>
      </c>
      <c r="BN618" t="s">
        <v>74</v>
      </c>
      <c r="BO618" t="s">
        <v>74</v>
      </c>
      <c r="BP618" t="s">
        <v>74</v>
      </c>
      <c r="BQ618" t="s">
        <v>74</v>
      </c>
      <c r="BR618" t="s">
        <v>74</v>
      </c>
      <c r="BS618" t="s">
        <v>5440</v>
      </c>
      <c r="BT618" t="str">
        <f>HYPERLINK("https%3A%2F%2Fwww.webofscience.com%2Fwos%2Fwoscc%2Ffull-record%2FWOS:000545756700033","View Full Record in Web of Science")</f>
        <v>View Full Record in Web of Science</v>
      </c>
    </row>
    <row r="619" spans="1:72" x14ac:dyDescent="0.2">
      <c r="A619" t="s">
        <v>72</v>
      </c>
      <c r="B619" t="s">
        <v>5441</v>
      </c>
      <c r="C619" t="s">
        <v>74</v>
      </c>
      <c r="D619" t="s">
        <v>74</v>
      </c>
      <c r="E619" t="s">
        <v>74</v>
      </c>
      <c r="F619" t="s">
        <v>5442</v>
      </c>
      <c r="G619" t="s">
        <v>74</v>
      </c>
      <c r="H619" t="s">
        <v>74</v>
      </c>
      <c r="I619" t="s">
        <v>5443</v>
      </c>
      <c r="J619" t="s">
        <v>528</v>
      </c>
      <c r="K619" t="s">
        <v>74</v>
      </c>
      <c r="L619" t="s">
        <v>74</v>
      </c>
      <c r="M619" t="s">
        <v>74</v>
      </c>
      <c r="N619" t="s">
        <v>74</v>
      </c>
      <c r="O619" t="s">
        <v>74</v>
      </c>
      <c r="P619" t="s">
        <v>74</v>
      </c>
      <c r="Q619" t="s">
        <v>74</v>
      </c>
      <c r="R619" t="s">
        <v>74</v>
      </c>
      <c r="S619" t="s">
        <v>74</v>
      </c>
      <c r="T619" t="s">
        <v>74</v>
      </c>
      <c r="U619" t="s">
        <v>74</v>
      </c>
      <c r="V619" t="s">
        <v>5444</v>
      </c>
      <c r="W619" t="s">
        <v>74</v>
      </c>
      <c r="X619" t="s">
        <v>74</v>
      </c>
      <c r="Y619" t="s">
        <v>74</v>
      </c>
      <c r="Z619" t="s">
        <v>74</v>
      </c>
      <c r="AA619" t="s">
        <v>5445</v>
      </c>
      <c r="AB619" t="s">
        <v>5446</v>
      </c>
      <c r="AC619" t="s">
        <v>74</v>
      </c>
      <c r="AD619" t="s">
        <v>74</v>
      </c>
      <c r="AE619" t="s">
        <v>74</v>
      </c>
      <c r="AF619" t="s">
        <v>74</v>
      </c>
      <c r="AG619" t="s">
        <v>74</v>
      </c>
      <c r="AH619" t="s">
        <v>74</v>
      </c>
      <c r="AI619" t="s">
        <v>74</v>
      </c>
      <c r="AJ619" t="s">
        <v>74</v>
      </c>
      <c r="AK619" t="s">
        <v>74</v>
      </c>
      <c r="AL619" t="s">
        <v>74</v>
      </c>
      <c r="AM619" t="s">
        <v>74</v>
      </c>
      <c r="AN619" t="s">
        <v>74</v>
      </c>
      <c r="AO619" t="s">
        <v>532</v>
      </c>
      <c r="AP619" t="s">
        <v>533</v>
      </c>
      <c r="AQ619" t="s">
        <v>74</v>
      </c>
      <c r="AR619" t="s">
        <v>74</v>
      </c>
      <c r="AS619" t="s">
        <v>74</v>
      </c>
      <c r="AT619" t="s">
        <v>378</v>
      </c>
      <c r="AU619">
        <v>2020</v>
      </c>
      <c r="AV619">
        <v>12</v>
      </c>
      <c r="AW619">
        <v>26</v>
      </c>
      <c r="AX619" t="s">
        <v>74</v>
      </c>
      <c r="AY619" t="s">
        <v>74</v>
      </c>
      <c r="AZ619" t="s">
        <v>74</v>
      </c>
      <c r="BA619" t="s">
        <v>74</v>
      </c>
      <c r="BB619">
        <v>29162</v>
      </c>
      <c r="BC619">
        <v>29172</v>
      </c>
      <c r="BD619" t="s">
        <v>74</v>
      </c>
      <c r="BE619" t="s">
        <v>5447</v>
      </c>
      <c r="BF619" t="str">
        <f>HYPERLINK("http://dx.doi.org/10.1021/acsami.0c03363","http://dx.doi.org/10.1021/acsami.0c03363")</f>
        <v>http://dx.doi.org/10.1021/acsami.0c03363</v>
      </c>
      <c r="BG619" t="s">
        <v>74</v>
      </c>
      <c r="BH619" t="s">
        <v>74</v>
      </c>
      <c r="BI619" t="s">
        <v>74</v>
      </c>
      <c r="BJ619" t="s">
        <v>74</v>
      </c>
      <c r="BK619" t="s">
        <v>74</v>
      </c>
      <c r="BL619" t="s">
        <v>74</v>
      </c>
      <c r="BM619" t="s">
        <v>74</v>
      </c>
      <c r="BN619">
        <v>32412737</v>
      </c>
      <c r="BO619" t="s">
        <v>74</v>
      </c>
      <c r="BP619" t="s">
        <v>74</v>
      </c>
      <c r="BQ619" t="s">
        <v>74</v>
      </c>
      <c r="BR619" t="s">
        <v>74</v>
      </c>
      <c r="BS619" t="s">
        <v>5448</v>
      </c>
      <c r="BT619" t="str">
        <f>HYPERLINK("https%3A%2F%2Fwww.webofscience.com%2Fwos%2Fwoscc%2Ffull-record%2FWOS:000546698600024","View Full Record in Web of Science")</f>
        <v>View Full Record in Web of Science</v>
      </c>
    </row>
    <row r="620" spans="1:72" x14ac:dyDescent="0.2">
      <c r="A620" t="s">
        <v>72</v>
      </c>
      <c r="B620" t="s">
        <v>5449</v>
      </c>
      <c r="C620" t="s">
        <v>74</v>
      </c>
      <c r="D620" t="s">
        <v>74</v>
      </c>
      <c r="E620" t="s">
        <v>74</v>
      </c>
      <c r="F620" t="s">
        <v>5450</v>
      </c>
      <c r="G620" t="s">
        <v>74</v>
      </c>
      <c r="H620" t="s">
        <v>74</v>
      </c>
      <c r="I620" t="s">
        <v>5451</v>
      </c>
      <c r="J620" t="s">
        <v>488</v>
      </c>
      <c r="K620" t="s">
        <v>74</v>
      </c>
      <c r="L620" t="s">
        <v>74</v>
      </c>
      <c r="M620" t="s">
        <v>74</v>
      </c>
      <c r="N620" t="s">
        <v>74</v>
      </c>
      <c r="O620" t="s">
        <v>74</v>
      </c>
      <c r="P620" t="s">
        <v>74</v>
      </c>
      <c r="Q620" t="s">
        <v>74</v>
      </c>
      <c r="R620" t="s">
        <v>74</v>
      </c>
      <c r="S620" t="s">
        <v>74</v>
      </c>
      <c r="T620" t="s">
        <v>74</v>
      </c>
      <c r="U620" t="s">
        <v>74</v>
      </c>
      <c r="V620" t="s">
        <v>5452</v>
      </c>
      <c r="W620" t="s">
        <v>74</v>
      </c>
      <c r="X620" t="s">
        <v>74</v>
      </c>
      <c r="Y620" t="s">
        <v>74</v>
      </c>
      <c r="Z620" t="s">
        <v>74</v>
      </c>
      <c r="AA620" t="s">
        <v>74</v>
      </c>
      <c r="AB620" t="s">
        <v>5453</v>
      </c>
      <c r="AC620" t="s">
        <v>74</v>
      </c>
      <c r="AD620" t="s">
        <v>74</v>
      </c>
      <c r="AE620" t="s">
        <v>74</v>
      </c>
      <c r="AF620" t="s">
        <v>74</v>
      </c>
      <c r="AG620" t="s">
        <v>74</v>
      </c>
      <c r="AH620" t="s">
        <v>74</v>
      </c>
      <c r="AI620" t="s">
        <v>74</v>
      </c>
      <c r="AJ620" t="s">
        <v>74</v>
      </c>
      <c r="AK620" t="s">
        <v>74</v>
      </c>
      <c r="AL620" t="s">
        <v>74</v>
      </c>
      <c r="AM620" t="s">
        <v>74</v>
      </c>
      <c r="AN620" t="s">
        <v>74</v>
      </c>
      <c r="AO620" t="s">
        <v>491</v>
      </c>
      <c r="AP620" t="s">
        <v>74</v>
      </c>
      <c r="AQ620" t="s">
        <v>74</v>
      </c>
      <c r="AR620" t="s">
        <v>74</v>
      </c>
      <c r="AS620" t="s">
        <v>74</v>
      </c>
      <c r="AT620" t="s">
        <v>5454</v>
      </c>
      <c r="AU620">
        <v>2020</v>
      </c>
      <c r="AV620">
        <v>8</v>
      </c>
      <c r="AW620">
        <v>25</v>
      </c>
      <c r="AX620" t="s">
        <v>74</v>
      </c>
      <c r="AY620" t="s">
        <v>74</v>
      </c>
      <c r="AZ620" t="s">
        <v>74</v>
      </c>
      <c r="BA620" t="s">
        <v>74</v>
      </c>
      <c r="BB620">
        <v>9311</v>
      </c>
      <c r="BC620">
        <v>9324</v>
      </c>
      <c r="BD620" t="s">
        <v>74</v>
      </c>
      <c r="BE620" t="s">
        <v>5455</v>
      </c>
      <c r="BF620" t="str">
        <f>HYPERLINK("http://dx.doi.org/10.1021/acssuschemeng.0c00870","http://dx.doi.org/10.1021/acssuschemeng.0c00870")</f>
        <v>http://dx.doi.org/10.1021/acssuschemeng.0c00870</v>
      </c>
      <c r="BG620" t="s">
        <v>74</v>
      </c>
      <c r="BH620" t="s">
        <v>74</v>
      </c>
      <c r="BI620" t="s">
        <v>74</v>
      </c>
      <c r="BJ620" t="s">
        <v>74</v>
      </c>
      <c r="BK620" t="s">
        <v>74</v>
      </c>
      <c r="BL620" t="s">
        <v>74</v>
      </c>
      <c r="BM620" t="s">
        <v>74</v>
      </c>
      <c r="BN620" t="s">
        <v>74</v>
      </c>
      <c r="BO620" t="s">
        <v>74</v>
      </c>
      <c r="BP620" t="s">
        <v>74</v>
      </c>
      <c r="BQ620" t="s">
        <v>74</v>
      </c>
      <c r="BR620" t="s">
        <v>74</v>
      </c>
      <c r="BS620" t="s">
        <v>5456</v>
      </c>
      <c r="BT620" t="str">
        <f>HYPERLINK("https%3A%2F%2Fwww.webofscience.com%2Fwos%2Fwoscc%2Ffull-record%2FWOS:000545975600010","View Full Record in Web of Science")</f>
        <v>View Full Record in Web of Science</v>
      </c>
    </row>
    <row r="621" spans="1:72" x14ac:dyDescent="0.2">
      <c r="A621" t="s">
        <v>72</v>
      </c>
      <c r="B621" t="s">
        <v>5457</v>
      </c>
      <c r="C621" t="s">
        <v>74</v>
      </c>
      <c r="D621" t="s">
        <v>74</v>
      </c>
      <c r="E621" t="s">
        <v>74</v>
      </c>
      <c r="F621" t="s">
        <v>5458</v>
      </c>
      <c r="G621" t="s">
        <v>74</v>
      </c>
      <c r="H621" t="s">
        <v>74</v>
      </c>
      <c r="I621" t="s">
        <v>5459</v>
      </c>
      <c r="J621" t="s">
        <v>5460</v>
      </c>
      <c r="K621" t="s">
        <v>74</v>
      </c>
      <c r="L621" t="s">
        <v>74</v>
      </c>
      <c r="M621" t="s">
        <v>74</v>
      </c>
      <c r="N621" t="s">
        <v>74</v>
      </c>
      <c r="O621" t="s">
        <v>74</v>
      </c>
      <c r="P621" t="s">
        <v>74</v>
      </c>
      <c r="Q621" t="s">
        <v>74</v>
      </c>
      <c r="R621" t="s">
        <v>74</v>
      </c>
      <c r="S621" t="s">
        <v>74</v>
      </c>
      <c r="T621" t="s">
        <v>74</v>
      </c>
      <c r="U621" t="s">
        <v>74</v>
      </c>
      <c r="V621" t="s">
        <v>5461</v>
      </c>
      <c r="W621" t="s">
        <v>74</v>
      </c>
      <c r="X621" t="s">
        <v>74</v>
      </c>
      <c r="Y621" t="s">
        <v>74</v>
      </c>
      <c r="Z621" t="s">
        <v>74</v>
      </c>
      <c r="AA621" t="s">
        <v>5462</v>
      </c>
      <c r="AB621" t="s">
        <v>5463</v>
      </c>
      <c r="AC621" t="s">
        <v>74</v>
      </c>
      <c r="AD621" t="s">
        <v>74</v>
      </c>
      <c r="AE621" t="s">
        <v>74</v>
      </c>
      <c r="AF621" t="s">
        <v>74</v>
      </c>
      <c r="AG621" t="s">
        <v>74</v>
      </c>
      <c r="AH621" t="s">
        <v>74</v>
      </c>
      <c r="AI621" t="s">
        <v>74</v>
      </c>
      <c r="AJ621" t="s">
        <v>74</v>
      </c>
      <c r="AK621" t="s">
        <v>74</v>
      </c>
      <c r="AL621" t="s">
        <v>74</v>
      </c>
      <c r="AM621" t="s">
        <v>74</v>
      </c>
      <c r="AN621" t="s">
        <v>74</v>
      </c>
      <c r="AO621" t="s">
        <v>74</v>
      </c>
      <c r="AP621" t="s">
        <v>5464</v>
      </c>
      <c r="AQ621" t="s">
        <v>74</v>
      </c>
      <c r="AR621" t="s">
        <v>74</v>
      </c>
      <c r="AS621" t="s">
        <v>74</v>
      </c>
      <c r="AT621" t="s">
        <v>5465</v>
      </c>
      <c r="AU621">
        <v>2020</v>
      </c>
      <c r="AV621">
        <v>10</v>
      </c>
      <c r="AW621">
        <v>36</v>
      </c>
      <c r="AX621" t="s">
        <v>74</v>
      </c>
      <c r="AY621" t="s">
        <v>74</v>
      </c>
      <c r="AZ621" t="s">
        <v>74</v>
      </c>
      <c r="BA621" t="s">
        <v>74</v>
      </c>
      <c r="BB621">
        <v>21387</v>
      </c>
      <c r="BC621">
        <v>21398</v>
      </c>
      <c r="BD621" t="s">
        <v>74</v>
      </c>
      <c r="BE621" t="s">
        <v>5466</v>
      </c>
      <c r="BF621" t="str">
        <f>HYPERLINK("http://dx.doi.org/10.1039/d0ra03126g","http://dx.doi.org/10.1039/d0ra03126g")</f>
        <v>http://dx.doi.org/10.1039/d0ra03126g</v>
      </c>
      <c r="BG621" t="s">
        <v>74</v>
      </c>
      <c r="BH621" t="s">
        <v>74</v>
      </c>
      <c r="BI621" t="s">
        <v>74</v>
      </c>
      <c r="BJ621" t="s">
        <v>74</v>
      </c>
      <c r="BK621" t="s">
        <v>74</v>
      </c>
      <c r="BL621" t="s">
        <v>74</v>
      </c>
      <c r="BM621" t="s">
        <v>74</v>
      </c>
      <c r="BN621">
        <v>35518781</v>
      </c>
      <c r="BO621" t="s">
        <v>74</v>
      </c>
      <c r="BP621" t="s">
        <v>74</v>
      </c>
      <c r="BQ621" t="s">
        <v>74</v>
      </c>
      <c r="BR621" t="s">
        <v>74</v>
      </c>
      <c r="BS621" t="s">
        <v>5467</v>
      </c>
      <c r="BT621" t="str">
        <f>HYPERLINK("https%3A%2F%2Fwww.webofscience.com%2Fwos%2Fwoscc%2Ffull-record%2FWOS:000542722900038","View Full Record in Web of Science")</f>
        <v>View Full Record in Web of Science</v>
      </c>
    </row>
    <row r="622" spans="1:72" x14ac:dyDescent="0.2">
      <c r="A622" t="s">
        <v>72</v>
      </c>
      <c r="B622" t="s">
        <v>5468</v>
      </c>
      <c r="C622" t="s">
        <v>74</v>
      </c>
      <c r="D622" t="s">
        <v>74</v>
      </c>
      <c r="E622" t="s">
        <v>74</v>
      </c>
      <c r="F622" t="s">
        <v>5469</v>
      </c>
      <c r="G622" t="s">
        <v>74</v>
      </c>
      <c r="H622" t="s">
        <v>74</v>
      </c>
      <c r="I622" t="s">
        <v>5470</v>
      </c>
      <c r="J622" t="s">
        <v>665</v>
      </c>
      <c r="K622" t="s">
        <v>74</v>
      </c>
      <c r="L622" t="s">
        <v>74</v>
      </c>
      <c r="M622" t="s">
        <v>74</v>
      </c>
      <c r="N622" t="s">
        <v>74</v>
      </c>
      <c r="O622" t="s">
        <v>74</v>
      </c>
      <c r="P622" t="s">
        <v>74</v>
      </c>
      <c r="Q622" t="s">
        <v>74</v>
      </c>
      <c r="R622" t="s">
        <v>74</v>
      </c>
      <c r="S622" t="s">
        <v>74</v>
      </c>
      <c r="T622" t="s">
        <v>74</v>
      </c>
      <c r="U622" t="s">
        <v>74</v>
      </c>
      <c r="V622" t="s">
        <v>5471</v>
      </c>
      <c r="W622" t="s">
        <v>74</v>
      </c>
      <c r="X622" t="s">
        <v>74</v>
      </c>
      <c r="Y622" t="s">
        <v>74</v>
      </c>
      <c r="Z622" t="s">
        <v>74</v>
      </c>
      <c r="AA622" t="s">
        <v>1652</v>
      </c>
      <c r="AB622" t="s">
        <v>74</v>
      </c>
      <c r="AC622" t="s">
        <v>74</v>
      </c>
      <c r="AD622" t="s">
        <v>74</v>
      </c>
      <c r="AE622" t="s">
        <v>74</v>
      </c>
      <c r="AF622" t="s">
        <v>74</v>
      </c>
      <c r="AG622" t="s">
        <v>74</v>
      </c>
      <c r="AH622" t="s">
        <v>74</v>
      </c>
      <c r="AI622" t="s">
        <v>74</v>
      </c>
      <c r="AJ622" t="s">
        <v>74</v>
      </c>
      <c r="AK622" t="s">
        <v>74</v>
      </c>
      <c r="AL622" t="s">
        <v>74</v>
      </c>
      <c r="AM622" t="s">
        <v>74</v>
      </c>
      <c r="AN622" t="s">
        <v>74</v>
      </c>
      <c r="AO622" t="s">
        <v>668</v>
      </c>
      <c r="AP622" t="s">
        <v>669</v>
      </c>
      <c r="AQ622" t="s">
        <v>74</v>
      </c>
      <c r="AR622" t="s">
        <v>74</v>
      </c>
      <c r="AS622" t="s">
        <v>74</v>
      </c>
      <c r="AT622" t="s">
        <v>1972</v>
      </c>
      <c r="AU622">
        <v>2020</v>
      </c>
      <c r="AV622">
        <v>349</v>
      </c>
      <c r="AW622" t="s">
        <v>74</v>
      </c>
      <c r="AX622" t="s">
        <v>74</v>
      </c>
      <c r="AY622" t="s">
        <v>74</v>
      </c>
      <c r="AZ622" t="s">
        <v>74</v>
      </c>
      <c r="BA622" t="s">
        <v>74</v>
      </c>
      <c r="BB622" t="s">
        <v>74</v>
      </c>
      <c r="BC622" t="s">
        <v>74</v>
      </c>
      <c r="BD622">
        <v>115309</v>
      </c>
      <c r="BE622" t="s">
        <v>5472</v>
      </c>
      <c r="BF622" t="str">
        <f>HYPERLINK("http://dx.doi.org/10.1016/j.ssi.2020.115309","http://dx.doi.org/10.1016/j.ssi.2020.115309")</f>
        <v>http://dx.doi.org/10.1016/j.ssi.2020.115309</v>
      </c>
      <c r="BG622" t="s">
        <v>74</v>
      </c>
      <c r="BH622" t="s">
        <v>74</v>
      </c>
      <c r="BI622" t="s">
        <v>74</v>
      </c>
      <c r="BJ622" t="s">
        <v>74</v>
      </c>
      <c r="BK622" t="s">
        <v>74</v>
      </c>
      <c r="BL622" t="s">
        <v>74</v>
      </c>
      <c r="BM622" t="s">
        <v>74</v>
      </c>
      <c r="BN622" t="s">
        <v>74</v>
      </c>
      <c r="BO622" t="s">
        <v>74</v>
      </c>
      <c r="BP622" t="s">
        <v>74</v>
      </c>
      <c r="BQ622" t="s">
        <v>74</v>
      </c>
      <c r="BR622" t="s">
        <v>74</v>
      </c>
      <c r="BS622" t="s">
        <v>5473</v>
      </c>
      <c r="BT622" t="str">
        <f>HYPERLINK("https%3A%2F%2Fwww.webofscience.com%2Fwos%2Fwoscc%2Ffull-record%2FWOS:000531575000001","View Full Record in Web of Science")</f>
        <v>View Full Record in Web of Science</v>
      </c>
    </row>
    <row r="623" spans="1:72" x14ac:dyDescent="0.2">
      <c r="A623" t="s">
        <v>72</v>
      </c>
      <c r="B623" t="s">
        <v>5474</v>
      </c>
      <c r="C623" t="s">
        <v>74</v>
      </c>
      <c r="D623" t="s">
        <v>74</v>
      </c>
      <c r="E623" t="s">
        <v>74</v>
      </c>
      <c r="F623" t="s">
        <v>5475</v>
      </c>
      <c r="G623" t="s">
        <v>74</v>
      </c>
      <c r="H623" t="s">
        <v>74</v>
      </c>
      <c r="I623" t="s">
        <v>5476</v>
      </c>
      <c r="J623" t="s">
        <v>624</v>
      </c>
      <c r="K623" t="s">
        <v>74</v>
      </c>
      <c r="L623" t="s">
        <v>74</v>
      </c>
      <c r="M623" t="s">
        <v>74</v>
      </c>
      <c r="N623" t="s">
        <v>74</v>
      </c>
      <c r="O623" t="s">
        <v>74</v>
      </c>
      <c r="P623" t="s">
        <v>74</v>
      </c>
      <c r="Q623" t="s">
        <v>74</v>
      </c>
      <c r="R623" t="s">
        <v>74</v>
      </c>
      <c r="S623" t="s">
        <v>74</v>
      </c>
      <c r="T623" t="s">
        <v>74</v>
      </c>
      <c r="U623" t="s">
        <v>74</v>
      </c>
      <c r="V623" t="s">
        <v>5477</v>
      </c>
      <c r="W623" t="s">
        <v>74</v>
      </c>
      <c r="X623" t="s">
        <v>74</v>
      </c>
      <c r="Y623" t="s">
        <v>74</v>
      </c>
      <c r="Z623" t="s">
        <v>74</v>
      </c>
      <c r="AA623" t="s">
        <v>5478</v>
      </c>
      <c r="AB623" t="s">
        <v>74</v>
      </c>
      <c r="AC623" t="s">
        <v>74</v>
      </c>
      <c r="AD623" t="s">
        <v>74</v>
      </c>
      <c r="AE623" t="s">
        <v>74</v>
      </c>
      <c r="AF623" t="s">
        <v>74</v>
      </c>
      <c r="AG623" t="s">
        <v>74</v>
      </c>
      <c r="AH623" t="s">
        <v>74</v>
      </c>
      <c r="AI623" t="s">
        <v>74</v>
      </c>
      <c r="AJ623" t="s">
        <v>74</v>
      </c>
      <c r="AK623" t="s">
        <v>74</v>
      </c>
      <c r="AL623" t="s">
        <v>74</v>
      </c>
      <c r="AM623" t="s">
        <v>74</v>
      </c>
      <c r="AN623" t="s">
        <v>74</v>
      </c>
      <c r="AO623" t="s">
        <v>627</v>
      </c>
      <c r="AP623" t="s">
        <v>628</v>
      </c>
      <c r="AQ623" t="s">
        <v>74</v>
      </c>
      <c r="AR623" t="s">
        <v>74</v>
      </c>
      <c r="AS623" t="s">
        <v>74</v>
      </c>
      <c r="AT623" t="s">
        <v>1972</v>
      </c>
      <c r="AU623">
        <v>2020</v>
      </c>
      <c r="AV623">
        <v>72</v>
      </c>
      <c r="AW623" t="s">
        <v>74</v>
      </c>
      <c r="AX623" t="s">
        <v>74</v>
      </c>
      <c r="AY623" t="s">
        <v>74</v>
      </c>
      <c r="AZ623" t="s">
        <v>74</v>
      </c>
      <c r="BA623" t="s">
        <v>74</v>
      </c>
      <c r="BB623" t="s">
        <v>74</v>
      </c>
      <c r="BC623" t="s">
        <v>74</v>
      </c>
      <c r="BD623">
        <v>104725</v>
      </c>
      <c r="BE623" t="s">
        <v>5479</v>
      </c>
      <c r="BF623" t="str">
        <f>HYPERLINK("http://dx.doi.org/10.1016/j.nanoen.2020.104725","http://dx.doi.org/10.1016/j.nanoen.2020.104725")</f>
        <v>http://dx.doi.org/10.1016/j.nanoen.2020.104725</v>
      </c>
      <c r="BG623" t="s">
        <v>74</v>
      </c>
      <c r="BH623" t="s">
        <v>74</v>
      </c>
      <c r="BI623" t="s">
        <v>74</v>
      </c>
      <c r="BJ623" t="s">
        <v>74</v>
      </c>
      <c r="BK623" t="s">
        <v>74</v>
      </c>
      <c r="BL623" t="s">
        <v>74</v>
      </c>
      <c r="BM623" t="s">
        <v>74</v>
      </c>
      <c r="BN623" t="s">
        <v>74</v>
      </c>
      <c r="BO623" t="s">
        <v>74</v>
      </c>
      <c r="BP623" t="s">
        <v>74</v>
      </c>
      <c r="BQ623" t="s">
        <v>74</v>
      </c>
      <c r="BR623" t="s">
        <v>74</v>
      </c>
      <c r="BS623" t="s">
        <v>5480</v>
      </c>
      <c r="BT623" t="str">
        <f>HYPERLINK("https%3A%2F%2Fwww.webofscience.com%2Fwos%2Fwoscc%2Ffull-record%2FWOS:000532793600002","View Full Record in Web of Science")</f>
        <v>View Full Record in Web of Science</v>
      </c>
    </row>
    <row r="624" spans="1:72" x14ac:dyDescent="0.2">
      <c r="A624" t="s">
        <v>72</v>
      </c>
      <c r="B624" t="s">
        <v>5481</v>
      </c>
      <c r="C624" t="s">
        <v>74</v>
      </c>
      <c r="D624" t="s">
        <v>74</v>
      </c>
      <c r="E624" t="s">
        <v>74</v>
      </c>
      <c r="F624" t="s">
        <v>5482</v>
      </c>
      <c r="G624" t="s">
        <v>74</v>
      </c>
      <c r="H624" t="s">
        <v>74</v>
      </c>
      <c r="I624" t="s">
        <v>5483</v>
      </c>
      <c r="J624" t="s">
        <v>3988</v>
      </c>
      <c r="K624" t="s">
        <v>74</v>
      </c>
      <c r="L624" t="s">
        <v>74</v>
      </c>
      <c r="M624" t="s">
        <v>74</v>
      </c>
      <c r="N624" t="s">
        <v>74</v>
      </c>
      <c r="O624" t="s">
        <v>74</v>
      </c>
      <c r="P624" t="s">
        <v>74</v>
      </c>
      <c r="Q624" t="s">
        <v>74</v>
      </c>
      <c r="R624" t="s">
        <v>74</v>
      </c>
      <c r="S624" t="s">
        <v>74</v>
      </c>
      <c r="T624" t="s">
        <v>74</v>
      </c>
      <c r="U624" t="s">
        <v>74</v>
      </c>
      <c r="V624" t="s">
        <v>5484</v>
      </c>
      <c r="W624" t="s">
        <v>74</v>
      </c>
      <c r="X624" t="s">
        <v>74</v>
      </c>
      <c r="Y624" t="s">
        <v>74</v>
      </c>
      <c r="Z624" t="s">
        <v>74</v>
      </c>
      <c r="AA624" t="s">
        <v>5485</v>
      </c>
      <c r="AB624" t="s">
        <v>5486</v>
      </c>
      <c r="AC624" t="s">
        <v>74</v>
      </c>
      <c r="AD624" t="s">
        <v>74</v>
      </c>
      <c r="AE624" t="s">
        <v>74</v>
      </c>
      <c r="AF624" t="s">
        <v>74</v>
      </c>
      <c r="AG624" t="s">
        <v>74</v>
      </c>
      <c r="AH624" t="s">
        <v>74</v>
      </c>
      <c r="AI624" t="s">
        <v>74</v>
      </c>
      <c r="AJ624" t="s">
        <v>74</v>
      </c>
      <c r="AK624" t="s">
        <v>74</v>
      </c>
      <c r="AL624" t="s">
        <v>74</v>
      </c>
      <c r="AM624" t="s">
        <v>74</v>
      </c>
      <c r="AN624" t="s">
        <v>74</v>
      </c>
      <c r="AO624" t="s">
        <v>74</v>
      </c>
      <c r="AP624" t="s">
        <v>3992</v>
      </c>
      <c r="AQ624" t="s">
        <v>74</v>
      </c>
      <c r="AR624" t="s">
        <v>74</v>
      </c>
      <c r="AS624" t="s">
        <v>74</v>
      </c>
      <c r="AT624" t="s">
        <v>2174</v>
      </c>
      <c r="AU624">
        <v>2020</v>
      </c>
      <c r="AV624">
        <v>4</v>
      </c>
      <c r="AW624">
        <v>6</v>
      </c>
      <c r="AX624" t="s">
        <v>74</v>
      </c>
      <c r="AY624" t="s">
        <v>74</v>
      </c>
      <c r="AZ624" t="s">
        <v>74</v>
      </c>
      <c r="BA624" t="s">
        <v>74</v>
      </c>
      <c r="BB624">
        <v>1689</v>
      </c>
      <c r="BC624">
        <v>1696</v>
      </c>
      <c r="BD624" t="s">
        <v>74</v>
      </c>
      <c r="BE624" t="s">
        <v>5487</v>
      </c>
      <c r="BF624" t="str">
        <f>HYPERLINK("http://dx.doi.org/10.1039/d0qm00094a","http://dx.doi.org/10.1039/d0qm00094a")</f>
        <v>http://dx.doi.org/10.1039/d0qm00094a</v>
      </c>
      <c r="BG624" t="s">
        <v>74</v>
      </c>
      <c r="BH624" t="s">
        <v>74</v>
      </c>
      <c r="BI624" t="s">
        <v>74</v>
      </c>
      <c r="BJ624" t="s">
        <v>74</v>
      </c>
      <c r="BK624" t="s">
        <v>74</v>
      </c>
      <c r="BL624" t="s">
        <v>74</v>
      </c>
      <c r="BM624" t="s">
        <v>74</v>
      </c>
      <c r="BN624" t="s">
        <v>74</v>
      </c>
      <c r="BO624" t="s">
        <v>74</v>
      </c>
      <c r="BP624" t="s">
        <v>74</v>
      </c>
      <c r="BQ624" t="s">
        <v>74</v>
      </c>
      <c r="BR624" t="s">
        <v>74</v>
      </c>
      <c r="BS624" t="s">
        <v>5488</v>
      </c>
      <c r="BT624" t="str">
        <f>HYPERLINK("https%3A%2F%2Fwww.webofscience.com%2Fwos%2Fwoscc%2Ffull-record%2FWOS:000540451500012","View Full Record in Web of Science")</f>
        <v>View Full Record in Web of Science</v>
      </c>
    </row>
    <row r="625" spans="1:72" x14ac:dyDescent="0.2">
      <c r="A625" t="s">
        <v>72</v>
      </c>
      <c r="B625" t="s">
        <v>5489</v>
      </c>
      <c r="C625" t="s">
        <v>74</v>
      </c>
      <c r="D625" t="s">
        <v>74</v>
      </c>
      <c r="E625" t="s">
        <v>74</v>
      </c>
      <c r="F625" t="s">
        <v>5490</v>
      </c>
      <c r="G625" t="s">
        <v>74</v>
      </c>
      <c r="H625" t="s">
        <v>74</v>
      </c>
      <c r="I625" t="s">
        <v>5491</v>
      </c>
      <c r="J625" t="s">
        <v>1293</v>
      </c>
      <c r="K625" t="s">
        <v>74</v>
      </c>
      <c r="L625" t="s">
        <v>74</v>
      </c>
      <c r="M625" t="s">
        <v>74</v>
      </c>
      <c r="N625" t="s">
        <v>74</v>
      </c>
      <c r="O625" t="s">
        <v>74</v>
      </c>
      <c r="P625" t="s">
        <v>74</v>
      </c>
      <c r="Q625" t="s">
        <v>74</v>
      </c>
      <c r="R625" t="s">
        <v>74</v>
      </c>
      <c r="S625" t="s">
        <v>74</v>
      </c>
      <c r="T625" t="s">
        <v>74</v>
      </c>
      <c r="U625" t="s">
        <v>74</v>
      </c>
      <c r="V625" t="s">
        <v>5492</v>
      </c>
      <c r="W625" t="s">
        <v>74</v>
      </c>
      <c r="X625" t="s">
        <v>74</v>
      </c>
      <c r="Y625" t="s">
        <v>74</v>
      </c>
      <c r="Z625" t="s">
        <v>74</v>
      </c>
      <c r="AA625" t="s">
        <v>5493</v>
      </c>
      <c r="AB625" t="s">
        <v>5494</v>
      </c>
      <c r="AC625" t="s">
        <v>74</v>
      </c>
      <c r="AD625" t="s">
        <v>74</v>
      </c>
      <c r="AE625" t="s">
        <v>74</v>
      </c>
      <c r="AF625" t="s">
        <v>74</v>
      </c>
      <c r="AG625" t="s">
        <v>74</v>
      </c>
      <c r="AH625" t="s">
        <v>74</v>
      </c>
      <c r="AI625" t="s">
        <v>74</v>
      </c>
      <c r="AJ625" t="s">
        <v>74</v>
      </c>
      <c r="AK625" t="s">
        <v>74</v>
      </c>
      <c r="AL625" t="s">
        <v>74</v>
      </c>
      <c r="AM625" t="s">
        <v>74</v>
      </c>
      <c r="AN625" t="s">
        <v>74</v>
      </c>
      <c r="AO625" t="s">
        <v>1297</v>
      </c>
      <c r="AP625" t="s">
        <v>1298</v>
      </c>
      <c r="AQ625" t="s">
        <v>74</v>
      </c>
      <c r="AR625" t="s">
        <v>74</v>
      </c>
      <c r="AS625" t="s">
        <v>74</v>
      </c>
      <c r="AT625" t="s">
        <v>5495</v>
      </c>
      <c r="AU625">
        <v>2020</v>
      </c>
      <c r="AV625">
        <v>167</v>
      </c>
      <c r="AW625">
        <v>8</v>
      </c>
      <c r="AX625" t="s">
        <v>74</v>
      </c>
      <c r="AY625" t="s">
        <v>74</v>
      </c>
      <c r="AZ625" t="s">
        <v>74</v>
      </c>
      <c r="BA625" t="s">
        <v>74</v>
      </c>
      <c r="BB625" t="s">
        <v>74</v>
      </c>
      <c r="BC625" t="s">
        <v>74</v>
      </c>
      <c r="BD625">
        <v>80540</v>
      </c>
      <c r="BE625" t="s">
        <v>5496</v>
      </c>
      <c r="BF625" t="str">
        <f>HYPERLINK("http://dx.doi.org/10.1149/1945-7111/ab8ed6","http://dx.doi.org/10.1149/1945-7111/ab8ed6")</f>
        <v>http://dx.doi.org/10.1149/1945-7111/ab8ed6</v>
      </c>
      <c r="BG625" t="s">
        <v>74</v>
      </c>
      <c r="BH625" t="s">
        <v>74</v>
      </c>
      <c r="BI625" t="s">
        <v>74</v>
      </c>
      <c r="BJ625" t="s">
        <v>74</v>
      </c>
      <c r="BK625" t="s">
        <v>74</v>
      </c>
      <c r="BL625" t="s">
        <v>74</v>
      </c>
      <c r="BM625" t="s">
        <v>74</v>
      </c>
      <c r="BN625" t="s">
        <v>74</v>
      </c>
      <c r="BO625" t="s">
        <v>74</v>
      </c>
      <c r="BP625" t="s">
        <v>74</v>
      </c>
      <c r="BQ625" t="s">
        <v>74</v>
      </c>
      <c r="BR625" t="s">
        <v>74</v>
      </c>
      <c r="BS625" t="s">
        <v>5497</v>
      </c>
      <c r="BT625" t="str">
        <f>HYPERLINK("https%3A%2F%2Fwww.webofscience.com%2Fwos%2Fwoscc%2Ffull-record%2FWOS:000537497100001","View Full Record in Web of Science")</f>
        <v>View Full Record in Web of Science</v>
      </c>
    </row>
    <row r="626" spans="1:72" x14ac:dyDescent="0.2">
      <c r="A626" t="s">
        <v>72</v>
      </c>
      <c r="B626" t="s">
        <v>5498</v>
      </c>
      <c r="C626" t="s">
        <v>74</v>
      </c>
      <c r="D626" t="s">
        <v>74</v>
      </c>
      <c r="E626" t="s">
        <v>74</v>
      </c>
      <c r="F626" t="s">
        <v>5499</v>
      </c>
      <c r="G626" t="s">
        <v>74</v>
      </c>
      <c r="H626" t="s">
        <v>74</v>
      </c>
      <c r="I626" t="s">
        <v>5500</v>
      </c>
      <c r="J626" t="s">
        <v>278</v>
      </c>
      <c r="K626" t="s">
        <v>74</v>
      </c>
      <c r="L626" t="s">
        <v>74</v>
      </c>
      <c r="M626" t="s">
        <v>74</v>
      </c>
      <c r="N626" t="s">
        <v>74</v>
      </c>
      <c r="O626" t="s">
        <v>74</v>
      </c>
      <c r="P626" t="s">
        <v>74</v>
      </c>
      <c r="Q626" t="s">
        <v>74</v>
      </c>
      <c r="R626" t="s">
        <v>74</v>
      </c>
      <c r="S626" t="s">
        <v>74</v>
      </c>
      <c r="T626" t="s">
        <v>74</v>
      </c>
      <c r="U626" t="s">
        <v>74</v>
      </c>
      <c r="V626" t="s">
        <v>5501</v>
      </c>
      <c r="W626" t="s">
        <v>74</v>
      </c>
      <c r="X626" t="s">
        <v>74</v>
      </c>
      <c r="Y626" t="s">
        <v>74</v>
      </c>
      <c r="Z626" t="s">
        <v>74</v>
      </c>
      <c r="AA626" t="s">
        <v>5502</v>
      </c>
      <c r="AB626" t="s">
        <v>5503</v>
      </c>
      <c r="AC626" t="s">
        <v>74</v>
      </c>
      <c r="AD626" t="s">
        <v>74</v>
      </c>
      <c r="AE626" t="s">
        <v>74</v>
      </c>
      <c r="AF626" t="s">
        <v>74</v>
      </c>
      <c r="AG626" t="s">
        <v>74</v>
      </c>
      <c r="AH626" t="s">
        <v>74</v>
      </c>
      <c r="AI626" t="s">
        <v>74</v>
      </c>
      <c r="AJ626" t="s">
        <v>74</v>
      </c>
      <c r="AK626" t="s">
        <v>74</v>
      </c>
      <c r="AL626" t="s">
        <v>74</v>
      </c>
      <c r="AM626" t="s">
        <v>74</v>
      </c>
      <c r="AN626" t="s">
        <v>74</v>
      </c>
      <c r="AO626" t="s">
        <v>281</v>
      </c>
      <c r="AP626" t="s">
        <v>282</v>
      </c>
      <c r="AQ626" t="s">
        <v>74</v>
      </c>
      <c r="AR626" t="s">
        <v>74</v>
      </c>
      <c r="AS626" t="s">
        <v>74</v>
      </c>
      <c r="AT626" t="s">
        <v>4825</v>
      </c>
      <c r="AU626">
        <v>2020</v>
      </c>
      <c r="AV626">
        <v>8</v>
      </c>
      <c r="AW626">
        <v>19</v>
      </c>
      <c r="AX626" t="s">
        <v>74</v>
      </c>
      <c r="AY626" t="s">
        <v>74</v>
      </c>
      <c r="AZ626" t="s">
        <v>74</v>
      </c>
      <c r="BA626" t="s">
        <v>74</v>
      </c>
      <c r="BB626">
        <v>9579</v>
      </c>
      <c r="BC626">
        <v>9589</v>
      </c>
      <c r="BD626" t="s">
        <v>74</v>
      </c>
      <c r="BE626" t="s">
        <v>5504</v>
      </c>
      <c r="BF626" t="str">
        <f>HYPERLINK("http://dx.doi.org/10.1039/d0ta03677c","http://dx.doi.org/10.1039/d0ta03677c")</f>
        <v>http://dx.doi.org/10.1039/d0ta03677c</v>
      </c>
      <c r="BG626" t="s">
        <v>74</v>
      </c>
      <c r="BH626" t="s">
        <v>74</v>
      </c>
      <c r="BI626" t="s">
        <v>74</v>
      </c>
      <c r="BJ626" t="s">
        <v>74</v>
      </c>
      <c r="BK626" t="s">
        <v>74</v>
      </c>
      <c r="BL626" t="s">
        <v>74</v>
      </c>
      <c r="BM626" t="s">
        <v>74</v>
      </c>
      <c r="BN626" t="s">
        <v>74</v>
      </c>
      <c r="BO626" t="s">
        <v>74</v>
      </c>
      <c r="BP626" t="s">
        <v>74</v>
      </c>
      <c r="BQ626" t="s">
        <v>74</v>
      </c>
      <c r="BR626" t="s">
        <v>74</v>
      </c>
      <c r="BS626" t="s">
        <v>5505</v>
      </c>
      <c r="BT626" t="str">
        <f>HYPERLINK("https%3A%2F%2Fwww.webofscience.com%2Fwos%2Fwoscc%2Ffull-record%2FWOS:000536690000007","View Full Record in Web of Science")</f>
        <v>View Full Record in Web of Science</v>
      </c>
    </row>
    <row r="627" spans="1:72" x14ac:dyDescent="0.2">
      <c r="A627" t="s">
        <v>72</v>
      </c>
      <c r="B627" t="s">
        <v>5506</v>
      </c>
      <c r="C627" t="s">
        <v>74</v>
      </c>
      <c r="D627" t="s">
        <v>74</v>
      </c>
      <c r="E627" t="s">
        <v>74</v>
      </c>
      <c r="F627" t="s">
        <v>5507</v>
      </c>
      <c r="G627" t="s">
        <v>74</v>
      </c>
      <c r="H627" t="s">
        <v>74</v>
      </c>
      <c r="I627" t="s">
        <v>5508</v>
      </c>
      <c r="J627" t="s">
        <v>528</v>
      </c>
      <c r="K627" t="s">
        <v>74</v>
      </c>
      <c r="L627" t="s">
        <v>74</v>
      </c>
      <c r="M627" t="s">
        <v>74</v>
      </c>
      <c r="N627" t="s">
        <v>74</v>
      </c>
      <c r="O627" t="s">
        <v>74</v>
      </c>
      <c r="P627" t="s">
        <v>74</v>
      </c>
      <c r="Q627" t="s">
        <v>74</v>
      </c>
      <c r="R627" t="s">
        <v>74</v>
      </c>
      <c r="S627" t="s">
        <v>74</v>
      </c>
      <c r="T627" t="s">
        <v>74</v>
      </c>
      <c r="U627" t="s">
        <v>74</v>
      </c>
      <c r="V627" t="s">
        <v>5509</v>
      </c>
      <c r="W627" t="s">
        <v>74</v>
      </c>
      <c r="X627" t="s">
        <v>74</v>
      </c>
      <c r="Y627" t="s">
        <v>74</v>
      </c>
      <c r="Z627" t="s">
        <v>74</v>
      </c>
      <c r="AA627" t="s">
        <v>5510</v>
      </c>
      <c r="AB627" t="s">
        <v>5511</v>
      </c>
      <c r="AC627" t="s">
        <v>74</v>
      </c>
      <c r="AD627" t="s">
        <v>74</v>
      </c>
      <c r="AE627" t="s">
        <v>74</v>
      </c>
      <c r="AF627" t="s">
        <v>74</v>
      </c>
      <c r="AG627" t="s">
        <v>74</v>
      </c>
      <c r="AH627" t="s">
        <v>74</v>
      </c>
      <c r="AI627" t="s">
        <v>74</v>
      </c>
      <c r="AJ627" t="s">
        <v>74</v>
      </c>
      <c r="AK627" t="s">
        <v>74</v>
      </c>
      <c r="AL627" t="s">
        <v>74</v>
      </c>
      <c r="AM627" t="s">
        <v>74</v>
      </c>
      <c r="AN627" t="s">
        <v>74</v>
      </c>
      <c r="AO627" t="s">
        <v>532</v>
      </c>
      <c r="AP627" t="s">
        <v>533</v>
      </c>
      <c r="AQ627" t="s">
        <v>74</v>
      </c>
      <c r="AR627" t="s">
        <v>74</v>
      </c>
      <c r="AS627" t="s">
        <v>74</v>
      </c>
      <c r="AT627" t="s">
        <v>901</v>
      </c>
      <c r="AU627">
        <v>2020</v>
      </c>
      <c r="AV627">
        <v>12</v>
      </c>
      <c r="AW627">
        <v>20</v>
      </c>
      <c r="AX627" t="s">
        <v>74</v>
      </c>
      <c r="AY627" t="s">
        <v>74</v>
      </c>
      <c r="AZ627" t="s">
        <v>74</v>
      </c>
      <c r="BA627" t="s">
        <v>74</v>
      </c>
      <c r="BB627">
        <v>23370</v>
      </c>
      <c r="BC627">
        <v>23377</v>
      </c>
      <c r="BD627" t="s">
        <v>74</v>
      </c>
      <c r="BE627" t="s">
        <v>5512</v>
      </c>
      <c r="BF627" t="str">
        <f>HYPERLINK("http://dx.doi.org/10.1021/acsami.0c05236","http://dx.doi.org/10.1021/acsami.0c05236")</f>
        <v>http://dx.doi.org/10.1021/acsami.0c05236</v>
      </c>
      <c r="BG627" t="s">
        <v>74</v>
      </c>
      <c r="BH627" t="s">
        <v>74</v>
      </c>
      <c r="BI627" t="s">
        <v>74</v>
      </c>
      <c r="BJ627" t="s">
        <v>74</v>
      </c>
      <c r="BK627" t="s">
        <v>74</v>
      </c>
      <c r="BL627" t="s">
        <v>74</v>
      </c>
      <c r="BM627" t="s">
        <v>74</v>
      </c>
      <c r="BN627">
        <v>32329610</v>
      </c>
      <c r="BO627" t="s">
        <v>74</v>
      </c>
      <c r="BP627" t="s">
        <v>74</v>
      </c>
      <c r="BQ627" t="s">
        <v>74</v>
      </c>
      <c r="BR627" t="s">
        <v>74</v>
      </c>
      <c r="BS627" t="s">
        <v>5513</v>
      </c>
      <c r="BT627" t="str">
        <f>HYPERLINK("https%3A%2F%2Fwww.webofscience.com%2Fwos%2Fwoscc%2Ffull-record%2FWOS:000537394100100","View Full Record in Web of Science")</f>
        <v>View Full Record in Web of Science</v>
      </c>
    </row>
    <row r="628" spans="1:72" x14ac:dyDescent="0.2">
      <c r="A628" t="s">
        <v>72</v>
      </c>
      <c r="B628" t="s">
        <v>5514</v>
      </c>
      <c r="C628" t="s">
        <v>74</v>
      </c>
      <c r="D628" t="s">
        <v>74</v>
      </c>
      <c r="E628" t="s">
        <v>74</v>
      </c>
      <c r="F628" t="s">
        <v>5515</v>
      </c>
      <c r="G628" t="s">
        <v>74</v>
      </c>
      <c r="H628" t="s">
        <v>74</v>
      </c>
      <c r="I628" t="s">
        <v>5516</v>
      </c>
      <c r="J628" t="s">
        <v>307</v>
      </c>
      <c r="K628" t="s">
        <v>74</v>
      </c>
      <c r="L628" t="s">
        <v>74</v>
      </c>
      <c r="M628" t="s">
        <v>74</v>
      </c>
      <c r="N628" t="s">
        <v>74</v>
      </c>
      <c r="O628" t="s">
        <v>74</v>
      </c>
      <c r="P628" t="s">
        <v>74</v>
      </c>
      <c r="Q628" t="s">
        <v>74</v>
      </c>
      <c r="R628" t="s">
        <v>74</v>
      </c>
      <c r="S628" t="s">
        <v>74</v>
      </c>
      <c r="T628" t="s">
        <v>74</v>
      </c>
      <c r="U628" t="s">
        <v>74</v>
      </c>
      <c r="V628" t="s">
        <v>5517</v>
      </c>
      <c r="W628" t="s">
        <v>74</v>
      </c>
      <c r="X628" t="s">
        <v>74</v>
      </c>
      <c r="Y628" t="s">
        <v>74</v>
      </c>
      <c r="Z628" t="s">
        <v>74</v>
      </c>
      <c r="AA628" t="s">
        <v>5518</v>
      </c>
      <c r="AB628" t="s">
        <v>74</v>
      </c>
      <c r="AC628" t="s">
        <v>74</v>
      </c>
      <c r="AD628" t="s">
        <v>74</v>
      </c>
      <c r="AE628" t="s">
        <v>74</v>
      </c>
      <c r="AF628" t="s">
        <v>74</v>
      </c>
      <c r="AG628" t="s">
        <v>74</v>
      </c>
      <c r="AH628" t="s">
        <v>74</v>
      </c>
      <c r="AI628" t="s">
        <v>74</v>
      </c>
      <c r="AJ628" t="s">
        <v>74</v>
      </c>
      <c r="AK628" t="s">
        <v>74</v>
      </c>
      <c r="AL628" t="s">
        <v>74</v>
      </c>
      <c r="AM628" t="s">
        <v>74</v>
      </c>
      <c r="AN628" t="s">
        <v>74</v>
      </c>
      <c r="AO628" t="s">
        <v>74</v>
      </c>
      <c r="AP628" t="s">
        <v>309</v>
      </c>
      <c r="AQ628" t="s">
        <v>74</v>
      </c>
      <c r="AR628" t="s">
        <v>74</v>
      </c>
      <c r="AS628" t="s">
        <v>74</v>
      </c>
      <c r="AT628" t="s">
        <v>155</v>
      </c>
      <c r="AU628">
        <v>2020</v>
      </c>
      <c r="AV628">
        <v>3</v>
      </c>
      <c r="AW628">
        <v>9</v>
      </c>
      <c r="AX628" t="s">
        <v>74</v>
      </c>
      <c r="AY628" t="s">
        <v>74</v>
      </c>
      <c r="AZ628" t="s">
        <v>74</v>
      </c>
      <c r="BA628" t="s">
        <v>74</v>
      </c>
      <c r="BB628">
        <v>900</v>
      </c>
      <c r="BC628">
        <v>909</v>
      </c>
      <c r="BD628" t="s">
        <v>74</v>
      </c>
      <c r="BE628" t="s">
        <v>5519</v>
      </c>
      <c r="BF628" t="str">
        <f>HYPERLINK("http://dx.doi.org/10.1002/batt.202000048","http://dx.doi.org/10.1002/batt.202000048")</f>
        <v>http://dx.doi.org/10.1002/batt.202000048</v>
      </c>
      <c r="BG628" t="s">
        <v>74</v>
      </c>
      <c r="BH628" t="s">
        <v>5520</v>
      </c>
      <c r="BI628" t="s">
        <v>74</v>
      </c>
      <c r="BJ628" t="s">
        <v>74</v>
      </c>
      <c r="BK628" t="s">
        <v>74</v>
      </c>
      <c r="BL628" t="s">
        <v>74</v>
      </c>
      <c r="BM628" t="s">
        <v>74</v>
      </c>
      <c r="BN628" t="s">
        <v>74</v>
      </c>
      <c r="BO628" t="s">
        <v>74</v>
      </c>
      <c r="BP628" t="s">
        <v>74</v>
      </c>
      <c r="BQ628" t="s">
        <v>74</v>
      </c>
      <c r="BR628" t="s">
        <v>74</v>
      </c>
      <c r="BS628" t="s">
        <v>5521</v>
      </c>
      <c r="BT628" t="str">
        <f>HYPERLINK("https%3A%2F%2Fwww.webofscience.com%2Fwos%2Fwoscc%2Ffull-record%2FWOS:000533521900001","View Full Record in Web of Science")</f>
        <v>View Full Record in Web of Science</v>
      </c>
    </row>
    <row r="629" spans="1:72" x14ac:dyDescent="0.2">
      <c r="A629" t="s">
        <v>72</v>
      </c>
      <c r="B629" t="s">
        <v>5522</v>
      </c>
      <c r="C629" t="s">
        <v>74</v>
      </c>
      <c r="D629" t="s">
        <v>74</v>
      </c>
      <c r="E629" t="s">
        <v>74</v>
      </c>
      <c r="F629" t="s">
        <v>5523</v>
      </c>
      <c r="G629" t="s">
        <v>74</v>
      </c>
      <c r="H629" t="s">
        <v>74</v>
      </c>
      <c r="I629" t="s">
        <v>5524</v>
      </c>
      <c r="J629" t="s">
        <v>1370</v>
      </c>
      <c r="K629" t="s">
        <v>74</v>
      </c>
      <c r="L629" t="s">
        <v>74</v>
      </c>
      <c r="M629" t="s">
        <v>74</v>
      </c>
      <c r="N629" t="s">
        <v>74</v>
      </c>
      <c r="O629" t="s">
        <v>74</v>
      </c>
      <c r="P629" t="s">
        <v>74</v>
      </c>
      <c r="Q629" t="s">
        <v>74</v>
      </c>
      <c r="R629" t="s">
        <v>74</v>
      </c>
      <c r="S629" t="s">
        <v>74</v>
      </c>
      <c r="T629" t="s">
        <v>74</v>
      </c>
      <c r="U629" t="s">
        <v>74</v>
      </c>
      <c r="V629" t="s">
        <v>5525</v>
      </c>
      <c r="W629" t="s">
        <v>74</v>
      </c>
      <c r="X629" t="s">
        <v>74</v>
      </c>
      <c r="Y629" t="s">
        <v>74</v>
      </c>
      <c r="Z629" t="s">
        <v>74</v>
      </c>
      <c r="AA629" t="s">
        <v>5526</v>
      </c>
      <c r="AB629" t="s">
        <v>5527</v>
      </c>
      <c r="AC629" t="s">
        <v>74</v>
      </c>
      <c r="AD629" t="s">
        <v>74</v>
      </c>
      <c r="AE629" t="s">
        <v>74</v>
      </c>
      <c r="AF629" t="s">
        <v>74</v>
      </c>
      <c r="AG629" t="s">
        <v>74</v>
      </c>
      <c r="AH629" t="s">
        <v>74</v>
      </c>
      <c r="AI629" t="s">
        <v>74</v>
      </c>
      <c r="AJ629" t="s">
        <v>74</v>
      </c>
      <c r="AK629" t="s">
        <v>74</v>
      </c>
      <c r="AL629" t="s">
        <v>74</v>
      </c>
      <c r="AM629" t="s">
        <v>74</v>
      </c>
      <c r="AN629" t="s">
        <v>74</v>
      </c>
      <c r="AO629" t="s">
        <v>1374</v>
      </c>
      <c r="AP629" t="s">
        <v>1375</v>
      </c>
      <c r="AQ629" t="s">
        <v>74</v>
      </c>
      <c r="AR629" t="s">
        <v>74</v>
      </c>
      <c r="AS629" t="s">
        <v>74</v>
      </c>
      <c r="AT629" t="s">
        <v>5528</v>
      </c>
      <c r="AU629">
        <v>2020</v>
      </c>
      <c r="AV629">
        <v>31</v>
      </c>
      <c r="AW629">
        <v>19</v>
      </c>
      <c r="AX629" t="s">
        <v>74</v>
      </c>
      <c r="AY629" t="s">
        <v>74</v>
      </c>
      <c r="AZ629" t="s">
        <v>74</v>
      </c>
      <c r="BA629" t="s">
        <v>74</v>
      </c>
      <c r="BB629" t="s">
        <v>74</v>
      </c>
      <c r="BC629" t="s">
        <v>74</v>
      </c>
      <c r="BD629">
        <v>195403</v>
      </c>
      <c r="BE629" t="s">
        <v>5529</v>
      </c>
      <c r="BF629" t="str">
        <f>HYPERLINK("http://dx.doi.org/10.1088/1361-6528/ab6fdb","http://dx.doi.org/10.1088/1361-6528/ab6fdb")</f>
        <v>http://dx.doi.org/10.1088/1361-6528/ab6fdb</v>
      </c>
      <c r="BG629" t="s">
        <v>74</v>
      </c>
      <c r="BH629" t="s">
        <v>74</v>
      </c>
      <c r="BI629" t="s">
        <v>74</v>
      </c>
      <c r="BJ629" t="s">
        <v>74</v>
      </c>
      <c r="BK629" t="s">
        <v>74</v>
      </c>
      <c r="BL629" t="s">
        <v>74</v>
      </c>
      <c r="BM629" t="s">
        <v>74</v>
      </c>
      <c r="BN629">
        <v>31978900</v>
      </c>
      <c r="BO629" t="s">
        <v>74</v>
      </c>
      <c r="BP629" t="s">
        <v>74</v>
      </c>
      <c r="BQ629" t="s">
        <v>74</v>
      </c>
      <c r="BR629" t="s">
        <v>74</v>
      </c>
      <c r="BS629" t="s">
        <v>5530</v>
      </c>
      <c r="BT629" t="str">
        <f>HYPERLINK("https%3A%2F%2Fwww.webofscience.com%2Fwos%2Fwoscc%2Ffull-record%2FWOS:000537540200003","View Full Record in Web of Science")</f>
        <v>View Full Record in Web of Science</v>
      </c>
    </row>
    <row r="630" spans="1:72" x14ac:dyDescent="0.2">
      <c r="A630" t="s">
        <v>72</v>
      </c>
      <c r="B630" t="s">
        <v>5531</v>
      </c>
      <c r="C630" t="s">
        <v>74</v>
      </c>
      <c r="D630" t="s">
        <v>74</v>
      </c>
      <c r="E630" t="s">
        <v>74</v>
      </c>
      <c r="F630" t="s">
        <v>5532</v>
      </c>
      <c r="G630" t="s">
        <v>74</v>
      </c>
      <c r="H630" t="s">
        <v>74</v>
      </c>
      <c r="I630" t="s">
        <v>5533</v>
      </c>
      <c r="J630" t="s">
        <v>278</v>
      </c>
      <c r="K630" t="s">
        <v>74</v>
      </c>
      <c r="L630" t="s">
        <v>74</v>
      </c>
      <c r="M630" t="s">
        <v>74</v>
      </c>
      <c r="N630" t="s">
        <v>74</v>
      </c>
      <c r="O630" t="s">
        <v>74</v>
      </c>
      <c r="P630" t="s">
        <v>74</v>
      </c>
      <c r="Q630" t="s">
        <v>74</v>
      </c>
      <c r="R630" t="s">
        <v>74</v>
      </c>
      <c r="S630" t="s">
        <v>74</v>
      </c>
      <c r="T630" t="s">
        <v>74</v>
      </c>
      <c r="U630" t="s">
        <v>74</v>
      </c>
      <c r="V630" t="s">
        <v>5534</v>
      </c>
      <c r="W630" t="s">
        <v>74</v>
      </c>
      <c r="X630" t="s">
        <v>74</v>
      </c>
      <c r="Y630" t="s">
        <v>74</v>
      </c>
      <c r="Z630" t="s">
        <v>74</v>
      </c>
      <c r="AA630" t="s">
        <v>5535</v>
      </c>
      <c r="AB630" t="s">
        <v>5536</v>
      </c>
      <c r="AC630" t="s">
        <v>74</v>
      </c>
      <c r="AD630" t="s">
        <v>74</v>
      </c>
      <c r="AE630" t="s">
        <v>74</v>
      </c>
      <c r="AF630" t="s">
        <v>74</v>
      </c>
      <c r="AG630" t="s">
        <v>74</v>
      </c>
      <c r="AH630" t="s">
        <v>74</v>
      </c>
      <c r="AI630" t="s">
        <v>74</v>
      </c>
      <c r="AJ630" t="s">
        <v>74</v>
      </c>
      <c r="AK630" t="s">
        <v>74</v>
      </c>
      <c r="AL630" t="s">
        <v>74</v>
      </c>
      <c r="AM630" t="s">
        <v>74</v>
      </c>
      <c r="AN630" t="s">
        <v>74</v>
      </c>
      <c r="AO630" t="s">
        <v>281</v>
      </c>
      <c r="AP630" t="s">
        <v>282</v>
      </c>
      <c r="AQ630" t="s">
        <v>74</v>
      </c>
      <c r="AR630" t="s">
        <v>74</v>
      </c>
      <c r="AS630" t="s">
        <v>74</v>
      </c>
      <c r="AT630" t="s">
        <v>4867</v>
      </c>
      <c r="AU630">
        <v>2020</v>
      </c>
      <c r="AV630">
        <v>8</v>
      </c>
      <c r="AW630">
        <v>17</v>
      </c>
      <c r="AX630" t="s">
        <v>74</v>
      </c>
      <c r="AY630" t="s">
        <v>74</v>
      </c>
      <c r="AZ630" t="s">
        <v>74</v>
      </c>
      <c r="BA630" t="s">
        <v>74</v>
      </c>
      <c r="BB630">
        <v>8430</v>
      </c>
      <c r="BC630">
        <v>8439</v>
      </c>
      <c r="BD630" t="s">
        <v>74</v>
      </c>
      <c r="BE630" t="s">
        <v>5537</v>
      </c>
      <c r="BF630" t="str">
        <f>HYPERLINK("http://dx.doi.org/10.1039/d0ta01572e","http://dx.doi.org/10.1039/d0ta01572e")</f>
        <v>http://dx.doi.org/10.1039/d0ta01572e</v>
      </c>
      <c r="BG630" t="s">
        <v>74</v>
      </c>
      <c r="BH630" t="s">
        <v>74</v>
      </c>
      <c r="BI630" t="s">
        <v>74</v>
      </c>
      <c r="BJ630" t="s">
        <v>74</v>
      </c>
      <c r="BK630" t="s">
        <v>74</v>
      </c>
      <c r="BL630" t="s">
        <v>74</v>
      </c>
      <c r="BM630" t="s">
        <v>74</v>
      </c>
      <c r="BN630" t="s">
        <v>74</v>
      </c>
      <c r="BO630" t="s">
        <v>74</v>
      </c>
      <c r="BP630" t="s">
        <v>74</v>
      </c>
      <c r="BQ630" t="s">
        <v>74</v>
      </c>
      <c r="BR630" t="s">
        <v>74</v>
      </c>
      <c r="BS630" t="s">
        <v>5538</v>
      </c>
      <c r="BT630" t="str">
        <f>HYPERLINK("https%3A%2F%2Fwww.webofscience.com%2Fwos%2Fwoscc%2Ffull-record%2FWOS:000533422400023","View Full Record in Web of Science")</f>
        <v>View Full Record in Web of Science</v>
      </c>
    </row>
    <row r="631" spans="1:72" x14ac:dyDescent="0.2">
      <c r="A631" t="s">
        <v>72</v>
      </c>
      <c r="B631" t="s">
        <v>5539</v>
      </c>
      <c r="C631" t="s">
        <v>74</v>
      </c>
      <c r="D631" t="s">
        <v>74</v>
      </c>
      <c r="E631" t="s">
        <v>74</v>
      </c>
      <c r="F631" t="s">
        <v>5540</v>
      </c>
      <c r="G631" t="s">
        <v>74</v>
      </c>
      <c r="H631" t="s">
        <v>74</v>
      </c>
      <c r="I631" t="s">
        <v>5541</v>
      </c>
      <c r="J631" t="s">
        <v>278</v>
      </c>
      <c r="K631" t="s">
        <v>74</v>
      </c>
      <c r="L631" t="s">
        <v>74</v>
      </c>
      <c r="M631" t="s">
        <v>74</v>
      </c>
      <c r="N631" t="s">
        <v>74</v>
      </c>
      <c r="O631" t="s">
        <v>74</v>
      </c>
      <c r="P631" t="s">
        <v>74</v>
      </c>
      <c r="Q631" t="s">
        <v>74</v>
      </c>
      <c r="R631" t="s">
        <v>74</v>
      </c>
      <c r="S631" t="s">
        <v>74</v>
      </c>
      <c r="T631" t="s">
        <v>74</v>
      </c>
      <c r="U631" t="s">
        <v>74</v>
      </c>
      <c r="V631" t="s">
        <v>5542</v>
      </c>
      <c r="W631" t="s">
        <v>74</v>
      </c>
      <c r="X631" t="s">
        <v>74</v>
      </c>
      <c r="Y631" t="s">
        <v>74</v>
      </c>
      <c r="Z631" t="s">
        <v>74</v>
      </c>
      <c r="AA631" t="s">
        <v>5543</v>
      </c>
      <c r="AB631" t="s">
        <v>5544</v>
      </c>
      <c r="AC631" t="s">
        <v>74</v>
      </c>
      <c r="AD631" t="s">
        <v>74</v>
      </c>
      <c r="AE631" t="s">
        <v>74</v>
      </c>
      <c r="AF631" t="s">
        <v>74</v>
      </c>
      <c r="AG631" t="s">
        <v>74</v>
      </c>
      <c r="AH631" t="s">
        <v>74</v>
      </c>
      <c r="AI631" t="s">
        <v>74</v>
      </c>
      <c r="AJ631" t="s">
        <v>74</v>
      </c>
      <c r="AK631" t="s">
        <v>74</v>
      </c>
      <c r="AL631" t="s">
        <v>74</v>
      </c>
      <c r="AM631" t="s">
        <v>74</v>
      </c>
      <c r="AN631" t="s">
        <v>74</v>
      </c>
      <c r="AO631" t="s">
        <v>281</v>
      </c>
      <c r="AP631" t="s">
        <v>282</v>
      </c>
      <c r="AQ631" t="s">
        <v>74</v>
      </c>
      <c r="AR631" t="s">
        <v>74</v>
      </c>
      <c r="AS631" t="s">
        <v>74</v>
      </c>
      <c r="AT631" t="s">
        <v>659</v>
      </c>
      <c r="AU631">
        <v>2020</v>
      </c>
      <c r="AV631">
        <v>8</v>
      </c>
      <c r="AW631">
        <v>16</v>
      </c>
      <c r="AX631" t="s">
        <v>74</v>
      </c>
      <c r="AY631" t="s">
        <v>74</v>
      </c>
      <c r="AZ631" t="s">
        <v>74</v>
      </c>
      <c r="BA631" t="s">
        <v>74</v>
      </c>
      <c r="BB631">
        <v>7947</v>
      </c>
      <c r="BC631">
        <v>7955</v>
      </c>
      <c r="BD631" t="s">
        <v>74</v>
      </c>
      <c r="BE631" t="s">
        <v>5545</v>
      </c>
      <c r="BF631" t="str">
        <f>HYPERLINK("http://dx.doi.org/10.1039/c9ta13862e","http://dx.doi.org/10.1039/c9ta13862e")</f>
        <v>http://dx.doi.org/10.1039/c9ta13862e</v>
      </c>
      <c r="BG631" t="s">
        <v>74</v>
      </c>
      <c r="BH631" t="s">
        <v>74</v>
      </c>
      <c r="BI631" t="s">
        <v>74</v>
      </c>
      <c r="BJ631" t="s">
        <v>74</v>
      </c>
      <c r="BK631" t="s">
        <v>74</v>
      </c>
      <c r="BL631" t="s">
        <v>74</v>
      </c>
      <c r="BM631" t="s">
        <v>74</v>
      </c>
      <c r="BN631" t="s">
        <v>74</v>
      </c>
      <c r="BO631" t="s">
        <v>74</v>
      </c>
      <c r="BP631" t="s">
        <v>74</v>
      </c>
      <c r="BQ631" t="s">
        <v>74</v>
      </c>
      <c r="BR631" t="s">
        <v>74</v>
      </c>
      <c r="BS631" t="s">
        <v>5546</v>
      </c>
      <c r="BT631" t="str">
        <f>HYPERLINK("https%3A%2F%2Fwww.webofscience.com%2Fwos%2Fwoscc%2Ffull-record%2FWOS:000530495500041","View Full Record in Web of Science")</f>
        <v>View Full Record in Web of Science</v>
      </c>
    </row>
    <row r="632" spans="1:72" x14ac:dyDescent="0.2">
      <c r="A632" t="s">
        <v>72</v>
      </c>
      <c r="B632" t="s">
        <v>5547</v>
      </c>
      <c r="C632" t="s">
        <v>74</v>
      </c>
      <c r="D632" t="s">
        <v>74</v>
      </c>
      <c r="E632" t="s">
        <v>74</v>
      </c>
      <c r="F632" t="s">
        <v>5548</v>
      </c>
      <c r="G632" t="s">
        <v>74</v>
      </c>
      <c r="H632" t="s">
        <v>74</v>
      </c>
      <c r="I632" t="s">
        <v>5549</v>
      </c>
      <c r="J632" t="s">
        <v>1293</v>
      </c>
      <c r="K632" t="s">
        <v>74</v>
      </c>
      <c r="L632" t="s">
        <v>74</v>
      </c>
      <c r="M632" t="s">
        <v>74</v>
      </c>
      <c r="N632" t="s">
        <v>74</v>
      </c>
      <c r="O632" t="s">
        <v>74</v>
      </c>
      <c r="P632" t="s">
        <v>74</v>
      </c>
      <c r="Q632" t="s">
        <v>74</v>
      </c>
      <c r="R632" t="s">
        <v>74</v>
      </c>
      <c r="S632" t="s">
        <v>74</v>
      </c>
      <c r="T632" t="s">
        <v>74</v>
      </c>
      <c r="U632" t="s">
        <v>74</v>
      </c>
      <c r="V632" t="s">
        <v>5550</v>
      </c>
      <c r="W632" t="s">
        <v>74</v>
      </c>
      <c r="X632" t="s">
        <v>74</v>
      </c>
      <c r="Y632" t="s">
        <v>74</v>
      </c>
      <c r="Z632" t="s">
        <v>74</v>
      </c>
      <c r="AA632" t="s">
        <v>5551</v>
      </c>
      <c r="AB632" t="s">
        <v>5552</v>
      </c>
      <c r="AC632" t="s">
        <v>74</v>
      </c>
      <c r="AD632" t="s">
        <v>74</v>
      </c>
      <c r="AE632" t="s">
        <v>74</v>
      </c>
      <c r="AF632" t="s">
        <v>74</v>
      </c>
      <c r="AG632" t="s">
        <v>74</v>
      </c>
      <c r="AH632" t="s">
        <v>74</v>
      </c>
      <c r="AI632" t="s">
        <v>74</v>
      </c>
      <c r="AJ632" t="s">
        <v>74</v>
      </c>
      <c r="AK632" t="s">
        <v>74</v>
      </c>
      <c r="AL632" t="s">
        <v>74</v>
      </c>
      <c r="AM632" t="s">
        <v>74</v>
      </c>
      <c r="AN632" t="s">
        <v>74</v>
      </c>
      <c r="AO632" t="s">
        <v>1297</v>
      </c>
      <c r="AP632" t="s">
        <v>1298</v>
      </c>
      <c r="AQ632" t="s">
        <v>74</v>
      </c>
      <c r="AR632" t="s">
        <v>74</v>
      </c>
      <c r="AS632" t="s">
        <v>74</v>
      </c>
      <c r="AT632" t="s">
        <v>4850</v>
      </c>
      <c r="AU632">
        <v>2020</v>
      </c>
      <c r="AV632">
        <v>167</v>
      </c>
      <c r="AW632">
        <v>8</v>
      </c>
      <c r="AX632" t="s">
        <v>74</v>
      </c>
      <c r="AY632" t="s">
        <v>74</v>
      </c>
      <c r="AZ632" t="s">
        <v>74</v>
      </c>
      <c r="BA632" t="s">
        <v>74</v>
      </c>
      <c r="BB632" t="s">
        <v>74</v>
      </c>
      <c r="BC632" t="s">
        <v>74</v>
      </c>
      <c r="BD632">
        <v>80507</v>
      </c>
      <c r="BE632" t="s">
        <v>5553</v>
      </c>
      <c r="BF632" t="str">
        <f>HYPERLINK("http://dx.doi.org/10.1149/1945-7111/ab8876","http://dx.doi.org/10.1149/1945-7111/ab8876")</f>
        <v>http://dx.doi.org/10.1149/1945-7111/ab8876</v>
      </c>
      <c r="BG632" t="s">
        <v>74</v>
      </c>
      <c r="BH632" t="s">
        <v>74</v>
      </c>
      <c r="BI632" t="s">
        <v>74</v>
      </c>
      <c r="BJ632" t="s">
        <v>74</v>
      </c>
      <c r="BK632" t="s">
        <v>74</v>
      </c>
      <c r="BL632" t="s">
        <v>74</v>
      </c>
      <c r="BM632" t="s">
        <v>74</v>
      </c>
      <c r="BN632" t="s">
        <v>74</v>
      </c>
      <c r="BO632" t="s">
        <v>74</v>
      </c>
      <c r="BP632" t="s">
        <v>74</v>
      </c>
      <c r="BQ632" t="s">
        <v>74</v>
      </c>
      <c r="BR632" t="s">
        <v>74</v>
      </c>
      <c r="BS632" t="s">
        <v>5554</v>
      </c>
      <c r="BT632" t="str">
        <f>HYPERLINK("https%3A%2F%2Fwww.webofscience.com%2Fwos%2Fwoscc%2Ffull-record%2FWOS:000527392100001","View Full Record in Web of Science")</f>
        <v>View Full Record in Web of Science</v>
      </c>
    </row>
    <row r="633" spans="1:72" x14ac:dyDescent="0.2">
      <c r="A633" t="s">
        <v>72</v>
      </c>
      <c r="B633" t="s">
        <v>5555</v>
      </c>
      <c r="C633" t="s">
        <v>74</v>
      </c>
      <c r="D633" t="s">
        <v>74</v>
      </c>
      <c r="E633" t="s">
        <v>74</v>
      </c>
      <c r="F633" t="s">
        <v>5556</v>
      </c>
      <c r="G633" t="s">
        <v>74</v>
      </c>
      <c r="H633" t="s">
        <v>74</v>
      </c>
      <c r="I633" t="s">
        <v>5557</v>
      </c>
      <c r="J633" t="s">
        <v>278</v>
      </c>
      <c r="K633" t="s">
        <v>74</v>
      </c>
      <c r="L633" t="s">
        <v>74</v>
      </c>
      <c r="M633" t="s">
        <v>74</v>
      </c>
      <c r="N633" t="s">
        <v>74</v>
      </c>
      <c r="O633" t="s">
        <v>74</v>
      </c>
      <c r="P633" t="s">
        <v>74</v>
      </c>
      <c r="Q633" t="s">
        <v>74</v>
      </c>
      <c r="R633" t="s">
        <v>74</v>
      </c>
      <c r="S633" t="s">
        <v>74</v>
      </c>
      <c r="T633" t="s">
        <v>74</v>
      </c>
      <c r="U633" t="s">
        <v>74</v>
      </c>
      <c r="V633" t="s">
        <v>5558</v>
      </c>
      <c r="W633" t="s">
        <v>74</v>
      </c>
      <c r="X633" t="s">
        <v>74</v>
      </c>
      <c r="Y633" t="s">
        <v>74</v>
      </c>
      <c r="Z633" t="s">
        <v>74</v>
      </c>
      <c r="AA633" t="s">
        <v>5559</v>
      </c>
      <c r="AB633" t="s">
        <v>5560</v>
      </c>
      <c r="AC633" t="s">
        <v>74</v>
      </c>
      <c r="AD633" t="s">
        <v>74</v>
      </c>
      <c r="AE633" t="s">
        <v>74</v>
      </c>
      <c r="AF633" t="s">
        <v>74</v>
      </c>
      <c r="AG633" t="s">
        <v>74</v>
      </c>
      <c r="AH633" t="s">
        <v>74</v>
      </c>
      <c r="AI633" t="s">
        <v>74</v>
      </c>
      <c r="AJ633" t="s">
        <v>74</v>
      </c>
      <c r="AK633" t="s">
        <v>74</v>
      </c>
      <c r="AL633" t="s">
        <v>74</v>
      </c>
      <c r="AM633" t="s">
        <v>74</v>
      </c>
      <c r="AN633" t="s">
        <v>74</v>
      </c>
      <c r="AO633" t="s">
        <v>281</v>
      </c>
      <c r="AP633" t="s">
        <v>282</v>
      </c>
      <c r="AQ633" t="s">
        <v>74</v>
      </c>
      <c r="AR633" t="s">
        <v>74</v>
      </c>
      <c r="AS633" t="s">
        <v>74</v>
      </c>
      <c r="AT633" t="s">
        <v>5561</v>
      </c>
      <c r="AU633">
        <v>2020</v>
      </c>
      <c r="AV633">
        <v>8</v>
      </c>
      <c r="AW633">
        <v>14</v>
      </c>
      <c r="AX633" t="s">
        <v>74</v>
      </c>
      <c r="AY633" t="s">
        <v>74</v>
      </c>
      <c r="AZ633" t="s">
        <v>74</v>
      </c>
      <c r="BA633" t="s">
        <v>74</v>
      </c>
      <c r="BB633">
        <v>6539</v>
      </c>
      <c r="BC633">
        <v>6545</v>
      </c>
      <c r="BD633" t="s">
        <v>74</v>
      </c>
      <c r="BE633" t="s">
        <v>5562</v>
      </c>
      <c r="BF633" t="str">
        <f>HYPERLINK("http://dx.doi.org/10.1039/c9ta12895f","http://dx.doi.org/10.1039/c9ta12895f")</f>
        <v>http://dx.doi.org/10.1039/c9ta12895f</v>
      </c>
      <c r="BG633" t="s">
        <v>74</v>
      </c>
      <c r="BH633" t="s">
        <v>74</v>
      </c>
      <c r="BI633" t="s">
        <v>74</v>
      </c>
      <c r="BJ633" t="s">
        <v>74</v>
      </c>
      <c r="BK633" t="s">
        <v>74</v>
      </c>
      <c r="BL633" t="s">
        <v>74</v>
      </c>
      <c r="BM633" t="s">
        <v>74</v>
      </c>
      <c r="BN633" t="s">
        <v>74</v>
      </c>
      <c r="BO633" t="s">
        <v>74</v>
      </c>
      <c r="BP633" t="s">
        <v>74</v>
      </c>
      <c r="BQ633" t="s">
        <v>74</v>
      </c>
      <c r="BR633" t="s">
        <v>74</v>
      </c>
      <c r="BS633" t="s">
        <v>5563</v>
      </c>
      <c r="BT633" t="str">
        <f>HYPERLINK("https%3A%2F%2Fwww.webofscience.com%2Fwos%2Fwoscc%2Ffull-record%2FWOS:000526953200008","View Full Record in Web of Science")</f>
        <v>View Full Record in Web of Science</v>
      </c>
    </row>
    <row r="634" spans="1:72" x14ac:dyDescent="0.2">
      <c r="A634" t="s">
        <v>72</v>
      </c>
      <c r="B634" t="s">
        <v>5564</v>
      </c>
      <c r="C634" t="s">
        <v>74</v>
      </c>
      <c r="D634" t="s">
        <v>74</v>
      </c>
      <c r="E634" t="s">
        <v>74</v>
      </c>
      <c r="F634" t="s">
        <v>5565</v>
      </c>
      <c r="G634" t="s">
        <v>74</v>
      </c>
      <c r="H634" t="s">
        <v>74</v>
      </c>
      <c r="I634" t="s">
        <v>5566</v>
      </c>
      <c r="J634" t="s">
        <v>3581</v>
      </c>
      <c r="K634" t="s">
        <v>74</v>
      </c>
      <c r="L634" t="s">
        <v>74</v>
      </c>
      <c r="M634" t="s">
        <v>74</v>
      </c>
      <c r="N634" t="s">
        <v>74</v>
      </c>
      <c r="O634" t="s">
        <v>74</v>
      </c>
      <c r="P634" t="s">
        <v>74</v>
      </c>
      <c r="Q634" t="s">
        <v>74</v>
      </c>
      <c r="R634" t="s">
        <v>74</v>
      </c>
      <c r="S634" t="s">
        <v>74</v>
      </c>
      <c r="T634" t="s">
        <v>74</v>
      </c>
      <c r="U634" t="s">
        <v>74</v>
      </c>
      <c r="V634" t="s">
        <v>5567</v>
      </c>
      <c r="W634" t="s">
        <v>74</v>
      </c>
      <c r="X634" t="s">
        <v>74</v>
      </c>
      <c r="Y634" t="s">
        <v>74</v>
      </c>
      <c r="Z634" t="s">
        <v>74</v>
      </c>
      <c r="AA634" t="s">
        <v>5568</v>
      </c>
      <c r="AB634" t="s">
        <v>5569</v>
      </c>
      <c r="AC634" t="s">
        <v>74</v>
      </c>
      <c r="AD634" t="s">
        <v>74</v>
      </c>
      <c r="AE634" t="s">
        <v>74</v>
      </c>
      <c r="AF634" t="s">
        <v>74</v>
      </c>
      <c r="AG634" t="s">
        <v>74</v>
      </c>
      <c r="AH634" t="s">
        <v>74</v>
      </c>
      <c r="AI634" t="s">
        <v>74</v>
      </c>
      <c r="AJ634" t="s">
        <v>74</v>
      </c>
      <c r="AK634" t="s">
        <v>74</v>
      </c>
      <c r="AL634" t="s">
        <v>74</v>
      </c>
      <c r="AM634" t="s">
        <v>74</v>
      </c>
      <c r="AN634" t="s">
        <v>74</v>
      </c>
      <c r="AO634" t="s">
        <v>3585</v>
      </c>
      <c r="AP634" t="s">
        <v>3586</v>
      </c>
      <c r="AQ634" t="s">
        <v>74</v>
      </c>
      <c r="AR634" t="s">
        <v>74</v>
      </c>
      <c r="AS634" t="s">
        <v>74</v>
      </c>
      <c r="AT634" t="s">
        <v>5570</v>
      </c>
      <c r="AU634">
        <v>2020</v>
      </c>
      <c r="AV634">
        <v>56</v>
      </c>
      <c r="AW634">
        <v>28</v>
      </c>
      <c r="AX634" t="s">
        <v>74</v>
      </c>
      <c r="AY634" t="s">
        <v>74</v>
      </c>
      <c r="AZ634" t="s">
        <v>74</v>
      </c>
      <c r="BA634" t="s">
        <v>74</v>
      </c>
      <c r="BB634">
        <v>3971</v>
      </c>
      <c r="BC634">
        <v>3974</v>
      </c>
      <c r="BD634" t="s">
        <v>74</v>
      </c>
      <c r="BE634" t="s">
        <v>5571</v>
      </c>
      <c r="BF634" t="str">
        <f>HYPERLINK("http://dx.doi.org/10.1039/c9cc09990e","http://dx.doi.org/10.1039/c9cc09990e")</f>
        <v>http://dx.doi.org/10.1039/c9cc09990e</v>
      </c>
      <c r="BG634" t="s">
        <v>74</v>
      </c>
      <c r="BH634" t="s">
        <v>74</v>
      </c>
      <c r="BI634" t="s">
        <v>74</v>
      </c>
      <c r="BJ634" t="s">
        <v>74</v>
      </c>
      <c r="BK634" t="s">
        <v>74</v>
      </c>
      <c r="BL634" t="s">
        <v>74</v>
      </c>
      <c r="BM634" t="s">
        <v>74</v>
      </c>
      <c r="BN634">
        <v>32152608</v>
      </c>
      <c r="BO634" t="s">
        <v>74</v>
      </c>
      <c r="BP634" t="s">
        <v>74</v>
      </c>
      <c r="BQ634" t="s">
        <v>74</v>
      </c>
      <c r="BR634" t="s">
        <v>74</v>
      </c>
      <c r="BS634" t="s">
        <v>5572</v>
      </c>
      <c r="BT634" t="str">
        <f>HYPERLINK("https%3A%2F%2Fwww.webofscience.com%2Fwos%2Fwoscc%2Ffull-record%2FWOS:000524565800007","View Full Record in Web of Science")</f>
        <v>View Full Record in Web of Science</v>
      </c>
    </row>
    <row r="635" spans="1:72" x14ac:dyDescent="0.2">
      <c r="A635" t="s">
        <v>72</v>
      </c>
      <c r="B635" t="s">
        <v>5573</v>
      </c>
      <c r="C635" t="s">
        <v>74</v>
      </c>
      <c r="D635" t="s">
        <v>74</v>
      </c>
      <c r="E635" t="s">
        <v>74</v>
      </c>
      <c r="F635" t="s">
        <v>5574</v>
      </c>
      <c r="G635" t="s">
        <v>74</v>
      </c>
      <c r="H635" t="s">
        <v>74</v>
      </c>
      <c r="I635" t="s">
        <v>5575</v>
      </c>
      <c r="J635" t="s">
        <v>723</v>
      </c>
      <c r="K635" t="s">
        <v>74</v>
      </c>
      <c r="L635" t="s">
        <v>74</v>
      </c>
      <c r="M635" t="s">
        <v>74</v>
      </c>
      <c r="N635" t="s">
        <v>74</v>
      </c>
      <c r="O635" t="s">
        <v>74</v>
      </c>
      <c r="P635" t="s">
        <v>74</v>
      </c>
      <c r="Q635" t="s">
        <v>74</v>
      </c>
      <c r="R635" t="s">
        <v>74</v>
      </c>
      <c r="S635" t="s">
        <v>74</v>
      </c>
      <c r="T635" t="s">
        <v>74</v>
      </c>
      <c r="U635" t="s">
        <v>74</v>
      </c>
      <c r="V635" t="s">
        <v>5576</v>
      </c>
      <c r="W635" t="s">
        <v>74</v>
      </c>
      <c r="X635" t="s">
        <v>74</v>
      </c>
      <c r="Y635" t="s">
        <v>74</v>
      </c>
      <c r="Z635" t="s">
        <v>74</v>
      </c>
      <c r="AA635" t="s">
        <v>5577</v>
      </c>
      <c r="AB635" t="s">
        <v>5578</v>
      </c>
      <c r="AC635" t="s">
        <v>74</v>
      </c>
      <c r="AD635" t="s">
        <v>74</v>
      </c>
      <c r="AE635" t="s">
        <v>74</v>
      </c>
      <c r="AF635" t="s">
        <v>74</v>
      </c>
      <c r="AG635" t="s">
        <v>74</v>
      </c>
      <c r="AH635" t="s">
        <v>74</v>
      </c>
      <c r="AI635" t="s">
        <v>74</v>
      </c>
      <c r="AJ635" t="s">
        <v>74</v>
      </c>
      <c r="AK635" t="s">
        <v>74</v>
      </c>
      <c r="AL635" t="s">
        <v>74</v>
      </c>
      <c r="AM635" t="s">
        <v>74</v>
      </c>
      <c r="AN635" t="s">
        <v>74</v>
      </c>
      <c r="AO635" t="s">
        <v>727</v>
      </c>
      <c r="AP635" t="s">
        <v>728</v>
      </c>
      <c r="AQ635" t="s">
        <v>74</v>
      </c>
      <c r="AR635" t="s">
        <v>74</v>
      </c>
      <c r="AS635" t="s">
        <v>74</v>
      </c>
      <c r="AT635" t="s">
        <v>5579</v>
      </c>
      <c r="AU635">
        <v>2020</v>
      </c>
      <c r="AV635">
        <v>49</v>
      </c>
      <c r="AW635">
        <v>5</v>
      </c>
      <c r="AX635" t="s">
        <v>74</v>
      </c>
      <c r="AY635" t="s">
        <v>74</v>
      </c>
      <c r="AZ635" t="s">
        <v>74</v>
      </c>
      <c r="BA635" t="s">
        <v>74</v>
      </c>
      <c r="BB635">
        <v>1569</v>
      </c>
      <c r="BC635">
        <v>1614</v>
      </c>
      <c r="BD635" t="s">
        <v>74</v>
      </c>
      <c r="BE635" t="s">
        <v>5580</v>
      </c>
      <c r="BF635" t="str">
        <f>HYPERLINK("http://dx.doi.org/10.1039/c7cs00863e","http://dx.doi.org/10.1039/c7cs00863e")</f>
        <v>http://dx.doi.org/10.1039/c7cs00863e</v>
      </c>
      <c r="BG635" t="s">
        <v>74</v>
      </c>
      <c r="BH635" t="s">
        <v>74</v>
      </c>
      <c r="BI635" t="s">
        <v>74</v>
      </c>
      <c r="BJ635" t="s">
        <v>74</v>
      </c>
      <c r="BK635" t="s">
        <v>74</v>
      </c>
      <c r="BL635" t="s">
        <v>74</v>
      </c>
      <c r="BM635" t="s">
        <v>74</v>
      </c>
      <c r="BN635">
        <v>32055806</v>
      </c>
      <c r="BO635" t="s">
        <v>74</v>
      </c>
      <c r="BP635" t="s">
        <v>74</v>
      </c>
      <c r="BQ635" t="s">
        <v>74</v>
      </c>
      <c r="BR635" t="s">
        <v>74</v>
      </c>
      <c r="BS635" t="s">
        <v>5581</v>
      </c>
      <c r="BT635" t="str">
        <f>HYPERLINK("https%3A%2F%2Fwww.webofscience.com%2Fwos%2Fwoscc%2Ffull-record%2FWOS:000519913000006","View Full Record in Web of Science")</f>
        <v>View Full Record in Web of Science</v>
      </c>
    </row>
    <row r="636" spans="1:72" x14ac:dyDescent="0.2">
      <c r="A636" t="s">
        <v>72</v>
      </c>
      <c r="B636" t="s">
        <v>5582</v>
      </c>
      <c r="C636" t="s">
        <v>74</v>
      </c>
      <c r="D636" t="s">
        <v>74</v>
      </c>
      <c r="E636" t="s">
        <v>74</v>
      </c>
      <c r="F636" t="s">
        <v>5583</v>
      </c>
      <c r="G636" t="s">
        <v>74</v>
      </c>
      <c r="H636" t="s">
        <v>74</v>
      </c>
      <c r="I636" t="s">
        <v>5584</v>
      </c>
      <c r="J636" t="s">
        <v>3581</v>
      </c>
      <c r="K636" t="s">
        <v>74</v>
      </c>
      <c r="L636" t="s">
        <v>74</v>
      </c>
      <c r="M636" t="s">
        <v>74</v>
      </c>
      <c r="N636" t="s">
        <v>74</v>
      </c>
      <c r="O636" t="s">
        <v>74</v>
      </c>
      <c r="P636" t="s">
        <v>74</v>
      </c>
      <c r="Q636" t="s">
        <v>74</v>
      </c>
      <c r="R636" t="s">
        <v>74</v>
      </c>
      <c r="S636" t="s">
        <v>74</v>
      </c>
      <c r="T636" t="s">
        <v>74</v>
      </c>
      <c r="U636" t="s">
        <v>74</v>
      </c>
      <c r="V636" t="s">
        <v>5585</v>
      </c>
      <c r="W636" t="s">
        <v>74</v>
      </c>
      <c r="X636" t="s">
        <v>74</v>
      </c>
      <c r="Y636" t="s">
        <v>74</v>
      </c>
      <c r="Z636" t="s">
        <v>74</v>
      </c>
      <c r="AA636" t="s">
        <v>5586</v>
      </c>
      <c r="AB636" t="s">
        <v>5587</v>
      </c>
      <c r="AC636" t="s">
        <v>74</v>
      </c>
      <c r="AD636" t="s">
        <v>74</v>
      </c>
      <c r="AE636" t="s">
        <v>74</v>
      </c>
      <c r="AF636" t="s">
        <v>74</v>
      </c>
      <c r="AG636" t="s">
        <v>74</v>
      </c>
      <c r="AH636" t="s">
        <v>74</v>
      </c>
      <c r="AI636" t="s">
        <v>74</v>
      </c>
      <c r="AJ636" t="s">
        <v>74</v>
      </c>
      <c r="AK636" t="s">
        <v>74</v>
      </c>
      <c r="AL636" t="s">
        <v>74</v>
      </c>
      <c r="AM636" t="s">
        <v>74</v>
      </c>
      <c r="AN636" t="s">
        <v>74</v>
      </c>
      <c r="AO636" t="s">
        <v>3585</v>
      </c>
      <c r="AP636" t="s">
        <v>3586</v>
      </c>
      <c r="AQ636" t="s">
        <v>74</v>
      </c>
      <c r="AR636" t="s">
        <v>74</v>
      </c>
      <c r="AS636" t="s">
        <v>74</v>
      </c>
      <c r="AT636" t="s">
        <v>4917</v>
      </c>
      <c r="AU636">
        <v>2020</v>
      </c>
      <c r="AV636">
        <v>56</v>
      </c>
      <c r="AW636">
        <v>18</v>
      </c>
      <c r="AX636" t="s">
        <v>74</v>
      </c>
      <c r="AY636" t="s">
        <v>74</v>
      </c>
      <c r="AZ636" t="s">
        <v>74</v>
      </c>
      <c r="BA636" t="s">
        <v>74</v>
      </c>
      <c r="BB636">
        <v>2783</v>
      </c>
      <c r="BC636">
        <v>2786</v>
      </c>
      <c r="BD636" t="s">
        <v>74</v>
      </c>
      <c r="BE636" t="s">
        <v>5588</v>
      </c>
      <c r="BF636" t="str">
        <f>HYPERLINK("http://dx.doi.org/10.1039/c9cc08717f","http://dx.doi.org/10.1039/c9cc08717f")</f>
        <v>http://dx.doi.org/10.1039/c9cc08717f</v>
      </c>
      <c r="BG636" t="s">
        <v>74</v>
      </c>
      <c r="BH636" t="s">
        <v>74</v>
      </c>
      <c r="BI636" t="s">
        <v>74</v>
      </c>
      <c r="BJ636" t="s">
        <v>74</v>
      </c>
      <c r="BK636" t="s">
        <v>74</v>
      </c>
      <c r="BL636" t="s">
        <v>74</v>
      </c>
      <c r="BM636" t="s">
        <v>74</v>
      </c>
      <c r="BN636">
        <v>32025673</v>
      </c>
      <c r="BO636" t="s">
        <v>74</v>
      </c>
      <c r="BP636" t="s">
        <v>74</v>
      </c>
      <c r="BQ636" t="s">
        <v>74</v>
      </c>
      <c r="BR636" t="s">
        <v>74</v>
      </c>
      <c r="BS636" t="s">
        <v>5589</v>
      </c>
      <c r="BT636" t="str">
        <f>HYPERLINK("https%3A%2F%2Fwww.webofscience.com%2Fwos%2Fwoscc%2Ffull-record%2FWOS:000528510000021","View Full Record in Web of Science")</f>
        <v>View Full Record in Web of Science</v>
      </c>
    </row>
    <row r="637" spans="1:72" x14ac:dyDescent="0.2">
      <c r="A637" t="s">
        <v>72</v>
      </c>
      <c r="B637" t="s">
        <v>5590</v>
      </c>
      <c r="C637" t="s">
        <v>74</v>
      </c>
      <c r="D637" t="s">
        <v>74</v>
      </c>
      <c r="E637" t="s">
        <v>74</v>
      </c>
      <c r="F637" t="s">
        <v>5591</v>
      </c>
      <c r="G637" t="s">
        <v>74</v>
      </c>
      <c r="H637" t="s">
        <v>74</v>
      </c>
      <c r="I637" t="s">
        <v>5592</v>
      </c>
      <c r="J637" t="s">
        <v>587</v>
      </c>
      <c r="K637" t="s">
        <v>74</v>
      </c>
      <c r="L637" t="s">
        <v>74</v>
      </c>
      <c r="M637" t="s">
        <v>74</v>
      </c>
      <c r="N637" t="s">
        <v>74</v>
      </c>
      <c r="O637" t="s">
        <v>74</v>
      </c>
      <c r="P637" t="s">
        <v>74</v>
      </c>
      <c r="Q637" t="s">
        <v>74</v>
      </c>
      <c r="R637" t="s">
        <v>74</v>
      </c>
      <c r="S637" t="s">
        <v>74</v>
      </c>
      <c r="T637" t="s">
        <v>74</v>
      </c>
      <c r="U637" t="s">
        <v>74</v>
      </c>
      <c r="V637" t="s">
        <v>5593</v>
      </c>
      <c r="W637" t="s">
        <v>74</v>
      </c>
      <c r="X637" t="s">
        <v>74</v>
      </c>
      <c r="Y637" t="s">
        <v>74</v>
      </c>
      <c r="Z637" t="s">
        <v>74</v>
      </c>
      <c r="AA637" t="s">
        <v>5594</v>
      </c>
      <c r="AB637" t="s">
        <v>74</v>
      </c>
      <c r="AC637" t="s">
        <v>74</v>
      </c>
      <c r="AD637" t="s">
        <v>74</v>
      </c>
      <c r="AE637" t="s">
        <v>74</v>
      </c>
      <c r="AF637" t="s">
        <v>74</v>
      </c>
      <c r="AG637" t="s">
        <v>74</v>
      </c>
      <c r="AH637" t="s">
        <v>74</v>
      </c>
      <c r="AI637" t="s">
        <v>74</v>
      </c>
      <c r="AJ637" t="s">
        <v>74</v>
      </c>
      <c r="AK637" t="s">
        <v>74</v>
      </c>
      <c r="AL637" t="s">
        <v>74</v>
      </c>
      <c r="AM637" t="s">
        <v>74</v>
      </c>
      <c r="AN637" t="s">
        <v>74</v>
      </c>
      <c r="AO637" t="s">
        <v>591</v>
      </c>
      <c r="AP637" t="s">
        <v>74</v>
      </c>
      <c r="AQ637" t="s">
        <v>74</v>
      </c>
      <c r="AR637" t="s">
        <v>74</v>
      </c>
      <c r="AS637" t="s">
        <v>74</v>
      </c>
      <c r="AT637" t="s">
        <v>4203</v>
      </c>
      <c r="AU637">
        <v>2020</v>
      </c>
      <c r="AV637">
        <v>7</v>
      </c>
      <c r="AW637">
        <v>5</v>
      </c>
      <c r="AX637" t="s">
        <v>74</v>
      </c>
      <c r="AY637" t="s">
        <v>74</v>
      </c>
      <c r="AZ637" t="s">
        <v>74</v>
      </c>
      <c r="BA637" t="s">
        <v>74</v>
      </c>
      <c r="BB637">
        <v>1187</v>
      </c>
      <c r="BC637">
        <v>1192</v>
      </c>
      <c r="BD637" t="s">
        <v>74</v>
      </c>
      <c r="BE637" t="s">
        <v>5595</v>
      </c>
      <c r="BF637" t="str">
        <f>HYPERLINK("http://dx.doi.org/10.1002/celc.201901916","http://dx.doi.org/10.1002/celc.201901916")</f>
        <v>http://dx.doi.org/10.1002/celc.201901916</v>
      </c>
      <c r="BG637" t="s">
        <v>74</v>
      </c>
      <c r="BH637" t="s">
        <v>74</v>
      </c>
      <c r="BI637" t="s">
        <v>74</v>
      </c>
      <c r="BJ637" t="s">
        <v>74</v>
      </c>
      <c r="BK637" t="s">
        <v>74</v>
      </c>
      <c r="BL637" t="s">
        <v>74</v>
      </c>
      <c r="BM637" t="s">
        <v>74</v>
      </c>
      <c r="BN637" t="s">
        <v>74</v>
      </c>
      <c r="BO637" t="s">
        <v>74</v>
      </c>
      <c r="BP637" t="s">
        <v>74</v>
      </c>
      <c r="BQ637" t="s">
        <v>74</v>
      </c>
      <c r="BR637" t="s">
        <v>74</v>
      </c>
      <c r="BS637" t="s">
        <v>5596</v>
      </c>
      <c r="BT637" t="str">
        <f>HYPERLINK("https%3A%2F%2Fwww.webofscience.com%2Fwos%2Fwoscc%2Ffull-record%2FWOS:000519650500018","View Full Record in Web of Science")</f>
        <v>View Full Record in Web of Science</v>
      </c>
    </row>
    <row r="638" spans="1:72" x14ac:dyDescent="0.2">
      <c r="A638" t="s">
        <v>72</v>
      </c>
      <c r="B638" t="s">
        <v>5597</v>
      </c>
      <c r="C638" t="s">
        <v>74</v>
      </c>
      <c r="D638" t="s">
        <v>74</v>
      </c>
      <c r="E638" t="s">
        <v>74</v>
      </c>
      <c r="F638" t="s">
        <v>5598</v>
      </c>
      <c r="G638" t="s">
        <v>74</v>
      </c>
      <c r="H638" t="s">
        <v>74</v>
      </c>
      <c r="I638" t="s">
        <v>5599</v>
      </c>
      <c r="J638" t="s">
        <v>5433</v>
      </c>
      <c r="K638" t="s">
        <v>74</v>
      </c>
      <c r="L638" t="s">
        <v>74</v>
      </c>
      <c r="M638" t="s">
        <v>74</v>
      </c>
      <c r="N638" t="s">
        <v>74</v>
      </c>
      <c r="O638" t="s">
        <v>74</v>
      </c>
      <c r="P638" t="s">
        <v>74</v>
      </c>
      <c r="Q638" t="s">
        <v>74</v>
      </c>
      <c r="R638" t="s">
        <v>74</v>
      </c>
      <c r="S638" t="s">
        <v>74</v>
      </c>
      <c r="T638" t="s">
        <v>74</v>
      </c>
      <c r="U638" t="s">
        <v>74</v>
      </c>
      <c r="V638" t="s">
        <v>5600</v>
      </c>
      <c r="W638" t="s">
        <v>74</v>
      </c>
      <c r="X638" t="s">
        <v>74</v>
      </c>
      <c r="Y638" t="s">
        <v>74</v>
      </c>
      <c r="Z638" t="s">
        <v>74</v>
      </c>
      <c r="AA638" t="s">
        <v>74</v>
      </c>
      <c r="AB638" t="s">
        <v>5601</v>
      </c>
      <c r="AC638" t="s">
        <v>74</v>
      </c>
      <c r="AD638" t="s">
        <v>74</v>
      </c>
      <c r="AE638" t="s">
        <v>74</v>
      </c>
      <c r="AF638" t="s">
        <v>74</v>
      </c>
      <c r="AG638" t="s">
        <v>74</v>
      </c>
      <c r="AH638" t="s">
        <v>74</v>
      </c>
      <c r="AI638" t="s">
        <v>74</v>
      </c>
      <c r="AJ638" t="s">
        <v>74</v>
      </c>
      <c r="AK638" t="s">
        <v>74</v>
      </c>
      <c r="AL638" t="s">
        <v>74</v>
      </c>
      <c r="AM638" t="s">
        <v>74</v>
      </c>
      <c r="AN638" t="s">
        <v>74</v>
      </c>
      <c r="AO638" t="s">
        <v>5437</v>
      </c>
      <c r="AP638" t="s">
        <v>74</v>
      </c>
      <c r="AQ638" t="s">
        <v>74</v>
      </c>
      <c r="AR638" t="s">
        <v>74</v>
      </c>
      <c r="AS638" t="s">
        <v>74</v>
      </c>
      <c r="AT638" t="s">
        <v>2312</v>
      </c>
      <c r="AU638">
        <v>2020</v>
      </c>
      <c r="AV638">
        <v>5</v>
      </c>
      <c r="AW638">
        <v>7</v>
      </c>
      <c r="AX638" t="s">
        <v>74</v>
      </c>
      <c r="AY638" t="s">
        <v>74</v>
      </c>
      <c r="AZ638" t="s">
        <v>74</v>
      </c>
      <c r="BA638" t="s">
        <v>74</v>
      </c>
      <c r="BB638">
        <v>2247</v>
      </c>
      <c r="BC638">
        <v>2254</v>
      </c>
      <c r="BD638" t="s">
        <v>74</v>
      </c>
      <c r="BE638" t="s">
        <v>5602</v>
      </c>
      <c r="BF638" t="str">
        <f>HYPERLINK("http://dx.doi.org/10.1002/slct.201904872","http://dx.doi.org/10.1002/slct.201904872")</f>
        <v>http://dx.doi.org/10.1002/slct.201904872</v>
      </c>
      <c r="BG638" t="s">
        <v>74</v>
      </c>
      <c r="BH638" t="s">
        <v>74</v>
      </c>
      <c r="BI638" t="s">
        <v>74</v>
      </c>
      <c r="BJ638" t="s">
        <v>74</v>
      </c>
      <c r="BK638" t="s">
        <v>74</v>
      </c>
      <c r="BL638" t="s">
        <v>74</v>
      </c>
      <c r="BM638" t="s">
        <v>74</v>
      </c>
      <c r="BN638" t="s">
        <v>74</v>
      </c>
      <c r="BO638" t="s">
        <v>74</v>
      </c>
      <c r="BP638" t="s">
        <v>74</v>
      </c>
      <c r="BQ638" t="s">
        <v>74</v>
      </c>
      <c r="BR638" t="s">
        <v>74</v>
      </c>
      <c r="BS638" t="s">
        <v>5603</v>
      </c>
      <c r="BT638" t="str">
        <f>HYPERLINK("https%3A%2F%2Fwww.webofscience.com%2Fwos%2Fwoscc%2Ffull-record%2FWOS:000514728300020","View Full Record in Web of Science")</f>
        <v>View Full Record in Web of Science</v>
      </c>
    </row>
    <row r="639" spans="1:72" x14ac:dyDescent="0.2">
      <c r="A639" t="s">
        <v>72</v>
      </c>
      <c r="B639" t="s">
        <v>5604</v>
      </c>
      <c r="C639" t="s">
        <v>74</v>
      </c>
      <c r="D639" t="s">
        <v>74</v>
      </c>
      <c r="E639" t="s">
        <v>74</v>
      </c>
      <c r="F639" t="s">
        <v>5605</v>
      </c>
      <c r="G639" t="s">
        <v>74</v>
      </c>
      <c r="H639" t="s">
        <v>74</v>
      </c>
      <c r="I639" t="s">
        <v>5606</v>
      </c>
      <c r="J639" t="s">
        <v>528</v>
      </c>
      <c r="K639" t="s">
        <v>74</v>
      </c>
      <c r="L639" t="s">
        <v>74</v>
      </c>
      <c r="M639" t="s">
        <v>74</v>
      </c>
      <c r="N639" t="s">
        <v>74</v>
      </c>
      <c r="O639" t="s">
        <v>74</v>
      </c>
      <c r="P639" t="s">
        <v>74</v>
      </c>
      <c r="Q639" t="s">
        <v>74</v>
      </c>
      <c r="R639" t="s">
        <v>74</v>
      </c>
      <c r="S639" t="s">
        <v>74</v>
      </c>
      <c r="T639" t="s">
        <v>74</v>
      </c>
      <c r="U639" t="s">
        <v>74</v>
      </c>
      <c r="V639" t="s">
        <v>5607</v>
      </c>
      <c r="W639" t="s">
        <v>74</v>
      </c>
      <c r="X639" t="s">
        <v>74</v>
      </c>
      <c r="Y639" t="s">
        <v>74</v>
      </c>
      <c r="Z639" t="s">
        <v>74</v>
      </c>
      <c r="AA639" t="s">
        <v>3852</v>
      </c>
      <c r="AB639" t="s">
        <v>4925</v>
      </c>
      <c r="AC639" t="s">
        <v>74</v>
      </c>
      <c r="AD639" t="s">
        <v>74</v>
      </c>
      <c r="AE639" t="s">
        <v>74</v>
      </c>
      <c r="AF639" t="s">
        <v>74</v>
      </c>
      <c r="AG639" t="s">
        <v>74</v>
      </c>
      <c r="AH639" t="s">
        <v>74</v>
      </c>
      <c r="AI639" t="s">
        <v>74</v>
      </c>
      <c r="AJ639" t="s">
        <v>74</v>
      </c>
      <c r="AK639" t="s">
        <v>74</v>
      </c>
      <c r="AL639" t="s">
        <v>74</v>
      </c>
      <c r="AM639" t="s">
        <v>74</v>
      </c>
      <c r="AN639" t="s">
        <v>74</v>
      </c>
      <c r="AO639" t="s">
        <v>532</v>
      </c>
      <c r="AP639" t="s">
        <v>533</v>
      </c>
      <c r="AQ639" t="s">
        <v>74</v>
      </c>
      <c r="AR639" t="s">
        <v>74</v>
      </c>
      <c r="AS639" t="s">
        <v>74</v>
      </c>
      <c r="AT639" t="s">
        <v>5608</v>
      </c>
      <c r="AU639">
        <v>2020</v>
      </c>
      <c r="AV639">
        <v>12</v>
      </c>
      <c r="AW639">
        <v>7</v>
      </c>
      <c r="AX639" t="s">
        <v>74</v>
      </c>
      <c r="AY639" t="s">
        <v>74</v>
      </c>
      <c r="AZ639" t="s">
        <v>74</v>
      </c>
      <c r="BA639" t="s">
        <v>74</v>
      </c>
      <c r="BB639">
        <v>8107</v>
      </c>
      <c r="BC639">
        <v>8114</v>
      </c>
      <c r="BD639" t="s">
        <v>74</v>
      </c>
      <c r="BE639" t="s">
        <v>5609</v>
      </c>
      <c r="BF639" t="str">
        <f>HYPERLINK("http://dx.doi.org/10.1021/acsami.9b18134","http://dx.doi.org/10.1021/acsami.9b18134")</f>
        <v>http://dx.doi.org/10.1021/acsami.9b18134</v>
      </c>
      <c r="BG639" t="s">
        <v>74</v>
      </c>
      <c r="BH639" t="s">
        <v>74</v>
      </c>
      <c r="BI639" t="s">
        <v>74</v>
      </c>
      <c r="BJ639" t="s">
        <v>74</v>
      </c>
      <c r="BK639" t="s">
        <v>74</v>
      </c>
      <c r="BL639" t="s">
        <v>74</v>
      </c>
      <c r="BM639" t="s">
        <v>74</v>
      </c>
      <c r="BN639">
        <v>31973532</v>
      </c>
      <c r="BO639" t="s">
        <v>74</v>
      </c>
      <c r="BP639" t="s">
        <v>74</v>
      </c>
      <c r="BQ639" t="s">
        <v>74</v>
      </c>
      <c r="BR639" t="s">
        <v>74</v>
      </c>
      <c r="BS639" t="s">
        <v>5610</v>
      </c>
      <c r="BT639" t="str">
        <f>HYPERLINK("https%3A%2F%2Fwww.webofscience.com%2Fwos%2Fwoscc%2Ffull-record%2FWOS:000515214300025","View Full Record in Web of Science")</f>
        <v>View Full Record in Web of Science</v>
      </c>
    </row>
    <row r="640" spans="1:72" x14ac:dyDescent="0.2">
      <c r="A640" t="s">
        <v>72</v>
      </c>
      <c r="B640" t="s">
        <v>5611</v>
      </c>
      <c r="C640" t="s">
        <v>74</v>
      </c>
      <c r="D640" t="s">
        <v>74</v>
      </c>
      <c r="E640" t="s">
        <v>74</v>
      </c>
      <c r="F640" t="s">
        <v>5612</v>
      </c>
      <c r="G640" t="s">
        <v>74</v>
      </c>
      <c r="H640" t="s">
        <v>74</v>
      </c>
      <c r="I640" t="s">
        <v>5613</v>
      </c>
      <c r="J640" t="s">
        <v>267</v>
      </c>
      <c r="K640" t="s">
        <v>74</v>
      </c>
      <c r="L640" t="s">
        <v>74</v>
      </c>
      <c r="M640" t="s">
        <v>74</v>
      </c>
      <c r="N640" t="s">
        <v>74</v>
      </c>
      <c r="O640" t="s">
        <v>74</v>
      </c>
      <c r="P640" t="s">
        <v>74</v>
      </c>
      <c r="Q640" t="s">
        <v>74</v>
      </c>
      <c r="R640" t="s">
        <v>74</v>
      </c>
      <c r="S640" t="s">
        <v>74</v>
      </c>
      <c r="T640" t="s">
        <v>74</v>
      </c>
      <c r="U640" t="s">
        <v>74</v>
      </c>
      <c r="V640" t="s">
        <v>5614</v>
      </c>
      <c r="W640" t="s">
        <v>74</v>
      </c>
      <c r="X640" t="s">
        <v>74</v>
      </c>
      <c r="Y640" t="s">
        <v>74</v>
      </c>
      <c r="Z640" t="s">
        <v>74</v>
      </c>
      <c r="AA640" t="s">
        <v>5615</v>
      </c>
      <c r="AB640" t="s">
        <v>5616</v>
      </c>
      <c r="AC640" t="s">
        <v>74</v>
      </c>
      <c r="AD640" t="s">
        <v>74</v>
      </c>
      <c r="AE640" t="s">
        <v>74</v>
      </c>
      <c r="AF640" t="s">
        <v>74</v>
      </c>
      <c r="AG640" t="s">
        <v>74</v>
      </c>
      <c r="AH640" t="s">
        <v>74</v>
      </c>
      <c r="AI640" t="s">
        <v>74</v>
      </c>
      <c r="AJ640" t="s">
        <v>74</v>
      </c>
      <c r="AK640" t="s">
        <v>74</v>
      </c>
      <c r="AL640" t="s">
        <v>74</v>
      </c>
      <c r="AM640" t="s">
        <v>74</v>
      </c>
      <c r="AN640" t="s">
        <v>74</v>
      </c>
      <c r="AO640" t="s">
        <v>270</v>
      </c>
      <c r="AP640" t="s">
        <v>271</v>
      </c>
      <c r="AQ640" t="s">
        <v>74</v>
      </c>
      <c r="AR640" t="s">
        <v>74</v>
      </c>
      <c r="AS640" t="s">
        <v>74</v>
      </c>
      <c r="AT640" t="s">
        <v>670</v>
      </c>
      <c r="AU640">
        <v>2020</v>
      </c>
      <c r="AV640">
        <v>30</v>
      </c>
      <c r="AW640">
        <v>15</v>
      </c>
      <c r="AX640" t="s">
        <v>74</v>
      </c>
      <c r="AY640" t="s">
        <v>74</v>
      </c>
      <c r="AZ640" t="s">
        <v>74</v>
      </c>
      <c r="BA640" t="s">
        <v>74</v>
      </c>
      <c r="BB640" t="s">
        <v>74</v>
      </c>
      <c r="BC640" t="s">
        <v>74</v>
      </c>
      <c r="BD640">
        <v>1910813</v>
      </c>
      <c r="BE640" t="s">
        <v>5617</v>
      </c>
      <c r="BF640" t="str">
        <f>HYPERLINK("http://dx.doi.org/10.1002/adfm.201910813","http://dx.doi.org/10.1002/adfm.201910813")</f>
        <v>http://dx.doi.org/10.1002/adfm.201910813</v>
      </c>
      <c r="BG640" t="s">
        <v>74</v>
      </c>
      <c r="BH640" t="s">
        <v>5618</v>
      </c>
      <c r="BI640" t="s">
        <v>74</v>
      </c>
      <c r="BJ640" t="s">
        <v>74</v>
      </c>
      <c r="BK640" t="s">
        <v>74</v>
      </c>
      <c r="BL640" t="s">
        <v>74</v>
      </c>
      <c r="BM640" t="s">
        <v>74</v>
      </c>
      <c r="BN640" t="s">
        <v>74</v>
      </c>
      <c r="BO640" t="s">
        <v>74</v>
      </c>
      <c r="BP640" t="s">
        <v>74</v>
      </c>
      <c r="BQ640" t="s">
        <v>74</v>
      </c>
      <c r="BR640" t="s">
        <v>74</v>
      </c>
      <c r="BS640" t="s">
        <v>5619</v>
      </c>
      <c r="BT640" t="str">
        <f>HYPERLINK("https%3A%2F%2Fwww.webofscience.com%2Fwos%2Fwoscc%2Ffull-record%2FWOS:000514349500001","View Full Record in Web of Science")</f>
        <v>View Full Record in Web of Science</v>
      </c>
    </row>
    <row r="641" spans="1:72" x14ac:dyDescent="0.2">
      <c r="A641" t="s">
        <v>72</v>
      </c>
      <c r="B641" t="s">
        <v>5620</v>
      </c>
      <c r="C641" t="s">
        <v>74</v>
      </c>
      <c r="D641" t="s">
        <v>74</v>
      </c>
      <c r="E641" t="s">
        <v>74</v>
      </c>
      <c r="F641" t="s">
        <v>5621</v>
      </c>
      <c r="G641" t="s">
        <v>74</v>
      </c>
      <c r="H641" t="s">
        <v>74</v>
      </c>
      <c r="I641" t="s">
        <v>5622</v>
      </c>
      <c r="J641" t="s">
        <v>98</v>
      </c>
      <c r="K641" t="s">
        <v>74</v>
      </c>
      <c r="L641" t="s">
        <v>74</v>
      </c>
      <c r="M641" t="s">
        <v>74</v>
      </c>
      <c r="N641" t="s">
        <v>74</v>
      </c>
      <c r="O641" t="s">
        <v>74</v>
      </c>
      <c r="P641" t="s">
        <v>74</v>
      </c>
      <c r="Q641" t="s">
        <v>74</v>
      </c>
      <c r="R641" t="s">
        <v>74</v>
      </c>
      <c r="S641" t="s">
        <v>74</v>
      </c>
      <c r="T641" t="s">
        <v>74</v>
      </c>
      <c r="U641" t="s">
        <v>74</v>
      </c>
      <c r="V641" t="s">
        <v>5623</v>
      </c>
      <c r="W641" t="s">
        <v>74</v>
      </c>
      <c r="X641" t="s">
        <v>74</v>
      </c>
      <c r="Y641" t="s">
        <v>74</v>
      </c>
      <c r="Z641" t="s">
        <v>74</v>
      </c>
      <c r="AA641" t="s">
        <v>5624</v>
      </c>
      <c r="AB641" t="s">
        <v>5625</v>
      </c>
      <c r="AC641" t="s">
        <v>74</v>
      </c>
      <c r="AD641" t="s">
        <v>74</v>
      </c>
      <c r="AE641" t="s">
        <v>74</v>
      </c>
      <c r="AF641" t="s">
        <v>74</v>
      </c>
      <c r="AG641" t="s">
        <v>74</v>
      </c>
      <c r="AH641" t="s">
        <v>74</v>
      </c>
      <c r="AI641" t="s">
        <v>74</v>
      </c>
      <c r="AJ641" t="s">
        <v>74</v>
      </c>
      <c r="AK641" t="s">
        <v>74</v>
      </c>
      <c r="AL641" t="s">
        <v>74</v>
      </c>
      <c r="AM641" t="s">
        <v>74</v>
      </c>
      <c r="AN641" t="s">
        <v>74</v>
      </c>
      <c r="AO641" t="s">
        <v>101</v>
      </c>
      <c r="AP641" t="s">
        <v>102</v>
      </c>
      <c r="AQ641" t="s">
        <v>74</v>
      </c>
      <c r="AR641" t="s">
        <v>74</v>
      </c>
      <c r="AS641" t="s">
        <v>74</v>
      </c>
      <c r="AT641" t="s">
        <v>1463</v>
      </c>
      <c r="AU641">
        <v>2020</v>
      </c>
      <c r="AV641">
        <v>449</v>
      </c>
      <c r="AW641" t="s">
        <v>74</v>
      </c>
      <c r="AX641" t="s">
        <v>74</v>
      </c>
      <c r="AY641" t="s">
        <v>74</v>
      </c>
      <c r="AZ641" t="s">
        <v>74</v>
      </c>
      <c r="BA641" t="s">
        <v>74</v>
      </c>
      <c r="BB641" t="s">
        <v>74</v>
      </c>
      <c r="BC641" t="s">
        <v>74</v>
      </c>
      <c r="BD641">
        <v>227574</v>
      </c>
      <c r="BE641" t="s">
        <v>5626</v>
      </c>
      <c r="BF641" t="str">
        <f>HYPERLINK("http://dx.doi.org/10.1016/j.jpowsour.2019.227574","http://dx.doi.org/10.1016/j.jpowsour.2019.227574")</f>
        <v>http://dx.doi.org/10.1016/j.jpowsour.2019.227574</v>
      </c>
      <c r="BG641" t="s">
        <v>74</v>
      </c>
      <c r="BH641" t="s">
        <v>74</v>
      </c>
      <c r="BI641" t="s">
        <v>74</v>
      </c>
      <c r="BJ641" t="s">
        <v>74</v>
      </c>
      <c r="BK641" t="s">
        <v>74</v>
      </c>
      <c r="BL641" t="s">
        <v>74</v>
      </c>
      <c r="BM641" t="s">
        <v>74</v>
      </c>
      <c r="BN641" t="s">
        <v>74</v>
      </c>
      <c r="BO641" t="s">
        <v>74</v>
      </c>
      <c r="BP641" t="s">
        <v>74</v>
      </c>
      <c r="BQ641" t="s">
        <v>74</v>
      </c>
      <c r="BR641" t="s">
        <v>74</v>
      </c>
      <c r="BS641" t="s">
        <v>5627</v>
      </c>
      <c r="BT641" t="str">
        <f>HYPERLINK("https%3A%2F%2Fwww.webofscience.com%2Fwos%2Fwoscc%2Ffull-record%2FWOS:000510947000036","View Full Record in Web of Science")</f>
        <v>View Full Record in Web of Science</v>
      </c>
    </row>
    <row r="642" spans="1:72" x14ac:dyDescent="0.2">
      <c r="A642" t="s">
        <v>72</v>
      </c>
      <c r="B642" t="s">
        <v>5628</v>
      </c>
      <c r="C642" t="s">
        <v>74</v>
      </c>
      <c r="D642" t="s">
        <v>74</v>
      </c>
      <c r="E642" t="s">
        <v>74</v>
      </c>
      <c r="F642" t="s">
        <v>5629</v>
      </c>
      <c r="G642" t="s">
        <v>74</v>
      </c>
      <c r="H642" t="s">
        <v>74</v>
      </c>
      <c r="I642" t="s">
        <v>5630</v>
      </c>
      <c r="J642" t="s">
        <v>3109</v>
      </c>
      <c r="K642" t="s">
        <v>74</v>
      </c>
      <c r="L642" t="s">
        <v>74</v>
      </c>
      <c r="M642" t="s">
        <v>74</v>
      </c>
      <c r="N642" t="s">
        <v>74</v>
      </c>
      <c r="O642" t="s">
        <v>74</v>
      </c>
      <c r="P642" t="s">
        <v>74</v>
      </c>
      <c r="Q642" t="s">
        <v>74</v>
      </c>
      <c r="R642" t="s">
        <v>74</v>
      </c>
      <c r="S642" t="s">
        <v>74</v>
      </c>
      <c r="T642" t="s">
        <v>74</v>
      </c>
      <c r="U642" t="s">
        <v>74</v>
      </c>
      <c r="V642" t="s">
        <v>5631</v>
      </c>
      <c r="W642" t="s">
        <v>74</v>
      </c>
      <c r="X642" t="s">
        <v>74</v>
      </c>
      <c r="Y642" t="s">
        <v>74</v>
      </c>
      <c r="Z642" t="s">
        <v>74</v>
      </c>
      <c r="AA642" t="s">
        <v>5632</v>
      </c>
      <c r="AB642" t="s">
        <v>5633</v>
      </c>
      <c r="AC642" t="s">
        <v>74</v>
      </c>
      <c r="AD642" t="s">
        <v>74</v>
      </c>
      <c r="AE642" t="s">
        <v>74</v>
      </c>
      <c r="AF642" t="s">
        <v>74</v>
      </c>
      <c r="AG642" t="s">
        <v>74</v>
      </c>
      <c r="AH642" t="s">
        <v>74</v>
      </c>
      <c r="AI642" t="s">
        <v>74</v>
      </c>
      <c r="AJ642" t="s">
        <v>74</v>
      </c>
      <c r="AK642" t="s">
        <v>74</v>
      </c>
      <c r="AL642" t="s">
        <v>74</v>
      </c>
      <c r="AM642" t="s">
        <v>74</v>
      </c>
      <c r="AN642" t="s">
        <v>74</v>
      </c>
      <c r="AO642" t="s">
        <v>3113</v>
      </c>
      <c r="AP642" t="s">
        <v>74</v>
      </c>
      <c r="AQ642" t="s">
        <v>74</v>
      </c>
      <c r="AR642" t="s">
        <v>74</v>
      </c>
      <c r="AS642" t="s">
        <v>74</v>
      </c>
      <c r="AT642" t="s">
        <v>954</v>
      </c>
      <c r="AU642">
        <v>2020</v>
      </c>
      <c r="AV642">
        <v>4</v>
      </c>
      <c r="AW642">
        <v>3</v>
      </c>
      <c r="AX642" t="s">
        <v>74</v>
      </c>
      <c r="AY642" t="s">
        <v>74</v>
      </c>
      <c r="AZ642" t="s">
        <v>74</v>
      </c>
      <c r="BA642" t="s">
        <v>74</v>
      </c>
      <c r="BB642" t="s">
        <v>74</v>
      </c>
      <c r="BC642" t="s">
        <v>74</v>
      </c>
      <c r="BD642">
        <v>1900113</v>
      </c>
      <c r="BE642" t="s">
        <v>5634</v>
      </c>
      <c r="BF642" t="str">
        <f>HYPERLINK("http://dx.doi.org/10.1002/adsu.201900113","http://dx.doi.org/10.1002/adsu.201900113")</f>
        <v>http://dx.doi.org/10.1002/adsu.201900113</v>
      </c>
      <c r="BG642" t="s">
        <v>74</v>
      </c>
      <c r="BH642" t="s">
        <v>5618</v>
      </c>
      <c r="BI642" t="s">
        <v>74</v>
      </c>
      <c r="BJ642" t="s">
        <v>74</v>
      </c>
      <c r="BK642" t="s">
        <v>74</v>
      </c>
      <c r="BL642" t="s">
        <v>74</v>
      </c>
      <c r="BM642" t="s">
        <v>74</v>
      </c>
      <c r="BN642" t="s">
        <v>74</v>
      </c>
      <c r="BO642" t="s">
        <v>74</v>
      </c>
      <c r="BP642" t="s">
        <v>74</v>
      </c>
      <c r="BQ642" t="s">
        <v>74</v>
      </c>
      <c r="BR642" t="s">
        <v>74</v>
      </c>
      <c r="BS642" t="s">
        <v>5635</v>
      </c>
      <c r="BT642" t="str">
        <f>HYPERLINK("https%3A%2F%2Fwww.webofscience.com%2Fwos%2Fwoscc%2Ffull-record%2FWOS:000512009000001","View Full Record in Web of Science")</f>
        <v>View Full Record in Web of Science</v>
      </c>
    </row>
    <row r="643" spans="1:72" x14ac:dyDescent="0.2">
      <c r="A643" t="s">
        <v>72</v>
      </c>
      <c r="B643" t="s">
        <v>5636</v>
      </c>
      <c r="C643" t="s">
        <v>74</v>
      </c>
      <c r="D643" t="s">
        <v>74</v>
      </c>
      <c r="E643" t="s">
        <v>74</v>
      </c>
      <c r="F643" t="s">
        <v>5637</v>
      </c>
      <c r="G643" t="s">
        <v>74</v>
      </c>
      <c r="H643" t="s">
        <v>74</v>
      </c>
      <c r="I643" t="s">
        <v>5638</v>
      </c>
      <c r="J643" t="s">
        <v>528</v>
      </c>
      <c r="K643" t="s">
        <v>74</v>
      </c>
      <c r="L643" t="s">
        <v>74</v>
      </c>
      <c r="M643" t="s">
        <v>74</v>
      </c>
      <c r="N643" t="s">
        <v>74</v>
      </c>
      <c r="O643" t="s">
        <v>74</v>
      </c>
      <c r="P643" t="s">
        <v>74</v>
      </c>
      <c r="Q643" t="s">
        <v>74</v>
      </c>
      <c r="R643" t="s">
        <v>74</v>
      </c>
      <c r="S643" t="s">
        <v>74</v>
      </c>
      <c r="T643" t="s">
        <v>74</v>
      </c>
      <c r="U643" t="s">
        <v>74</v>
      </c>
      <c r="V643" t="s">
        <v>5639</v>
      </c>
      <c r="W643" t="s">
        <v>74</v>
      </c>
      <c r="X643" t="s">
        <v>74</v>
      </c>
      <c r="Y643" t="s">
        <v>74</v>
      </c>
      <c r="Z643" t="s">
        <v>74</v>
      </c>
      <c r="AA643" t="s">
        <v>5640</v>
      </c>
      <c r="AB643" t="s">
        <v>74</v>
      </c>
      <c r="AC643" t="s">
        <v>74</v>
      </c>
      <c r="AD643" t="s">
        <v>74</v>
      </c>
      <c r="AE643" t="s">
        <v>74</v>
      </c>
      <c r="AF643" t="s">
        <v>74</v>
      </c>
      <c r="AG643" t="s">
        <v>74</v>
      </c>
      <c r="AH643" t="s">
        <v>74</v>
      </c>
      <c r="AI643" t="s">
        <v>74</v>
      </c>
      <c r="AJ643" t="s">
        <v>74</v>
      </c>
      <c r="AK643" t="s">
        <v>74</v>
      </c>
      <c r="AL643" t="s">
        <v>74</v>
      </c>
      <c r="AM643" t="s">
        <v>74</v>
      </c>
      <c r="AN643" t="s">
        <v>74</v>
      </c>
      <c r="AO643" t="s">
        <v>532</v>
      </c>
      <c r="AP643" t="s">
        <v>533</v>
      </c>
      <c r="AQ643" t="s">
        <v>74</v>
      </c>
      <c r="AR643" t="s">
        <v>74</v>
      </c>
      <c r="AS643" t="s">
        <v>74</v>
      </c>
      <c r="AT643" t="s">
        <v>5641</v>
      </c>
      <c r="AU643">
        <v>2020</v>
      </c>
      <c r="AV643">
        <v>12</v>
      </c>
      <c r="AW643">
        <v>5</v>
      </c>
      <c r="AX643" t="s">
        <v>74</v>
      </c>
      <c r="AY643" t="s">
        <v>74</v>
      </c>
      <c r="AZ643" t="s">
        <v>74</v>
      </c>
      <c r="BA643" t="s">
        <v>74</v>
      </c>
      <c r="BB643">
        <v>6007</v>
      </c>
      <c r="BC643">
        <v>6014</v>
      </c>
      <c r="BD643" t="s">
        <v>74</v>
      </c>
      <c r="BE643" t="s">
        <v>5642</v>
      </c>
      <c r="BF643" t="str">
        <f>HYPERLINK("http://dx.doi.org/10.1021/acsami.9b22185","http://dx.doi.org/10.1021/acsami.9b22185")</f>
        <v>http://dx.doi.org/10.1021/acsami.9b22185</v>
      </c>
      <c r="BG643" t="s">
        <v>74</v>
      </c>
      <c r="BH643" t="s">
        <v>74</v>
      </c>
      <c r="BI643" t="s">
        <v>74</v>
      </c>
      <c r="BJ643" t="s">
        <v>74</v>
      </c>
      <c r="BK643" t="s">
        <v>74</v>
      </c>
      <c r="BL643" t="s">
        <v>74</v>
      </c>
      <c r="BM643" t="s">
        <v>74</v>
      </c>
      <c r="BN643">
        <v>31941270</v>
      </c>
      <c r="BO643" t="s">
        <v>74</v>
      </c>
      <c r="BP643" t="s">
        <v>74</v>
      </c>
      <c r="BQ643" t="s">
        <v>74</v>
      </c>
      <c r="BR643" t="s">
        <v>74</v>
      </c>
      <c r="BS643" t="s">
        <v>5643</v>
      </c>
      <c r="BT643" t="str">
        <f>HYPERLINK("https%3A%2F%2Fwww.webofscience.com%2Fwos%2Fwoscc%2Ffull-record%2FWOS:000512216900082","View Full Record in Web of Science")</f>
        <v>View Full Record in Web of Science</v>
      </c>
    </row>
    <row r="644" spans="1:72" x14ac:dyDescent="0.2">
      <c r="A644" t="s">
        <v>72</v>
      </c>
      <c r="B644" t="s">
        <v>5644</v>
      </c>
      <c r="C644" t="s">
        <v>74</v>
      </c>
      <c r="D644" t="s">
        <v>74</v>
      </c>
      <c r="E644" t="s">
        <v>74</v>
      </c>
      <c r="F644" t="s">
        <v>5645</v>
      </c>
      <c r="G644" t="s">
        <v>74</v>
      </c>
      <c r="H644" t="s">
        <v>74</v>
      </c>
      <c r="I644" t="s">
        <v>5646</v>
      </c>
      <c r="J644" t="s">
        <v>422</v>
      </c>
      <c r="K644" t="s">
        <v>74</v>
      </c>
      <c r="L644" t="s">
        <v>74</v>
      </c>
      <c r="M644" t="s">
        <v>74</v>
      </c>
      <c r="N644" t="s">
        <v>74</v>
      </c>
      <c r="O644" t="s">
        <v>74</v>
      </c>
      <c r="P644" t="s">
        <v>74</v>
      </c>
      <c r="Q644" t="s">
        <v>74</v>
      </c>
      <c r="R644" t="s">
        <v>74</v>
      </c>
      <c r="S644" t="s">
        <v>74</v>
      </c>
      <c r="T644" t="s">
        <v>74</v>
      </c>
      <c r="U644" t="s">
        <v>74</v>
      </c>
      <c r="V644" t="s">
        <v>5647</v>
      </c>
      <c r="W644" t="s">
        <v>74</v>
      </c>
      <c r="X644" t="s">
        <v>74</v>
      </c>
      <c r="Y644" t="s">
        <v>74</v>
      </c>
      <c r="Z644" t="s">
        <v>74</v>
      </c>
      <c r="AA644" t="s">
        <v>5648</v>
      </c>
      <c r="AB644" t="s">
        <v>5649</v>
      </c>
      <c r="AC644" t="s">
        <v>74</v>
      </c>
      <c r="AD644" t="s">
        <v>74</v>
      </c>
      <c r="AE644" t="s">
        <v>74</v>
      </c>
      <c r="AF644" t="s">
        <v>74</v>
      </c>
      <c r="AG644" t="s">
        <v>74</v>
      </c>
      <c r="AH644" t="s">
        <v>74</v>
      </c>
      <c r="AI644" t="s">
        <v>74</v>
      </c>
      <c r="AJ644" t="s">
        <v>74</v>
      </c>
      <c r="AK644" t="s">
        <v>74</v>
      </c>
      <c r="AL644" t="s">
        <v>74</v>
      </c>
      <c r="AM644" t="s">
        <v>74</v>
      </c>
      <c r="AN644" t="s">
        <v>74</v>
      </c>
      <c r="AO644" t="s">
        <v>426</v>
      </c>
      <c r="AP644" t="s">
        <v>74</v>
      </c>
      <c r="AQ644" t="s">
        <v>74</v>
      </c>
      <c r="AR644" t="s">
        <v>74</v>
      </c>
      <c r="AS644" t="s">
        <v>74</v>
      </c>
      <c r="AT644" t="s">
        <v>1026</v>
      </c>
      <c r="AU644">
        <v>2020</v>
      </c>
      <c r="AV644">
        <v>3</v>
      </c>
      <c r="AW644">
        <v>2</v>
      </c>
      <c r="AX644" t="s">
        <v>74</v>
      </c>
      <c r="AY644" t="s">
        <v>74</v>
      </c>
      <c r="AZ644" t="s">
        <v>74</v>
      </c>
      <c r="BA644" t="s">
        <v>74</v>
      </c>
      <c r="BB644">
        <v>1730</v>
      </c>
      <c r="BC644">
        <v>1741</v>
      </c>
      <c r="BD644" t="s">
        <v>74</v>
      </c>
      <c r="BE644" t="s">
        <v>5650</v>
      </c>
      <c r="BF644" t="str">
        <f>HYPERLINK("http://dx.doi.org/10.1021/acsaem.9b02200","http://dx.doi.org/10.1021/acsaem.9b02200")</f>
        <v>http://dx.doi.org/10.1021/acsaem.9b02200</v>
      </c>
      <c r="BG644" t="s">
        <v>74</v>
      </c>
      <c r="BH644" t="s">
        <v>74</v>
      </c>
      <c r="BI644" t="s">
        <v>74</v>
      </c>
      <c r="BJ644" t="s">
        <v>74</v>
      </c>
      <c r="BK644" t="s">
        <v>74</v>
      </c>
      <c r="BL644" t="s">
        <v>74</v>
      </c>
      <c r="BM644" t="s">
        <v>74</v>
      </c>
      <c r="BN644" t="s">
        <v>74</v>
      </c>
      <c r="BO644" t="s">
        <v>74</v>
      </c>
      <c r="BP644" t="s">
        <v>74</v>
      </c>
      <c r="BQ644" t="s">
        <v>74</v>
      </c>
      <c r="BR644" t="s">
        <v>74</v>
      </c>
      <c r="BS644" t="s">
        <v>5651</v>
      </c>
      <c r="BT644" t="str">
        <f>HYPERLINK("https%3A%2F%2Fwww.webofscience.com%2Fwos%2Fwoscc%2Ffull-record%2FWOS:000516665300055","View Full Record in Web of Science")</f>
        <v>View Full Record in Web of Science</v>
      </c>
    </row>
    <row r="645" spans="1:72" x14ac:dyDescent="0.2">
      <c r="A645" t="s">
        <v>72</v>
      </c>
      <c r="B645" t="s">
        <v>5652</v>
      </c>
      <c r="C645" t="s">
        <v>74</v>
      </c>
      <c r="D645" t="s">
        <v>74</v>
      </c>
      <c r="E645" t="s">
        <v>74</v>
      </c>
      <c r="F645" t="s">
        <v>5653</v>
      </c>
      <c r="G645" t="s">
        <v>74</v>
      </c>
      <c r="H645" t="s">
        <v>74</v>
      </c>
      <c r="I645" t="s">
        <v>5654</v>
      </c>
      <c r="J645" t="s">
        <v>1273</v>
      </c>
      <c r="K645" t="s">
        <v>74</v>
      </c>
      <c r="L645" t="s">
        <v>74</v>
      </c>
      <c r="M645" t="s">
        <v>74</v>
      </c>
      <c r="N645" t="s">
        <v>74</v>
      </c>
      <c r="O645" t="s">
        <v>74</v>
      </c>
      <c r="P645" t="s">
        <v>74</v>
      </c>
      <c r="Q645" t="s">
        <v>74</v>
      </c>
      <c r="R645" t="s">
        <v>74</v>
      </c>
      <c r="S645" t="s">
        <v>74</v>
      </c>
      <c r="T645" t="s">
        <v>74</v>
      </c>
      <c r="U645" t="s">
        <v>74</v>
      </c>
      <c r="V645" t="s">
        <v>5655</v>
      </c>
      <c r="W645" t="s">
        <v>74</v>
      </c>
      <c r="X645" t="s">
        <v>74</v>
      </c>
      <c r="Y645" t="s">
        <v>74</v>
      </c>
      <c r="Z645" t="s">
        <v>74</v>
      </c>
      <c r="AA645" t="s">
        <v>5656</v>
      </c>
      <c r="AB645" t="s">
        <v>5657</v>
      </c>
      <c r="AC645" t="s">
        <v>74</v>
      </c>
      <c r="AD645" t="s">
        <v>74</v>
      </c>
      <c r="AE645" t="s">
        <v>74</v>
      </c>
      <c r="AF645" t="s">
        <v>74</v>
      </c>
      <c r="AG645" t="s">
        <v>74</v>
      </c>
      <c r="AH645" t="s">
        <v>74</v>
      </c>
      <c r="AI645" t="s">
        <v>74</v>
      </c>
      <c r="AJ645" t="s">
        <v>74</v>
      </c>
      <c r="AK645" t="s">
        <v>74</v>
      </c>
      <c r="AL645" t="s">
        <v>74</v>
      </c>
      <c r="AM645" t="s">
        <v>74</v>
      </c>
      <c r="AN645" t="s">
        <v>74</v>
      </c>
      <c r="AO645" t="s">
        <v>1277</v>
      </c>
      <c r="AP645" t="s">
        <v>1278</v>
      </c>
      <c r="AQ645" t="s">
        <v>74</v>
      </c>
      <c r="AR645" t="s">
        <v>74</v>
      </c>
      <c r="AS645" t="s">
        <v>74</v>
      </c>
      <c r="AT645" t="s">
        <v>5658</v>
      </c>
      <c r="AU645">
        <v>2020</v>
      </c>
      <c r="AV645">
        <v>32</v>
      </c>
      <c r="AW645">
        <v>2</v>
      </c>
      <c r="AX645" t="s">
        <v>74</v>
      </c>
      <c r="AY645" t="s">
        <v>74</v>
      </c>
      <c r="AZ645" t="s">
        <v>74</v>
      </c>
      <c r="BA645" t="s">
        <v>74</v>
      </c>
      <c r="BB645">
        <v>671</v>
      </c>
      <c r="BC645">
        <v>678</v>
      </c>
      <c r="BD645" t="s">
        <v>74</v>
      </c>
      <c r="BE645" t="s">
        <v>5659</v>
      </c>
      <c r="BF645" t="str">
        <f>HYPERLINK("http://dx.doi.org/10.1021/acs.chemmater.9b03188","http://dx.doi.org/10.1021/acs.chemmater.9b03188")</f>
        <v>http://dx.doi.org/10.1021/acs.chemmater.9b03188</v>
      </c>
      <c r="BG645" t="s">
        <v>74</v>
      </c>
      <c r="BH645" t="s">
        <v>74</v>
      </c>
      <c r="BI645" t="s">
        <v>74</v>
      </c>
      <c r="BJ645" t="s">
        <v>74</v>
      </c>
      <c r="BK645" t="s">
        <v>74</v>
      </c>
      <c r="BL645" t="s">
        <v>74</v>
      </c>
      <c r="BM645" t="s">
        <v>74</v>
      </c>
      <c r="BN645" t="s">
        <v>74</v>
      </c>
      <c r="BO645" t="s">
        <v>74</v>
      </c>
      <c r="BP645" t="s">
        <v>74</v>
      </c>
      <c r="BQ645" t="s">
        <v>74</v>
      </c>
      <c r="BR645" t="s">
        <v>74</v>
      </c>
      <c r="BS645" t="s">
        <v>5660</v>
      </c>
      <c r="BT645" t="str">
        <f>HYPERLINK("https%3A%2F%2Fwww.webofscience.com%2Fwos%2Fwoscc%2Ffull-record%2FWOS:000510530500004","View Full Record in Web of Science")</f>
        <v>View Full Record in Web of Science</v>
      </c>
    </row>
    <row r="646" spans="1:72" x14ac:dyDescent="0.2">
      <c r="A646" t="s">
        <v>72</v>
      </c>
      <c r="B646" t="s">
        <v>5661</v>
      </c>
      <c r="C646" t="s">
        <v>74</v>
      </c>
      <c r="D646" t="s">
        <v>74</v>
      </c>
      <c r="E646" t="s">
        <v>74</v>
      </c>
      <c r="F646" t="s">
        <v>5662</v>
      </c>
      <c r="G646" t="s">
        <v>74</v>
      </c>
      <c r="H646" t="s">
        <v>74</v>
      </c>
      <c r="I646" t="s">
        <v>5663</v>
      </c>
      <c r="J646" t="s">
        <v>2168</v>
      </c>
      <c r="K646" t="s">
        <v>74</v>
      </c>
      <c r="L646" t="s">
        <v>74</v>
      </c>
      <c r="M646" t="s">
        <v>74</v>
      </c>
      <c r="N646" t="s">
        <v>74</v>
      </c>
      <c r="O646" t="s">
        <v>74</v>
      </c>
      <c r="P646" t="s">
        <v>74</v>
      </c>
      <c r="Q646" t="s">
        <v>74</v>
      </c>
      <c r="R646" t="s">
        <v>74</v>
      </c>
      <c r="S646" t="s">
        <v>74</v>
      </c>
      <c r="T646" t="s">
        <v>74</v>
      </c>
      <c r="U646" t="s">
        <v>74</v>
      </c>
      <c r="V646" t="s">
        <v>5664</v>
      </c>
      <c r="W646" t="s">
        <v>74</v>
      </c>
      <c r="X646" t="s">
        <v>74</v>
      </c>
      <c r="Y646" t="s">
        <v>74</v>
      </c>
      <c r="Z646" t="s">
        <v>74</v>
      </c>
      <c r="AA646" t="s">
        <v>5665</v>
      </c>
      <c r="AB646" t="s">
        <v>74</v>
      </c>
      <c r="AC646" t="s">
        <v>74</v>
      </c>
      <c r="AD646" t="s">
        <v>74</v>
      </c>
      <c r="AE646" t="s">
        <v>74</v>
      </c>
      <c r="AF646" t="s">
        <v>74</v>
      </c>
      <c r="AG646" t="s">
        <v>74</v>
      </c>
      <c r="AH646" t="s">
        <v>74</v>
      </c>
      <c r="AI646" t="s">
        <v>74</v>
      </c>
      <c r="AJ646" t="s">
        <v>74</v>
      </c>
      <c r="AK646" t="s">
        <v>74</v>
      </c>
      <c r="AL646" t="s">
        <v>74</v>
      </c>
      <c r="AM646" t="s">
        <v>74</v>
      </c>
      <c r="AN646" t="s">
        <v>74</v>
      </c>
      <c r="AO646" t="s">
        <v>2172</v>
      </c>
      <c r="AP646" t="s">
        <v>2173</v>
      </c>
      <c r="AQ646" t="s">
        <v>74</v>
      </c>
      <c r="AR646" t="s">
        <v>74</v>
      </c>
      <c r="AS646" t="s">
        <v>74</v>
      </c>
      <c r="AT646" t="s">
        <v>1420</v>
      </c>
      <c r="AU646">
        <v>2020</v>
      </c>
      <c r="AV646">
        <v>529</v>
      </c>
      <c r="AW646" t="s">
        <v>74</v>
      </c>
      <c r="AX646" t="s">
        <v>74</v>
      </c>
      <c r="AY646" t="s">
        <v>74</v>
      </c>
      <c r="AZ646" t="s">
        <v>74</v>
      </c>
      <c r="BA646" t="s">
        <v>74</v>
      </c>
      <c r="BB646" t="s">
        <v>74</v>
      </c>
      <c r="BC646" t="s">
        <v>74</v>
      </c>
      <c r="BD646">
        <v>110582</v>
      </c>
      <c r="BE646" t="s">
        <v>5666</v>
      </c>
      <c r="BF646" t="str">
        <f>HYPERLINK("http://dx.doi.org/10.1016/j.chemphys.2019.110582","http://dx.doi.org/10.1016/j.chemphys.2019.110582")</f>
        <v>http://dx.doi.org/10.1016/j.chemphys.2019.110582</v>
      </c>
      <c r="BG646" t="s">
        <v>74</v>
      </c>
      <c r="BH646" t="s">
        <v>74</v>
      </c>
      <c r="BI646" t="s">
        <v>74</v>
      </c>
      <c r="BJ646" t="s">
        <v>74</v>
      </c>
      <c r="BK646" t="s">
        <v>74</v>
      </c>
      <c r="BL646" t="s">
        <v>74</v>
      </c>
      <c r="BM646" t="s">
        <v>74</v>
      </c>
      <c r="BN646" t="s">
        <v>74</v>
      </c>
      <c r="BO646" t="s">
        <v>74</v>
      </c>
      <c r="BP646" t="s">
        <v>74</v>
      </c>
      <c r="BQ646" t="s">
        <v>74</v>
      </c>
      <c r="BR646" t="s">
        <v>74</v>
      </c>
      <c r="BS646" t="s">
        <v>5667</v>
      </c>
      <c r="BT646" t="str">
        <f>HYPERLINK("https%3A%2F%2Fwww.webofscience.com%2Fwos%2Fwoscc%2Ffull-record%2FWOS:000498052700030","View Full Record in Web of Science")</f>
        <v>View Full Record in Web of Science</v>
      </c>
    </row>
    <row r="647" spans="1:72" x14ac:dyDescent="0.2">
      <c r="A647" t="s">
        <v>72</v>
      </c>
      <c r="B647" t="s">
        <v>5668</v>
      </c>
      <c r="C647" t="s">
        <v>74</v>
      </c>
      <c r="D647" t="s">
        <v>74</v>
      </c>
      <c r="E647" t="s">
        <v>74</v>
      </c>
      <c r="F647" t="s">
        <v>5669</v>
      </c>
      <c r="G647" t="s">
        <v>74</v>
      </c>
      <c r="H647" t="s">
        <v>74</v>
      </c>
      <c r="I647" t="s">
        <v>5670</v>
      </c>
      <c r="J647" t="s">
        <v>1293</v>
      </c>
      <c r="K647" t="s">
        <v>74</v>
      </c>
      <c r="L647" t="s">
        <v>74</v>
      </c>
      <c r="M647" t="s">
        <v>74</v>
      </c>
      <c r="N647" t="s">
        <v>74</v>
      </c>
      <c r="O647" t="s">
        <v>74</v>
      </c>
      <c r="P647" t="s">
        <v>74</v>
      </c>
      <c r="Q647" t="s">
        <v>74</v>
      </c>
      <c r="R647" t="s">
        <v>74</v>
      </c>
      <c r="S647" t="s">
        <v>74</v>
      </c>
      <c r="T647" t="s">
        <v>74</v>
      </c>
      <c r="U647" t="s">
        <v>74</v>
      </c>
      <c r="V647" t="s">
        <v>5671</v>
      </c>
      <c r="W647" t="s">
        <v>74</v>
      </c>
      <c r="X647" t="s">
        <v>74</v>
      </c>
      <c r="Y647" t="s">
        <v>74</v>
      </c>
      <c r="Z647" t="s">
        <v>74</v>
      </c>
      <c r="AA647" t="s">
        <v>5672</v>
      </c>
      <c r="AB647" t="s">
        <v>5673</v>
      </c>
      <c r="AC647" t="s">
        <v>74</v>
      </c>
      <c r="AD647" t="s">
        <v>74</v>
      </c>
      <c r="AE647" t="s">
        <v>74</v>
      </c>
      <c r="AF647" t="s">
        <v>74</v>
      </c>
      <c r="AG647" t="s">
        <v>74</v>
      </c>
      <c r="AH647" t="s">
        <v>74</v>
      </c>
      <c r="AI647" t="s">
        <v>74</v>
      </c>
      <c r="AJ647" t="s">
        <v>74</v>
      </c>
      <c r="AK647" t="s">
        <v>74</v>
      </c>
      <c r="AL647" t="s">
        <v>74</v>
      </c>
      <c r="AM647" t="s">
        <v>74</v>
      </c>
      <c r="AN647" t="s">
        <v>74</v>
      </c>
      <c r="AO647" t="s">
        <v>1297</v>
      </c>
      <c r="AP647" t="s">
        <v>1298</v>
      </c>
      <c r="AQ647" t="s">
        <v>74</v>
      </c>
      <c r="AR647" t="s">
        <v>74</v>
      </c>
      <c r="AS647" t="s">
        <v>74</v>
      </c>
      <c r="AT647" t="s">
        <v>5674</v>
      </c>
      <c r="AU647">
        <v>2020</v>
      </c>
      <c r="AV647">
        <v>167</v>
      </c>
      <c r="AW647">
        <v>12</v>
      </c>
      <c r="AX647" t="s">
        <v>74</v>
      </c>
      <c r="AY647" t="s">
        <v>74</v>
      </c>
      <c r="AZ647" t="s">
        <v>74</v>
      </c>
      <c r="BA647" t="s">
        <v>74</v>
      </c>
      <c r="BB647" t="s">
        <v>74</v>
      </c>
      <c r="BC647" t="s">
        <v>74</v>
      </c>
      <c r="BD647">
        <v>120505</v>
      </c>
      <c r="BE647" t="s">
        <v>5675</v>
      </c>
      <c r="BF647" t="str">
        <f>HYPERLINK("http://dx.doi.org/10.1149/1945-7111/aba8b8","http://dx.doi.org/10.1149/1945-7111/aba8b8")</f>
        <v>http://dx.doi.org/10.1149/1945-7111/aba8b8</v>
      </c>
      <c r="BG647" t="s">
        <v>74</v>
      </c>
      <c r="BH647" t="s">
        <v>74</v>
      </c>
      <c r="BI647" t="s">
        <v>74</v>
      </c>
      <c r="BJ647" t="s">
        <v>74</v>
      </c>
      <c r="BK647" t="s">
        <v>74</v>
      </c>
      <c r="BL647" t="s">
        <v>74</v>
      </c>
      <c r="BM647" t="s">
        <v>74</v>
      </c>
      <c r="BN647" t="s">
        <v>74</v>
      </c>
      <c r="BO647" t="s">
        <v>74</v>
      </c>
      <c r="BP647" t="s">
        <v>74</v>
      </c>
      <c r="BQ647" t="s">
        <v>74</v>
      </c>
      <c r="BR647" t="s">
        <v>74</v>
      </c>
      <c r="BS647" t="s">
        <v>5676</v>
      </c>
      <c r="BT647" t="str">
        <f>HYPERLINK("https%3A%2F%2Fwww.webofscience.com%2Fwos%2Fwoscc%2Ffull-record%2FWOS:000560899700001","View Full Record in Web of Science")</f>
        <v>View Full Record in Web of Science</v>
      </c>
    </row>
    <row r="648" spans="1:72" x14ac:dyDescent="0.2">
      <c r="A648" t="s">
        <v>72</v>
      </c>
      <c r="B648" t="s">
        <v>5677</v>
      </c>
      <c r="C648" t="s">
        <v>74</v>
      </c>
      <c r="D648" t="s">
        <v>74</v>
      </c>
      <c r="E648" t="s">
        <v>74</v>
      </c>
      <c r="F648" t="s">
        <v>5678</v>
      </c>
      <c r="G648" t="s">
        <v>74</v>
      </c>
      <c r="H648" t="s">
        <v>74</v>
      </c>
      <c r="I648" t="s">
        <v>5679</v>
      </c>
      <c r="J648" t="s">
        <v>422</v>
      </c>
      <c r="K648" t="s">
        <v>74</v>
      </c>
      <c r="L648" t="s">
        <v>74</v>
      </c>
      <c r="M648" t="s">
        <v>74</v>
      </c>
      <c r="N648" t="s">
        <v>74</v>
      </c>
      <c r="O648" t="s">
        <v>74</v>
      </c>
      <c r="P648" t="s">
        <v>74</v>
      </c>
      <c r="Q648" t="s">
        <v>74</v>
      </c>
      <c r="R648" t="s">
        <v>74</v>
      </c>
      <c r="S648" t="s">
        <v>74</v>
      </c>
      <c r="T648" t="s">
        <v>74</v>
      </c>
      <c r="U648" t="s">
        <v>74</v>
      </c>
      <c r="V648" t="s">
        <v>5680</v>
      </c>
      <c r="W648" t="s">
        <v>74</v>
      </c>
      <c r="X648" t="s">
        <v>74</v>
      </c>
      <c r="Y648" t="s">
        <v>74</v>
      </c>
      <c r="Z648" t="s">
        <v>74</v>
      </c>
      <c r="AA648" t="s">
        <v>5681</v>
      </c>
      <c r="AB648" t="s">
        <v>5682</v>
      </c>
      <c r="AC648" t="s">
        <v>74</v>
      </c>
      <c r="AD648" t="s">
        <v>74</v>
      </c>
      <c r="AE648" t="s">
        <v>74</v>
      </c>
      <c r="AF648" t="s">
        <v>74</v>
      </c>
      <c r="AG648" t="s">
        <v>74</v>
      </c>
      <c r="AH648" t="s">
        <v>74</v>
      </c>
      <c r="AI648" t="s">
        <v>74</v>
      </c>
      <c r="AJ648" t="s">
        <v>74</v>
      </c>
      <c r="AK648" t="s">
        <v>74</v>
      </c>
      <c r="AL648" t="s">
        <v>74</v>
      </c>
      <c r="AM648" t="s">
        <v>74</v>
      </c>
      <c r="AN648" t="s">
        <v>74</v>
      </c>
      <c r="AO648" t="s">
        <v>426</v>
      </c>
      <c r="AP648" t="s">
        <v>74</v>
      </c>
      <c r="AQ648" t="s">
        <v>74</v>
      </c>
      <c r="AR648" t="s">
        <v>74</v>
      </c>
      <c r="AS648" t="s">
        <v>74</v>
      </c>
      <c r="AT648" t="s">
        <v>1194</v>
      </c>
      <c r="AU648">
        <v>2020</v>
      </c>
      <c r="AV648">
        <v>3</v>
      </c>
      <c r="AW648">
        <v>1</v>
      </c>
      <c r="AX648" t="s">
        <v>74</v>
      </c>
      <c r="AY648" t="s">
        <v>74</v>
      </c>
      <c r="AZ648" t="s">
        <v>74</v>
      </c>
      <c r="BA648" t="s">
        <v>74</v>
      </c>
      <c r="BB648">
        <v>695</v>
      </c>
      <c r="BC648">
        <v>704</v>
      </c>
      <c r="BD648" t="s">
        <v>74</v>
      </c>
      <c r="BE648" t="s">
        <v>5683</v>
      </c>
      <c r="BF648" t="str">
        <f>HYPERLINK("http://dx.doi.org/10.1021/acsaem.9b01894","http://dx.doi.org/10.1021/acsaem.9b01894")</f>
        <v>http://dx.doi.org/10.1021/acsaem.9b01894</v>
      </c>
      <c r="BG648" t="s">
        <v>74</v>
      </c>
      <c r="BH648" t="s">
        <v>74</v>
      </c>
      <c r="BI648" t="s">
        <v>74</v>
      </c>
      <c r="BJ648" t="s">
        <v>74</v>
      </c>
      <c r="BK648" t="s">
        <v>74</v>
      </c>
      <c r="BL648" t="s">
        <v>74</v>
      </c>
      <c r="BM648" t="s">
        <v>74</v>
      </c>
      <c r="BN648" t="s">
        <v>74</v>
      </c>
      <c r="BO648" t="s">
        <v>74</v>
      </c>
      <c r="BP648" t="s">
        <v>74</v>
      </c>
      <c r="BQ648" t="s">
        <v>74</v>
      </c>
      <c r="BR648" t="s">
        <v>74</v>
      </c>
      <c r="BS648" t="s">
        <v>5684</v>
      </c>
      <c r="BT648" t="str">
        <f>HYPERLINK("https%3A%2F%2Fwww.webofscience.com%2Fwos%2Fwoscc%2Ffull-record%2FWOS:000510104700077","View Full Record in Web of Science")</f>
        <v>View Full Record in Web of Science</v>
      </c>
    </row>
    <row r="649" spans="1:72" x14ac:dyDescent="0.2">
      <c r="A649" t="s">
        <v>72</v>
      </c>
      <c r="B649" t="s">
        <v>5685</v>
      </c>
      <c r="C649" t="s">
        <v>74</v>
      </c>
      <c r="D649" t="s">
        <v>74</v>
      </c>
      <c r="E649" t="s">
        <v>74</v>
      </c>
      <c r="F649" t="s">
        <v>5686</v>
      </c>
      <c r="G649" t="s">
        <v>74</v>
      </c>
      <c r="H649" t="s">
        <v>74</v>
      </c>
      <c r="I649" t="s">
        <v>5687</v>
      </c>
      <c r="J649" t="s">
        <v>1139</v>
      </c>
      <c r="K649" t="s">
        <v>74</v>
      </c>
      <c r="L649" t="s">
        <v>74</v>
      </c>
      <c r="M649" t="s">
        <v>74</v>
      </c>
      <c r="N649" t="s">
        <v>74</v>
      </c>
      <c r="O649" t="s">
        <v>74</v>
      </c>
      <c r="P649" t="s">
        <v>74</v>
      </c>
      <c r="Q649" t="s">
        <v>74</v>
      </c>
      <c r="R649" t="s">
        <v>74</v>
      </c>
      <c r="S649" t="s">
        <v>74</v>
      </c>
      <c r="T649" t="s">
        <v>74</v>
      </c>
      <c r="U649" t="s">
        <v>74</v>
      </c>
      <c r="V649" t="s">
        <v>5688</v>
      </c>
      <c r="W649" t="s">
        <v>74</v>
      </c>
      <c r="X649" t="s">
        <v>74</v>
      </c>
      <c r="Y649" t="s">
        <v>74</v>
      </c>
      <c r="Z649" t="s">
        <v>74</v>
      </c>
      <c r="AA649" t="s">
        <v>5689</v>
      </c>
      <c r="AB649" t="s">
        <v>5690</v>
      </c>
      <c r="AC649" t="s">
        <v>74</v>
      </c>
      <c r="AD649" t="s">
        <v>74</v>
      </c>
      <c r="AE649" t="s">
        <v>74</v>
      </c>
      <c r="AF649" t="s">
        <v>74</v>
      </c>
      <c r="AG649" t="s">
        <v>74</v>
      </c>
      <c r="AH649" t="s">
        <v>74</v>
      </c>
      <c r="AI649" t="s">
        <v>74</v>
      </c>
      <c r="AJ649" t="s">
        <v>74</v>
      </c>
      <c r="AK649" t="s">
        <v>74</v>
      </c>
      <c r="AL649" t="s">
        <v>74</v>
      </c>
      <c r="AM649" t="s">
        <v>74</v>
      </c>
      <c r="AN649" t="s">
        <v>74</v>
      </c>
      <c r="AO649" t="s">
        <v>1143</v>
      </c>
      <c r="AP649" t="s">
        <v>1144</v>
      </c>
      <c r="AQ649" t="s">
        <v>74</v>
      </c>
      <c r="AR649" t="s">
        <v>74</v>
      </c>
      <c r="AS649" t="s">
        <v>74</v>
      </c>
      <c r="AT649" t="s">
        <v>5691</v>
      </c>
      <c r="AU649">
        <v>2019</v>
      </c>
      <c r="AV649">
        <v>43</v>
      </c>
      <c r="AW649">
        <v>47</v>
      </c>
      <c r="AX649" t="s">
        <v>74</v>
      </c>
      <c r="AY649" t="s">
        <v>74</v>
      </c>
      <c r="AZ649" t="s">
        <v>74</v>
      </c>
      <c r="BA649" t="s">
        <v>74</v>
      </c>
      <c r="BB649">
        <v>18813</v>
      </c>
      <c r="BC649">
        <v>18822</v>
      </c>
      <c r="BD649" t="s">
        <v>74</v>
      </c>
      <c r="BE649" t="s">
        <v>5692</v>
      </c>
      <c r="BF649" t="str">
        <f>HYPERLINK("http://dx.doi.org/10.1039/c9nj04019f","http://dx.doi.org/10.1039/c9nj04019f")</f>
        <v>http://dx.doi.org/10.1039/c9nj04019f</v>
      </c>
      <c r="BG649" t="s">
        <v>74</v>
      </c>
      <c r="BH649" t="s">
        <v>74</v>
      </c>
      <c r="BI649" t="s">
        <v>74</v>
      </c>
      <c r="BJ649" t="s">
        <v>74</v>
      </c>
      <c r="BK649" t="s">
        <v>74</v>
      </c>
      <c r="BL649" t="s">
        <v>74</v>
      </c>
      <c r="BM649" t="s">
        <v>74</v>
      </c>
      <c r="BN649" t="s">
        <v>74</v>
      </c>
      <c r="BO649" t="s">
        <v>74</v>
      </c>
      <c r="BP649" t="s">
        <v>74</v>
      </c>
      <c r="BQ649" t="s">
        <v>74</v>
      </c>
      <c r="BR649" t="s">
        <v>74</v>
      </c>
      <c r="BS649" t="s">
        <v>5693</v>
      </c>
      <c r="BT649" t="str">
        <f>HYPERLINK("https%3A%2F%2Fwww.webofscience.com%2Fwos%2Fwoscc%2Ffull-record%2FWOS:000507580000041","View Full Record in Web of Science")</f>
        <v>View Full Record in Web of Science</v>
      </c>
    </row>
    <row r="650" spans="1:72" x14ac:dyDescent="0.2">
      <c r="A650" t="s">
        <v>72</v>
      </c>
      <c r="B650" t="s">
        <v>5694</v>
      </c>
      <c r="C650" t="s">
        <v>74</v>
      </c>
      <c r="D650" t="s">
        <v>74</v>
      </c>
      <c r="E650" t="s">
        <v>74</v>
      </c>
      <c r="F650" t="s">
        <v>5695</v>
      </c>
      <c r="G650" t="s">
        <v>74</v>
      </c>
      <c r="H650" t="s">
        <v>74</v>
      </c>
      <c r="I650" t="s">
        <v>5696</v>
      </c>
      <c r="J650" t="s">
        <v>528</v>
      </c>
      <c r="K650" t="s">
        <v>74</v>
      </c>
      <c r="L650" t="s">
        <v>74</v>
      </c>
      <c r="M650" t="s">
        <v>74</v>
      </c>
      <c r="N650" t="s">
        <v>74</v>
      </c>
      <c r="O650" t="s">
        <v>74</v>
      </c>
      <c r="P650" t="s">
        <v>74</v>
      </c>
      <c r="Q650" t="s">
        <v>74</v>
      </c>
      <c r="R650" t="s">
        <v>74</v>
      </c>
      <c r="S650" t="s">
        <v>74</v>
      </c>
      <c r="T650" t="s">
        <v>74</v>
      </c>
      <c r="U650" t="s">
        <v>74</v>
      </c>
      <c r="V650" t="s">
        <v>5697</v>
      </c>
      <c r="W650" t="s">
        <v>74</v>
      </c>
      <c r="X650" t="s">
        <v>74</v>
      </c>
      <c r="Y650" t="s">
        <v>74</v>
      </c>
      <c r="Z650" t="s">
        <v>74</v>
      </c>
      <c r="AA650" t="s">
        <v>74</v>
      </c>
      <c r="AB650" t="s">
        <v>5698</v>
      </c>
      <c r="AC650" t="s">
        <v>74</v>
      </c>
      <c r="AD650" t="s">
        <v>74</v>
      </c>
      <c r="AE650" t="s">
        <v>74</v>
      </c>
      <c r="AF650" t="s">
        <v>74</v>
      </c>
      <c r="AG650" t="s">
        <v>74</v>
      </c>
      <c r="AH650" t="s">
        <v>74</v>
      </c>
      <c r="AI650" t="s">
        <v>74</v>
      </c>
      <c r="AJ650" t="s">
        <v>74</v>
      </c>
      <c r="AK650" t="s">
        <v>74</v>
      </c>
      <c r="AL650" t="s">
        <v>74</v>
      </c>
      <c r="AM650" t="s">
        <v>74</v>
      </c>
      <c r="AN650" t="s">
        <v>74</v>
      </c>
      <c r="AO650" t="s">
        <v>532</v>
      </c>
      <c r="AP650" t="s">
        <v>533</v>
      </c>
      <c r="AQ650" t="s">
        <v>74</v>
      </c>
      <c r="AR650" t="s">
        <v>74</v>
      </c>
      <c r="AS650" t="s">
        <v>74</v>
      </c>
      <c r="AT650" t="s">
        <v>5092</v>
      </c>
      <c r="AU650">
        <v>2019</v>
      </c>
      <c r="AV650">
        <v>11</v>
      </c>
      <c r="AW650">
        <v>49</v>
      </c>
      <c r="AX650" t="s">
        <v>74</v>
      </c>
      <c r="AY650" t="s">
        <v>74</v>
      </c>
      <c r="AZ650" t="s">
        <v>74</v>
      </c>
      <c r="BA650" t="s">
        <v>74</v>
      </c>
      <c r="BB650">
        <v>45612</v>
      </c>
      <c r="BC650">
        <v>45620</v>
      </c>
      <c r="BD650" t="s">
        <v>74</v>
      </c>
      <c r="BE650" t="s">
        <v>5699</v>
      </c>
      <c r="BF650" t="str">
        <f>HYPERLINK("http://dx.doi.org/10.1021/acsami.9b14912","http://dx.doi.org/10.1021/acsami.9b14912")</f>
        <v>http://dx.doi.org/10.1021/acsami.9b14912</v>
      </c>
      <c r="BG650" t="s">
        <v>74</v>
      </c>
      <c r="BH650" t="s">
        <v>74</v>
      </c>
      <c r="BI650" t="s">
        <v>74</v>
      </c>
      <c r="BJ650" t="s">
        <v>74</v>
      </c>
      <c r="BK650" t="s">
        <v>74</v>
      </c>
      <c r="BL650" t="s">
        <v>74</v>
      </c>
      <c r="BM650" t="s">
        <v>74</v>
      </c>
      <c r="BN650">
        <v>31725256</v>
      </c>
      <c r="BO650" t="s">
        <v>74</v>
      </c>
      <c r="BP650" t="s">
        <v>74</v>
      </c>
      <c r="BQ650" t="s">
        <v>74</v>
      </c>
      <c r="BR650" t="s">
        <v>74</v>
      </c>
      <c r="BS650" t="s">
        <v>5700</v>
      </c>
      <c r="BT650" t="str">
        <f>HYPERLINK("https%3A%2F%2Fwww.webofscience.com%2Fwos%2Fwoscc%2Ffull-record%2FWOS:000502689000025","View Full Record in Web of Science")</f>
        <v>View Full Record in Web of Science</v>
      </c>
    </row>
    <row r="651" spans="1:72" x14ac:dyDescent="0.2">
      <c r="A651" t="s">
        <v>72</v>
      </c>
      <c r="B651" t="s">
        <v>5701</v>
      </c>
      <c r="C651" t="s">
        <v>74</v>
      </c>
      <c r="D651" t="s">
        <v>74</v>
      </c>
      <c r="E651" t="s">
        <v>74</v>
      </c>
      <c r="F651" t="s">
        <v>5702</v>
      </c>
      <c r="G651" t="s">
        <v>74</v>
      </c>
      <c r="H651" t="s">
        <v>74</v>
      </c>
      <c r="I651" t="s">
        <v>5703</v>
      </c>
      <c r="J651" t="s">
        <v>528</v>
      </c>
      <c r="K651" t="s">
        <v>74</v>
      </c>
      <c r="L651" t="s">
        <v>74</v>
      </c>
      <c r="M651" t="s">
        <v>74</v>
      </c>
      <c r="N651" t="s">
        <v>74</v>
      </c>
      <c r="O651" t="s">
        <v>74</v>
      </c>
      <c r="P651" t="s">
        <v>74</v>
      </c>
      <c r="Q651" t="s">
        <v>74</v>
      </c>
      <c r="R651" t="s">
        <v>74</v>
      </c>
      <c r="S651" t="s">
        <v>74</v>
      </c>
      <c r="T651" t="s">
        <v>74</v>
      </c>
      <c r="U651" t="s">
        <v>74</v>
      </c>
      <c r="V651" t="s">
        <v>5704</v>
      </c>
      <c r="W651" t="s">
        <v>74</v>
      </c>
      <c r="X651" t="s">
        <v>74</v>
      </c>
      <c r="Y651" t="s">
        <v>74</v>
      </c>
      <c r="Z651" t="s">
        <v>74</v>
      </c>
      <c r="AA651" t="s">
        <v>5705</v>
      </c>
      <c r="AB651" t="s">
        <v>5706</v>
      </c>
      <c r="AC651" t="s">
        <v>74</v>
      </c>
      <c r="AD651" t="s">
        <v>74</v>
      </c>
      <c r="AE651" t="s">
        <v>74</v>
      </c>
      <c r="AF651" t="s">
        <v>74</v>
      </c>
      <c r="AG651" t="s">
        <v>74</v>
      </c>
      <c r="AH651" t="s">
        <v>74</v>
      </c>
      <c r="AI651" t="s">
        <v>74</v>
      </c>
      <c r="AJ651" t="s">
        <v>74</v>
      </c>
      <c r="AK651" t="s">
        <v>74</v>
      </c>
      <c r="AL651" t="s">
        <v>74</v>
      </c>
      <c r="AM651" t="s">
        <v>74</v>
      </c>
      <c r="AN651" t="s">
        <v>74</v>
      </c>
      <c r="AO651" t="s">
        <v>532</v>
      </c>
      <c r="AP651" t="s">
        <v>533</v>
      </c>
      <c r="AQ651" t="s">
        <v>74</v>
      </c>
      <c r="AR651" t="s">
        <v>74</v>
      </c>
      <c r="AS651" t="s">
        <v>74</v>
      </c>
      <c r="AT651" t="s">
        <v>5707</v>
      </c>
      <c r="AU651">
        <v>2019</v>
      </c>
      <c r="AV651">
        <v>11</v>
      </c>
      <c r="AW651">
        <v>48</v>
      </c>
      <c r="AX651" t="s">
        <v>74</v>
      </c>
      <c r="AY651" t="s">
        <v>74</v>
      </c>
      <c r="AZ651" t="s">
        <v>74</v>
      </c>
      <c r="BA651" t="s">
        <v>74</v>
      </c>
      <c r="BB651">
        <v>45108</v>
      </c>
      <c r="BC651">
        <v>45117</v>
      </c>
      <c r="BD651" t="s">
        <v>74</v>
      </c>
      <c r="BE651" t="s">
        <v>5708</v>
      </c>
      <c r="BF651" t="str">
        <f>HYPERLINK("http://dx.doi.org/10.1021/acsami.9b17438","http://dx.doi.org/10.1021/acsami.9b17438")</f>
        <v>http://dx.doi.org/10.1021/acsami.9b17438</v>
      </c>
      <c r="BG651" t="s">
        <v>74</v>
      </c>
      <c r="BH651" t="s">
        <v>74</v>
      </c>
      <c r="BI651" t="s">
        <v>74</v>
      </c>
      <c r="BJ651" t="s">
        <v>74</v>
      </c>
      <c r="BK651" t="s">
        <v>74</v>
      </c>
      <c r="BL651" t="s">
        <v>74</v>
      </c>
      <c r="BM651" t="s">
        <v>74</v>
      </c>
      <c r="BN651">
        <v>31710199</v>
      </c>
      <c r="BO651" t="s">
        <v>74</v>
      </c>
      <c r="BP651" t="s">
        <v>74</v>
      </c>
      <c r="BQ651" t="s">
        <v>74</v>
      </c>
      <c r="BR651" t="s">
        <v>74</v>
      </c>
      <c r="BS651" t="s">
        <v>5709</v>
      </c>
      <c r="BT651" t="str">
        <f>HYPERLINK("https%3A%2F%2Fwww.webofscience.com%2Fwos%2Fwoscc%2Ffull-record%2FWOS:000501620700019","View Full Record in Web of Science")</f>
        <v>View Full Record in Web of Science</v>
      </c>
    </row>
    <row r="652" spans="1:72" x14ac:dyDescent="0.2">
      <c r="A652" t="s">
        <v>72</v>
      </c>
      <c r="B652" t="s">
        <v>5710</v>
      </c>
      <c r="C652" t="s">
        <v>74</v>
      </c>
      <c r="D652" t="s">
        <v>74</v>
      </c>
      <c r="E652" t="s">
        <v>74</v>
      </c>
      <c r="F652" t="s">
        <v>5711</v>
      </c>
      <c r="G652" t="s">
        <v>74</v>
      </c>
      <c r="H652" t="s">
        <v>74</v>
      </c>
      <c r="I652" t="s">
        <v>5712</v>
      </c>
      <c r="J652" t="s">
        <v>488</v>
      </c>
      <c r="K652" t="s">
        <v>74</v>
      </c>
      <c r="L652" t="s">
        <v>74</v>
      </c>
      <c r="M652" t="s">
        <v>74</v>
      </c>
      <c r="N652" t="s">
        <v>74</v>
      </c>
      <c r="O652" t="s">
        <v>74</v>
      </c>
      <c r="P652" t="s">
        <v>74</v>
      </c>
      <c r="Q652" t="s">
        <v>74</v>
      </c>
      <c r="R652" t="s">
        <v>74</v>
      </c>
      <c r="S652" t="s">
        <v>74</v>
      </c>
      <c r="T652" t="s">
        <v>74</v>
      </c>
      <c r="U652" t="s">
        <v>74</v>
      </c>
      <c r="V652" t="s">
        <v>5713</v>
      </c>
      <c r="W652" t="s">
        <v>74</v>
      </c>
      <c r="X652" t="s">
        <v>74</v>
      </c>
      <c r="Y652" t="s">
        <v>74</v>
      </c>
      <c r="Z652" t="s">
        <v>74</v>
      </c>
      <c r="AA652" t="s">
        <v>5714</v>
      </c>
      <c r="AB652" t="s">
        <v>5657</v>
      </c>
      <c r="AC652" t="s">
        <v>74</v>
      </c>
      <c r="AD652" t="s">
        <v>74</v>
      </c>
      <c r="AE652" t="s">
        <v>74</v>
      </c>
      <c r="AF652" t="s">
        <v>74</v>
      </c>
      <c r="AG652" t="s">
        <v>74</v>
      </c>
      <c r="AH652" t="s">
        <v>74</v>
      </c>
      <c r="AI652" t="s">
        <v>74</v>
      </c>
      <c r="AJ652" t="s">
        <v>74</v>
      </c>
      <c r="AK652" t="s">
        <v>74</v>
      </c>
      <c r="AL652" t="s">
        <v>74</v>
      </c>
      <c r="AM652" t="s">
        <v>74</v>
      </c>
      <c r="AN652" t="s">
        <v>74</v>
      </c>
      <c r="AO652" t="s">
        <v>491</v>
      </c>
      <c r="AP652" t="s">
        <v>74</v>
      </c>
      <c r="AQ652" t="s">
        <v>74</v>
      </c>
      <c r="AR652" t="s">
        <v>74</v>
      </c>
      <c r="AS652" t="s">
        <v>74</v>
      </c>
      <c r="AT652" t="s">
        <v>2548</v>
      </c>
      <c r="AU652">
        <v>2019</v>
      </c>
      <c r="AV652">
        <v>7</v>
      </c>
      <c r="AW652">
        <v>23</v>
      </c>
      <c r="AX652" t="s">
        <v>74</v>
      </c>
      <c r="AY652" t="s">
        <v>74</v>
      </c>
      <c r="AZ652" t="s">
        <v>74</v>
      </c>
      <c r="BA652" t="s">
        <v>74</v>
      </c>
      <c r="BB652">
        <v>19167</v>
      </c>
      <c r="BC652">
        <v>19175</v>
      </c>
      <c r="BD652" t="s">
        <v>74</v>
      </c>
      <c r="BE652" t="s">
        <v>5715</v>
      </c>
      <c r="BF652" t="str">
        <f>HYPERLINK("http://dx.doi.org/10.1021/acssuschemeng.9b05155","http://dx.doi.org/10.1021/acssuschemeng.9b05155")</f>
        <v>http://dx.doi.org/10.1021/acssuschemeng.9b05155</v>
      </c>
      <c r="BG652" t="s">
        <v>74</v>
      </c>
      <c r="BH652" t="s">
        <v>74</v>
      </c>
      <c r="BI652" t="s">
        <v>74</v>
      </c>
      <c r="BJ652" t="s">
        <v>74</v>
      </c>
      <c r="BK652" t="s">
        <v>74</v>
      </c>
      <c r="BL652" t="s">
        <v>74</v>
      </c>
      <c r="BM652" t="s">
        <v>74</v>
      </c>
      <c r="BN652" t="s">
        <v>74</v>
      </c>
      <c r="BO652" t="s">
        <v>74</v>
      </c>
      <c r="BP652" t="s">
        <v>74</v>
      </c>
      <c r="BQ652" t="s">
        <v>74</v>
      </c>
      <c r="BR652" t="s">
        <v>74</v>
      </c>
      <c r="BS652" t="s">
        <v>5716</v>
      </c>
      <c r="BT652" t="str">
        <f>HYPERLINK("https%3A%2F%2Fwww.webofscience.com%2Fwos%2Fwoscc%2Ffull-record%2FWOS:000500650400044","View Full Record in Web of Science")</f>
        <v>View Full Record in Web of Science</v>
      </c>
    </row>
    <row r="653" spans="1:72" x14ac:dyDescent="0.2">
      <c r="A653" t="s">
        <v>72</v>
      </c>
      <c r="B653" t="s">
        <v>5717</v>
      </c>
      <c r="C653" t="s">
        <v>74</v>
      </c>
      <c r="D653" t="s">
        <v>74</v>
      </c>
      <c r="E653" t="s">
        <v>74</v>
      </c>
      <c r="F653" t="s">
        <v>5718</v>
      </c>
      <c r="G653" t="s">
        <v>74</v>
      </c>
      <c r="H653" t="s">
        <v>74</v>
      </c>
      <c r="I653" t="s">
        <v>5719</v>
      </c>
      <c r="J653" t="s">
        <v>689</v>
      </c>
      <c r="K653" t="s">
        <v>74</v>
      </c>
      <c r="L653" t="s">
        <v>74</v>
      </c>
      <c r="M653" t="s">
        <v>74</v>
      </c>
      <c r="N653" t="s">
        <v>74</v>
      </c>
      <c r="O653" t="s">
        <v>74</v>
      </c>
      <c r="P653" t="s">
        <v>74</v>
      </c>
      <c r="Q653" t="s">
        <v>74</v>
      </c>
      <c r="R653" t="s">
        <v>74</v>
      </c>
      <c r="S653" t="s">
        <v>74</v>
      </c>
      <c r="T653" t="s">
        <v>74</v>
      </c>
      <c r="U653" t="s">
        <v>74</v>
      </c>
      <c r="V653" t="s">
        <v>5720</v>
      </c>
      <c r="W653" t="s">
        <v>74</v>
      </c>
      <c r="X653" t="s">
        <v>74</v>
      </c>
      <c r="Y653" t="s">
        <v>74</v>
      </c>
      <c r="Z653" t="s">
        <v>74</v>
      </c>
      <c r="AA653" t="s">
        <v>5721</v>
      </c>
      <c r="AB653" t="s">
        <v>5722</v>
      </c>
      <c r="AC653" t="s">
        <v>74</v>
      </c>
      <c r="AD653" t="s">
        <v>74</v>
      </c>
      <c r="AE653" t="s">
        <v>74</v>
      </c>
      <c r="AF653" t="s">
        <v>74</v>
      </c>
      <c r="AG653" t="s">
        <v>74</v>
      </c>
      <c r="AH653" t="s">
        <v>74</v>
      </c>
      <c r="AI653" t="s">
        <v>74</v>
      </c>
      <c r="AJ653" t="s">
        <v>74</v>
      </c>
      <c r="AK653" t="s">
        <v>74</v>
      </c>
      <c r="AL653" t="s">
        <v>74</v>
      </c>
      <c r="AM653" t="s">
        <v>74</v>
      </c>
      <c r="AN653" t="s">
        <v>74</v>
      </c>
      <c r="AO653" t="s">
        <v>693</v>
      </c>
      <c r="AP653" t="s">
        <v>694</v>
      </c>
      <c r="AQ653" t="s">
        <v>74</v>
      </c>
      <c r="AR653" t="s">
        <v>74</v>
      </c>
      <c r="AS653" t="s">
        <v>74</v>
      </c>
      <c r="AT653" t="s">
        <v>1318</v>
      </c>
      <c r="AU653">
        <v>2019</v>
      </c>
      <c r="AV653">
        <v>13</v>
      </c>
      <c r="AW653">
        <v>12</v>
      </c>
      <c r="AX653" t="s">
        <v>74</v>
      </c>
      <c r="AY653" t="s">
        <v>74</v>
      </c>
      <c r="AZ653" t="s">
        <v>74</v>
      </c>
      <c r="BA653" t="s">
        <v>74</v>
      </c>
      <c r="BB653">
        <v>14549</v>
      </c>
      <c r="BC653">
        <v>14556</v>
      </c>
      <c r="BD653" t="s">
        <v>74</v>
      </c>
      <c r="BE653" t="s">
        <v>5723</v>
      </c>
      <c r="BF653" t="str">
        <f>HYPERLINK("http://dx.doi.org/10.1021/acsnano.9b08803","http://dx.doi.org/10.1021/acsnano.9b08803")</f>
        <v>http://dx.doi.org/10.1021/acsnano.9b08803</v>
      </c>
      <c r="BG653" t="s">
        <v>74</v>
      </c>
      <c r="BH653" t="s">
        <v>74</v>
      </c>
      <c r="BI653" t="s">
        <v>74</v>
      </c>
      <c r="BJ653" t="s">
        <v>74</v>
      </c>
      <c r="BK653" t="s">
        <v>74</v>
      </c>
      <c r="BL653" t="s">
        <v>74</v>
      </c>
      <c r="BM653" t="s">
        <v>74</v>
      </c>
      <c r="BN653">
        <v>31789499</v>
      </c>
      <c r="BO653" t="s">
        <v>74</v>
      </c>
      <c r="BP653" t="s">
        <v>74</v>
      </c>
      <c r="BQ653" t="s">
        <v>74</v>
      </c>
      <c r="BR653" t="s">
        <v>74</v>
      </c>
      <c r="BS653" t="s">
        <v>5724</v>
      </c>
      <c r="BT653" t="str">
        <f>HYPERLINK("https%3A%2F%2Fwww.webofscience.com%2Fwos%2Fwoscc%2Ffull-record%2FWOS:000505633300092","View Full Record in Web of Science")</f>
        <v>View Full Record in Web of Science</v>
      </c>
    </row>
    <row r="654" spans="1:72" x14ac:dyDescent="0.2">
      <c r="A654" t="s">
        <v>72</v>
      </c>
      <c r="B654" t="s">
        <v>5725</v>
      </c>
      <c r="C654" t="s">
        <v>74</v>
      </c>
      <c r="D654" t="s">
        <v>74</v>
      </c>
      <c r="E654" t="s">
        <v>74</v>
      </c>
      <c r="F654" t="s">
        <v>5726</v>
      </c>
      <c r="G654" t="s">
        <v>74</v>
      </c>
      <c r="H654" t="s">
        <v>74</v>
      </c>
      <c r="I654" t="s">
        <v>5727</v>
      </c>
      <c r="J654" t="s">
        <v>528</v>
      </c>
      <c r="K654" t="s">
        <v>74</v>
      </c>
      <c r="L654" t="s">
        <v>74</v>
      </c>
      <c r="M654" t="s">
        <v>74</v>
      </c>
      <c r="N654" t="s">
        <v>74</v>
      </c>
      <c r="O654" t="s">
        <v>74</v>
      </c>
      <c r="P654" t="s">
        <v>74</v>
      </c>
      <c r="Q654" t="s">
        <v>74</v>
      </c>
      <c r="R654" t="s">
        <v>74</v>
      </c>
      <c r="S654" t="s">
        <v>74</v>
      </c>
      <c r="T654" t="s">
        <v>74</v>
      </c>
      <c r="U654" t="s">
        <v>74</v>
      </c>
      <c r="V654" t="s">
        <v>5728</v>
      </c>
      <c r="W654" t="s">
        <v>74</v>
      </c>
      <c r="X654" t="s">
        <v>74</v>
      </c>
      <c r="Y654" t="s">
        <v>74</v>
      </c>
      <c r="Z654" t="s">
        <v>74</v>
      </c>
      <c r="AA654" t="s">
        <v>5729</v>
      </c>
      <c r="AB654" t="s">
        <v>5730</v>
      </c>
      <c r="AC654" t="s">
        <v>74</v>
      </c>
      <c r="AD654" t="s">
        <v>74</v>
      </c>
      <c r="AE654" t="s">
        <v>74</v>
      </c>
      <c r="AF654" t="s">
        <v>74</v>
      </c>
      <c r="AG654" t="s">
        <v>74</v>
      </c>
      <c r="AH654" t="s">
        <v>74</v>
      </c>
      <c r="AI654" t="s">
        <v>74</v>
      </c>
      <c r="AJ654" t="s">
        <v>74</v>
      </c>
      <c r="AK654" t="s">
        <v>74</v>
      </c>
      <c r="AL654" t="s">
        <v>74</v>
      </c>
      <c r="AM654" t="s">
        <v>74</v>
      </c>
      <c r="AN654" t="s">
        <v>74</v>
      </c>
      <c r="AO654" t="s">
        <v>532</v>
      </c>
      <c r="AP654" t="s">
        <v>533</v>
      </c>
      <c r="AQ654" t="s">
        <v>74</v>
      </c>
      <c r="AR654" t="s">
        <v>74</v>
      </c>
      <c r="AS654" t="s">
        <v>74</v>
      </c>
      <c r="AT654" t="s">
        <v>81</v>
      </c>
      <c r="AU654">
        <v>2019</v>
      </c>
      <c r="AV654">
        <v>11</v>
      </c>
      <c r="AW654">
        <v>46</v>
      </c>
      <c r="AX654" t="s">
        <v>74</v>
      </c>
      <c r="AY654" t="s">
        <v>74</v>
      </c>
      <c r="AZ654" t="s">
        <v>74</v>
      </c>
      <c r="BA654" t="s">
        <v>74</v>
      </c>
      <c r="BB654">
        <v>43166</v>
      </c>
      <c r="BC654">
        <v>43179</v>
      </c>
      <c r="BD654" t="s">
        <v>74</v>
      </c>
      <c r="BE654" t="s">
        <v>5731</v>
      </c>
      <c r="BF654" t="str">
        <f>HYPERLINK("http://dx.doi.org/10.1021/acsami.9b14389","http://dx.doi.org/10.1021/acsami.9b14389")</f>
        <v>http://dx.doi.org/10.1021/acsami.9b14389</v>
      </c>
      <c r="BG654" t="s">
        <v>74</v>
      </c>
      <c r="BH654" t="s">
        <v>74</v>
      </c>
      <c r="BI654" t="s">
        <v>74</v>
      </c>
      <c r="BJ654" t="s">
        <v>74</v>
      </c>
      <c r="BK654" t="s">
        <v>74</v>
      </c>
      <c r="BL654" t="s">
        <v>74</v>
      </c>
      <c r="BM654" t="s">
        <v>74</v>
      </c>
      <c r="BN654">
        <v>31651141</v>
      </c>
      <c r="BO654" t="s">
        <v>74</v>
      </c>
      <c r="BP654" t="s">
        <v>74</v>
      </c>
      <c r="BQ654" t="s">
        <v>74</v>
      </c>
      <c r="BR654" t="s">
        <v>74</v>
      </c>
      <c r="BS654" t="s">
        <v>5732</v>
      </c>
      <c r="BT654" t="str">
        <f>HYPERLINK("https%3A%2F%2Fwww.webofscience.com%2Fwos%2Fwoscc%2Ffull-record%2FWOS:000499740300030","View Full Record in Web of Science")</f>
        <v>View Full Record in Web of Science</v>
      </c>
    </row>
    <row r="655" spans="1:72" x14ac:dyDescent="0.2">
      <c r="A655" t="s">
        <v>72</v>
      </c>
      <c r="B655" t="s">
        <v>5733</v>
      </c>
      <c r="C655" t="s">
        <v>74</v>
      </c>
      <c r="D655" t="s">
        <v>74</v>
      </c>
      <c r="E655" t="s">
        <v>74</v>
      </c>
      <c r="F655" t="s">
        <v>5734</v>
      </c>
      <c r="G655" t="s">
        <v>74</v>
      </c>
      <c r="H655" t="s">
        <v>74</v>
      </c>
      <c r="I655" t="s">
        <v>5735</v>
      </c>
      <c r="J655" t="s">
        <v>5736</v>
      </c>
      <c r="K655" t="s">
        <v>74</v>
      </c>
      <c r="L655" t="s">
        <v>74</v>
      </c>
      <c r="M655" t="s">
        <v>74</v>
      </c>
      <c r="N655" t="s">
        <v>74</v>
      </c>
      <c r="O655" t="s">
        <v>74</v>
      </c>
      <c r="P655" t="s">
        <v>74</v>
      </c>
      <c r="Q655" t="s">
        <v>74</v>
      </c>
      <c r="R655" t="s">
        <v>74</v>
      </c>
      <c r="S655" t="s">
        <v>74</v>
      </c>
      <c r="T655" t="s">
        <v>74</v>
      </c>
      <c r="U655" t="s">
        <v>74</v>
      </c>
      <c r="V655" t="s">
        <v>5737</v>
      </c>
      <c r="W655" t="s">
        <v>74</v>
      </c>
      <c r="X655" t="s">
        <v>74</v>
      </c>
      <c r="Y655" t="s">
        <v>74</v>
      </c>
      <c r="Z655" t="s">
        <v>74</v>
      </c>
      <c r="AA655" t="s">
        <v>5738</v>
      </c>
      <c r="AB655" t="s">
        <v>5739</v>
      </c>
      <c r="AC655" t="s">
        <v>74</v>
      </c>
      <c r="AD655" t="s">
        <v>74</v>
      </c>
      <c r="AE655" t="s">
        <v>74</v>
      </c>
      <c r="AF655" t="s">
        <v>74</v>
      </c>
      <c r="AG655" t="s">
        <v>74</v>
      </c>
      <c r="AH655" t="s">
        <v>74</v>
      </c>
      <c r="AI655" t="s">
        <v>74</v>
      </c>
      <c r="AJ655" t="s">
        <v>74</v>
      </c>
      <c r="AK655" t="s">
        <v>74</v>
      </c>
      <c r="AL655" t="s">
        <v>74</v>
      </c>
      <c r="AM655" t="s">
        <v>74</v>
      </c>
      <c r="AN655" t="s">
        <v>74</v>
      </c>
      <c r="AO655" t="s">
        <v>5740</v>
      </c>
      <c r="AP655" t="s">
        <v>5741</v>
      </c>
      <c r="AQ655" t="s">
        <v>74</v>
      </c>
      <c r="AR655" t="s">
        <v>74</v>
      </c>
      <c r="AS655" t="s">
        <v>74</v>
      </c>
      <c r="AT655" t="s">
        <v>1391</v>
      </c>
      <c r="AU655">
        <v>2019</v>
      </c>
      <c r="AV655">
        <v>177</v>
      </c>
      <c r="AW655" t="s">
        <v>74</v>
      </c>
      <c r="AX655" t="s">
        <v>74</v>
      </c>
      <c r="AY655" t="s">
        <v>74</v>
      </c>
      <c r="AZ655" t="s">
        <v>74</v>
      </c>
      <c r="BA655" t="s">
        <v>74</v>
      </c>
      <c r="BB655" t="s">
        <v>74</v>
      </c>
      <c r="BC655" t="s">
        <v>74</v>
      </c>
      <c r="BD655">
        <v>107448</v>
      </c>
      <c r="BE655" t="s">
        <v>5742</v>
      </c>
      <c r="BF655" t="str">
        <f>HYPERLINK("http://dx.doi.org/10.1016/j.compositesb.2019.107448","http://dx.doi.org/10.1016/j.compositesb.2019.107448")</f>
        <v>http://dx.doi.org/10.1016/j.compositesb.2019.107448</v>
      </c>
      <c r="BG655" t="s">
        <v>74</v>
      </c>
      <c r="BH655" t="s">
        <v>74</v>
      </c>
      <c r="BI655" t="s">
        <v>74</v>
      </c>
      <c r="BJ655" t="s">
        <v>74</v>
      </c>
      <c r="BK655" t="s">
        <v>74</v>
      </c>
      <c r="BL655" t="s">
        <v>74</v>
      </c>
      <c r="BM655" t="s">
        <v>74</v>
      </c>
      <c r="BN655" t="s">
        <v>74</v>
      </c>
      <c r="BO655" t="s">
        <v>74</v>
      </c>
      <c r="BP655" t="s">
        <v>74</v>
      </c>
      <c r="BQ655" t="s">
        <v>74</v>
      </c>
      <c r="BR655" t="s">
        <v>74</v>
      </c>
      <c r="BS655" t="s">
        <v>5743</v>
      </c>
      <c r="BT655" t="str">
        <f>HYPERLINK("https%3A%2F%2Fwww.webofscience.com%2Fwos%2Fwoscc%2Ffull-record%2FWOS:000494052600081","View Full Record in Web of Science")</f>
        <v>View Full Record in Web of Science</v>
      </c>
    </row>
    <row r="656" spans="1:72" x14ac:dyDescent="0.2">
      <c r="A656" t="s">
        <v>72</v>
      </c>
      <c r="B656" t="s">
        <v>5744</v>
      </c>
      <c r="C656" t="s">
        <v>74</v>
      </c>
      <c r="D656" t="s">
        <v>74</v>
      </c>
      <c r="E656" t="s">
        <v>74</v>
      </c>
      <c r="F656" t="s">
        <v>5745</v>
      </c>
      <c r="G656" t="s">
        <v>74</v>
      </c>
      <c r="H656" t="s">
        <v>74</v>
      </c>
      <c r="I656" t="s">
        <v>5746</v>
      </c>
      <c r="J656" t="s">
        <v>1273</v>
      </c>
      <c r="K656" t="s">
        <v>74</v>
      </c>
      <c r="L656" t="s">
        <v>74</v>
      </c>
      <c r="M656" t="s">
        <v>74</v>
      </c>
      <c r="N656" t="s">
        <v>74</v>
      </c>
      <c r="O656" t="s">
        <v>74</v>
      </c>
      <c r="P656" t="s">
        <v>74</v>
      </c>
      <c r="Q656" t="s">
        <v>74</v>
      </c>
      <c r="R656" t="s">
        <v>74</v>
      </c>
      <c r="S656" t="s">
        <v>74</v>
      </c>
      <c r="T656" t="s">
        <v>74</v>
      </c>
      <c r="U656" t="s">
        <v>74</v>
      </c>
      <c r="V656" t="s">
        <v>5747</v>
      </c>
      <c r="W656" t="s">
        <v>74</v>
      </c>
      <c r="X656" t="s">
        <v>74</v>
      </c>
      <c r="Y656" t="s">
        <v>74</v>
      </c>
      <c r="Z656" t="s">
        <v>74</v>
      </c>
      <c r="AA656" t="s">
        <v>5748</v>
      </c>
      <c r="AB656" t="s">
        <v>5749</v>
      </c>
      <c r="AC656" t="s">
        <v>74</v>
      </c>
      <c r="AD656" t="s">
        <v>74</v>
      </c>
      <c r="AE656" t="s">
        <v>74</v>
      </c>
      <c r="AF656" t="s">
        <v>74</v>
      </c>
      <c r="AG656" t="s">
        <v>74</v>
      </c>
      <c r="AH656" t="s">
        <v>74</v>
      </c>
      <c r="AI656" t="s">
        <v>74</v>
      </c>
      <c r="AJ656" t="s">
        <v>74</v>
      </c>
      <c r="AK656" t="s">
        <v>74</v>
      </c>
      <c r="AL656" t="s">
        <v>74</v>
      </c>
      <c r="AM656" t="s">
        <v>74</v>
      </c>
      <c r="AN656" t="s">
        <v>74</v>
      </c>
      <c r="AO656" t="s">
        <v>1277</v>
      </c>
      <c r="AP656" t="s">
        <v>1278</v>
      </c>
      <c r="AQ656" t="s">
        <v>74</v>
      </c>
      <c r="AR656" t="s">
        <v>74</v>
      </c>
      <c r="AS656" t="s">
        <v>74</v>
      </c>
      <c r="AT656" t="s">
        <v>5750</v>
      </c>
      <c r="AU656">
        <v>2019</v>
      </c>
      <c r="AV656">
        <v>31</v>
      </c>
      <c r="AW656">
        <v>21</v>
      </c>
      <c r="AX656" t="s">
        <v>74</v>
      </c>
      <c r="AY656" t="s">
        <v>74</v>
      </c>
      <c r="AZ656" t="s">
        <v>74</v>
      </c>
      <c r="BA656" t="s">
        <v>74</v>
      </c>
      <c r="BB656">
        <v>8886</v>
      </c>
      <c r="BC656">
        <v>8897</v>
      </c>
      <c r="BD656" t="s">
        <v>74</v>
      </c>
      <c r="BE656" t="s">
        <v>5751</v>
      </c>
      <c r="BF656" t="str">
        <f>HYPERLINK("http://dx.doi.org/10.1021/acs.chemmater.9b02916","http://dx.doi.org/10.1021/acs.chemmater.9b02916")</f>
        <v>http://dx.doi.org/10.1021/acs.chemmater.9b02916</v>
      </c>
      <c r="BG656" t="s">
        <v>74</v>
      </c>
      <c r="BH656" t="s">
        <v>74</v>
      </c>
      <c r="BI656" t="s">
        <v>74</v>
      </c>
      <c r="BJ656" t="s">
        <v>74</v>
      </c>
      <c r="BK656" t="s">
        <v>74</v>
      </c>
      <c r="BL656" t="s">
        <v>74</v>
      </c>
      <c r="BM656" t="s">
        <v>74</v>
      </c>
      <c r="BN656" t="s">
        <v>74</v>
      </c>
      <c r="BO656" t="s">
        <v>74</v>
      </c>
      <c r="BP656" t="s">
        <v>74</v>
      </c>
      <c r="BQ656" t="s">
        <v>74</v>
      </c>
      <c r="BR656" t="s">
        <v>74</v>
      </c>
      <c r="BS656" t="s">
        <v>5752</v>
      </c>
      <c r="BT656" t="str">
        <f>HYPERLINK("https%3A%2F%2Fwww.webofscience.com%2Fwos%2Fwoscc%2Ffull-record%2FWOS:000497262500030","View Full Record in Web of Science")</f>
        <v>View Full Record in Web of Science</v>
      </c>
    </row>
    <row r="657" spans="1:72" x14ac:dyDescent="0.2">
      <c r="A657" t="s">
        <v>72</v>
      </c>
      <c r="B657" t="s">
        <v>5753</v>
      </c>
      <c r="C657" t="s">
        <v>74</v>
      </c>
      <c r="D657" t="s">
        <v>74</v>
      </c>
      <c r="E657" t="s">
        <v>74</v>
      </c>
      <c r="F657" t="s">
        <v>5754</v>
      </c>
      <c r="G657" t="s">
        <v>74</v>
      </c>
      <c r="H657" t="s">
        <v>74</v>
      </c>
      <c r="I657" t="s">
        <v>5755</v>
      </c>
      <c r="J657" t="s">
        <v>598</v>
      </c>
      <c r="K657" t="s">
        <v>74</v>
      </c>
      <c r="L657" t="s">
        <v>74</v>
      </c>
      <c r="M657" t="s">
        <v>74</v>
      </c>
      <c r="N657" t="s">
        <v>74</v>
      </c>
      <c r="O657" t="s">
        <v>74</v>
      </c>
      <c r="P657" t="s">
        <v>74</v>
      </c>
      <c r="Q657" t="s">
        <v>74</v>
      </c>
      <c r="R657" t="s">
        <v>74</v>
      </c>
      <c r="S657" t="s">
        <v>74</v>
      </c>
      <c r="T657" t="s">
        <v>74</v>
      </c>
      <c r="U657" t="s">
        <v>74</v>
      </c>
      <c r="V657" t="s">
        <v>5756</v>
      </c>
      <c r="W657" t="s">
        <v>74</v>
      </c>
      <c r="X657" t="s">
        <v>74</v>
      </c>
      <c r="Y657" t="s">
        <v>74</v>
      </c>
      <c r="Z657" t="s">
        <v>74</v>
      </c>
      <c r="AA657" t="s">
        <v>5757</v>
      </c>
      <c r="AB657" t="s">
        <v>5758</v>
      </c>
      <c r="AC657" t="s">
        <v>74</v>
      </c>
      <c r="AD657" t="s">
        <v>74</v>
      </c>
      <c r="AE657" t="s">
        <v>74</v>
      </c>
      <c r="AF657" t="s">
        <v>74</v>
      </c>
      <c r="AG657" t="s">
        <v>74</v>
      </c>
      <c r="AH657" t="s">
        <v>74</v>
      </c>
      <c r="AI657" t="s">
        <v>74</v>
      </c>
      <c r="AJ657" t="s">
        <v>74</v>
      </c>
      <c r="AK657" t="s">
        <v>74</v>
      </c>
      <c r="AL657" t="s">
        <v>74</v>
      </c>
      <c r="AM657" t="s">
        <v>74</v>
      </c>
      <c r="AN657" t="s">
        <v>74</v>
      </c>
      <c r="AO657" t="s">
        <v>601</v>
      </c>
      <c r="AP657" t="s">
        <v>602</v>
      </c>
      <c r="AQ657" t="s">
        <v>74</v>
      </c>
      <c r="AR657" t="s">
        <v>74</v>
      </c>
      <c r="AS657" t="s">
        <v>74</v>
      </c>
      <c r="AT657" t="s">
        <v>5759</v>
      </c>
      <c r="AU657">
        <v>2019</v>
      </c>
      <c r="AV657">
        <v>12</v>
      </c>
      <c r="AW657">
        <v>21</v>
      </c>
      <c r="AX657" t="s">
        <v>74</v>
      </c>
      <c r="AY657" t="s">
        <v>74</v>
      </c>
      <c r="AZ657" t="s">
        <v>74</v>
      </c>
      <c r="BA657" t="s">
        <v>74</v>
      </c>
      <c r="BB657">
        <v>4832</v>
      </c>
      <c r="BC657">
        <v>4837</v>
      </c>
      <c r="BD657" t="s">
        <v>74</v>
      </c>
      <c r="BE657" t="s">
        <v>5760</v>
      </c>
      <c r="BF657" t="str">
        <f>HYPERLINK("http://dx.doi.org/10.1002/cssc.201902152","http://dx.doi.org/10.1002/cssc.201902152")</f>
        <v>http://dx.doi.org/10.1002/cssc.201902152</v>
      </c>
      <c r="BG657" t="s">
        <v>74</v>
      </c>
      <c r="BH657" t="s">
        <v>74</v>
      </c>
      <c r="BI657" t="s">
        <v>74</v>
      </c>
      <c r="BJ657" t="s">
        <v>74</v>
      </c>
      <c r="BK657" t="s">
        <v>74</v>
      </c>
      <c r="BL657" t="s">
        <v>74</v>
      </c>
      <c r="BM657" t="s">
        <v>74</v>
      </c>
      <c r="BN657">
        <v>31476102</v>
      </c>
      <c r="BO657" t="s">
        <v>74</v>
      </c>
      <c r="BP657" t="s">
        <v>74</v>
      </c>
      <c r="BQ657" t="s">
        <v>74</v>
      </c>
      <c r="BR657" t="s">
        <v>74</v>
      </c>
      <c r="BS657" t="s">
        <v>5761</v>
      </c>
      <c r="BT657" t="str">
        <f>HYPERLINK("https%3A%2F%2Fwww.webofscience.com%2Fwos%2Fwoscc%2Ffull-record%2FWOS:000495128100013","View Full Record in Web of Science")</f>
        <v>View Full Record in Web of Science</v>
      </c>
    </row>
    <row r="658" spans="1:72" x14ac:dyDescent="0.2">
      <c r="A658" t="s">
        <v>72</v>
      </c>
      <c r="B658" t="s">
        <v>5762</v>
      </c>
      <c r="C658" t="s">
        <v>74</v>
      </c>
      <c r="D658" t="s">
        <v>74</v>
      </c>
      <c r="E658" t="s">
        <v>74</v>
      </c>
      <c r="F658" t="s">
        <v>5763</v>
      </c>
      <c r="G658" t="s">
        <v>74</v>
      </c>
      <c r="H658" t="s">
        <v>74</v>
      </c>
      <c r="I658" t="s">
        <v>5764</v>
      </c>
      <c r="J658" t="s">
        <v>151</v>
      </c>
      <c r="K658" t="s">
        <v>74</v>
      </c>
      <c r="L658" t="s">
        <v>74</v>
      </c>
      <c r="M658" t="s">
        <v>74</v>
      </c>
      <c r="N658" t="s">
        <v>74</v>
      </c>
      <c r="O658" t="s">
        <v>74</v>
      </c>
      <c r="P658" t="s">
        <v>74</v>
      </c>
      <c r="Q658" t="s">
        <v>74</v>
      </c>
      <c r="R658" t="s">
        <v>74</v>
      </c>
      <c r="S658" t="s">
        <v>74</v>
      </c>
      <c r="T658" t="s">
        <v>74</v>
      </c>
      <c r="U658" t="s">
        <v>74</v>
      </c>
      <c r="V658" t="s">
        <v>5765</v>
      </c>
      <c r="W658" t="s">
        <v>74</v>
      </c>
      <c r="X658" t="s">
        <v>74</v>
      </c>
      <c r="Y658" t="s">
        <v>74</v>
      </c>
      <c r="Z658" t="s">
        <v>74</v>
      </c>
      <c r="AA658" t="s">
        <v>4932</v>
      </c>
      <c r="AB658" t="s">
        <v>5766</v>
      </c>
      <c r="AC658" t="s">
        <v>74</v>
      </c>
      <c r="AD658" t="s">
        <v>74</v>
      </c>
      <c r="AE658" t="s">
        <v>74</v>
      </c>
      <c r="AF658" t="s">
        <v>74</v>
      </c>
      <c r="AG658" t="s">
        <v>74</v>
      </c>
      <c r="AH658" t="s">
        <v>74</v>
      </c>
      <c r="AI658" t="s">
        <v>74</v>
      </c>
      <c r="AJ658" t="s">
        <v>74</v>
      </c>
      <c r="AK658" t="s">
        <v>74</v>
      </c>
      <c r="AL658" t="s">
        <v>74</v>
      </c>
      <c r="AM658" t="s">
        <v>74</v>
      </c>
      <c r="AN658" t="s">
        <v>74</v>
      </c>
      <c r="AO658" t="s">
        <v>153</v>
      </c>
      <c r="AP658" t="s">
        <v>74</v>
      </c>
      <c r="AQ658" t="s">
        <v>74</v>
      </c>
      <c r="AR658" t="s">
        <v>74</v>
      </c>
      <c r="AS658" t="s">
        <v>74</v>
      </c>
      <c r="AT658" t="s">
        <v>92</v>
      </c>
      <c r="AU658">
        <v>2019</v>
      </c>
      <c r="AV658">
        <v>22</v>
      </c>
      <c r="AW658" t="s">
        <v>74</v>
      </c>
      <c r="AX658" t="s">
        <v>74</v>
      </c>
      <c r="AY658" t="s">
        <v>74</v>
      </c>
      <c r="AZ658" t="s">
        <v>74</v>
      </c>
      <c r="BA658" t="s">
        <v>74</v>
      </c>
      <c r="BB658">
        <v>57</v>
      </c>
      <c r="BC658">
        <v>65</v>
      </c>
      <c r="BD658" t="s">
        <v>74</v>
      </c>
      <c r="BE658" t="s">
        <v>5767</v>
      </c>
      <c r="BF658" t="str">
        <f>HYPERLINK("http://dx.doi.org/10.1016/j.ensm.2018.12.023","http://dx.doi.org/10.1016/j.ensm.2018.12.023")</f>
        <v>http://dx.doi.org/10.1016/j.ensm.2018.12.023</v>
      </c>
      <c r="BG658" t="s">
        <v>74</v>
      </c>
      <c r="BH658" t="s">
        <v>74</v>
      </c>
      <c r="BI658" t="s">
        <v>74</v>
      </c>
      <c r="BJ658" t="s">
        <v>74</v>
      </c>
      <c r="BK658" t="s">
        <v>74</v>
      </c>
      <c r="BL658" t="s">
        <v>74</v>
      </c>
      <c r="BM658" t="s">
        <v>74</v>
      </c>
      <c r="BN658" t="s">
        <v>74</v>
      </c>
      <c r="BO658" t="s">
        <v>74</v>
      </c>
      <c r="BP658" t="s">
        <v>74</v>
      </c>
      <c r="BQ658" t="s">
        <v>74</v>
      </c>
      <c r="BR658" t="s">
        <v>74</v>
      </c>
      <c r="BS658" t="s">
        <v>5768</v>
      </c>
      <c r="BT658" t="str">
        <f>HYPERLINK("https%3A%2F%2Fwww.webofscience.com%2Fwos%2Fwoscc%2Ffull-record%2FWOS:000488256300007","View Full Record in Web of Science")</f>
        <v>View Full Record in Web of Science</v>
      </c>
    </row>
    <row r="659" spans="1:72" x14ac:dyDescent="0.2">
      <c r="A659" t="s">
        <v>72</v>
      </c>
      <c r="B659" t="s">
        <v>5769</v>
      </c>
      <c r="C659" t="s">
        <v>74</v>
      </c>
      <c r="D659" t="s">
        <v>74</v>
      </c>
      <c r="E659" t="s">
        <v>74</v>
      </c>
      <c r="F659" t="s">
        <v>5770</v>
      </c>
      <c r="G659" t="s">
        <v>74</v>
      </c>
      <c r="H659" t="s">
        <v>74</v>
      </c>
      <c r="I659" t="s">
        <v>5771</v>
      </c>
      <c r="J659" t="s">
        <v>5772</v>
      </c>
      <c r="K659" t="s">
        <v>74</v>
      </c>
      <c r="L659" t="s">
        <v>74</v>
      </c>
      <c r="M659" t="s">
        <v>74</v>
      </c>
      <c r="N659" t="s">
        <v>74</v>
      </c>
      <c r="O659" t="s">
        <v>74</v>
      </c>
      <c r="P659" t="s">
        <v>74</v>
      </c>
      <c r="Q659" t="s">
        <v>74</v>
      </c>
      <c r="R659" t="s">
        <v>74</v>
      </c>
      <c r="S659" t="s">
        <v>74</v>
      </c>
      <c r="T659" t="s">
        <v>74</v>
      </c>
      <c r="U659" t="s">
        <v>74</v>
      </c>
      <c r="V659" t="s">
        <v>5773</v>
      </c>
      <c r="W659" t="s">
        <v>74</v>
      </c>
      <c r="X659" t="s">
        <v>74</v>
      </c>
      <c r="Y659" t="s">
        <v>74</v>
      </c>
      <c r="Z659" t="s">
        <v>74</v>
      </c>
      <c r="AA659" t="s">
        <v>5774</v>
      </c>
      <c r="AB659" t="s">
        <v>5775</v>
      </c>
      <c r="AC659" t="s">
        <v>74</v>
      </c>
      <c r="AD659" t="s">
        <v>74</v>
      </c>
      <c r="AE659" t="s">
        <v>74</v>
      </c>
      <c r="AF659" t="s">
        <v>74</v>
      </c>
      <c r="AG659" t="s">
        <v>74</v>
      </c>
      <c r="AH659" t="s">
        <v>74</v>
      </c>
      <c r="AI659" t="s">
        <v>74</v>
      </c>
      <c r="AJ659" t="s">
        <v>74</v>
      </c>
      <c r="AK659" t="s">
        <v>74</v>
      </c>
      <c r="AL659" t="s">
        <v>74</v>
      </c>
      <c r="AM659" t="s">
        <v>74</v>
      </c>
      <c r="AN659" t="s">
        <v>74</v>
      </c>
      <c r="AO659" t="s">
        <v>5776</v>
      </c>
      <c r="AP659" t="s">
        <v>5777</v>
      </c>
      <c r="AQ659" t="s">
        <v>74</v>
      </c>
      <c r="AR659" t="s">
        <v>74</v>
      </c>
      <c r="AS659" t="s">
        <v>74</v>
      </c>
      <c r="AT659" t="s">
        <v>92</v>
      </c>
      <c r="AU659">
        <v>2019</v>
      </c>
      <c r="AV659">
        <v>30</v>
      </c>
      <c r="AW659">
        <v>21</v>
      </c>
      <c r="AX659" t="s">
        <v>74</v>
      </c>
      <c r="AY659" t="s">
        <v>74</v>
      </c>
      <c r="AZ659" t="s">
        <v>74</v>
      </c>
      <c r="BA659" t="s">
        <v>74</v>
      </c>
      <c r="BB659">
        <v>19119</v>
      </c>
      <c r="BC659">
        <v>19125</v>
      </c>
      <c r="BD659" t="s">
        <v>74</v>
      </c>
      <c r="BE659" t="s">
        <v>5778</v>
      </c>
      <c r="BF659" t="str">
        <f>HYPERLINK("http://dx.doi.org/10.1007/s10854-019-02267-z","http://dx.doi.org/10.1007/s10854-019-02267-z")</f>
        <v>http://dx.doi.org/10.1007/s10854-019-02267-z</v>
      </c>
      <c r="BG659" t="s">
        <v>74</v>
      </c>
      <c r="BH659" t="s">
        <v>74</v>
      </c>
      <c r="BI659" t="s">
        <v>74</v>
      </c>
      <c r="BJ659" t="s">
        <v>74</v>
      </c>
      <c r="BK659" t="s">
        <v>74</v>
      </c>
      <c r="BL659" t="s">
        <v>74</v>
      </c>
      <c r="BM659" t="s">
        <v>74</v>
      </c>
      <c r="BN659" t="s">
        <v>74</v>
      </c>
      <c r="BO659" t="s">
        <v>74</v>
      </c>
      <c r="BP659" t="s">
        <v>74</v>
      </c>
      <c r="BQ659" t="s">
        <v>74</v>
      </c>
      <c r="BR659" t="s">
        <v>74</v>
      </c>
      <c r="BS659" t="s">
        <v>5779</v>
      </c>
      <c r="BT659" t="str">
        <f>HYPERLINK("https%3A%2F%2Fwww.webofscience.com%2Fwos%2Fwoscc%2Ffull-record%2FWOS:000492443000004","View Full Record in Web of Science")</f>
        <v>View Full Record in Web of Science</v>
      </c>
    </row>
    <row r="660" spans="1:72" x14ac:dyDescent="0.2">
      <c r="A660" t="s">
        <v>72</v>
      </c>
      <c r="B660" t="s">
        <v>5780</v>
      </c>
      <c r="C660" t="s">
        <v>74</v>
      </c>
      <c r="D660" t="s">
        <v>74</v>
      </c>
      <c r="E660" t="s">
        <v>74</v>
      </c>
      <c r="F660" t="s">
        <v>5781</v>
      </c>
      <c r="G660" t="s">
        <v>74</v>
      </c>
      <c r="H660" t="s">
        <v>74</v>
      </c>
      <c r="I660" t="s">
        <v>5782</v>
      </c>
      <c r="J660" t="s">
        <v>98</v>
      </c>
      <c r="K660" t="s">
        <v>74</v>
      </c>
      <c r="L660" t="s">
        <v>74</v>
      </c>
      <c r="M660" t="s">
        <v>74</v>
      </c>
      <c r="N660" t="s">
        <v>74</v>
      </c>
      <c r="O660" t="s">
        <v>74</v>
      </c>
      <c r="P660" t="s">
        <v>74</v>
      </c>
      <c r="Q660" t="s">
        <v>74</v>
      </c>
      <c r="R660" t="s">
        <v>74</v>
      </c>
      <c r="S660" t="s">
        <v>74</v>
      </c>
      <c r="T660" t="s">
        <v>74</v>
      </c>
      <c r="U660" t="s">
        <v>74</v>
      </c>
      <c r="V660" t="s">
        <v>5783</v>
      </c>
      <c r="W660" t="s">
        <v>74</v>
      </c>
      <c r="X660" t="s">
        <v>74</v>
      </c>
      <c r="Y660" t="s">
        <v>74</v>
      </c>
      <c r="Z660" t="s">
        <v>74</v>
      </c>
      <c r="AA660" t="s">
        <v>74</v>
      </c>
      <c r="AB660" t="s">
        <v>5784</v>
      </c>
      <c r="AC660" t="s">
        <v>74</v>
      </c>
      <c r="AD660" t="s">
        <v>74</v>
      </c>
      <c r="AE660" t="s">
        <v>74</v>
      </c>
      <c r="AF660" t="s">
        <v>74</v>
      </c>
      <c r="AG660" t="s">
        <v>74</v>
      </c>
      <c r="AH660" t="s">
        <v>74</v>
      </c>
      <c r="AI660" t="s">
        <v>74</v>
      </c>
      <c r="AJ660" t="s">
        <v>74</v>
      </c>
      <c r="AK660" t="s">
        <v>74</v>
      </c>
      <c r="AL660" t="s">
        <v>74</v>
      </c>
      <c r="AM660" t="s">
        <v>74</v>
      </c>
      <c r="AN660" t="s">
        <v>74</v>
      </c>
      <c r="AO660" t="s">
        <v>101</v>
      </c>
      <c r="AP660" t="s">
        <v>102</v>
      </c>
      <c r="AQ660" t="s">
        <v>74</v>
      </c>
      <c r="AR660" t="s">
        <v>74</v>
      </c>
      <c r="AS660" t="s">
        <v>74</v>
      </c>
      <c r="AT660" t="s">
        <v>5785</v>
      </c>
      <c r="AU660">
        <v>2019</v>
      </c>
      <c r="AV660">
        <v>438</v>
      </c>
      <c r="AW660" t="s">
        <v>74</v>
      </c>
      <c r="AX660" t="s">
        <v>74</v>
      </c>
      <c r="AY660" t="s">
        <v>74</v>
      </c>
      <c r="AZ660" t="s">
        <v>74</v>
      </c>
      <c r="BA660" t="s">
        <v>74</v>
      </c>
      <c r="BB660" t="s">
        <v>74</v>
      </c>
      <c r="BC660" t="s">
        <v>74</v>
      </c>
      <c r="BD660">
        <v>227063</v>
      </c>
      <c r="BE660" t="s">
        <v>5786</v>
      </c>
      <c r="BF660" t="str">
        <f>HYPERLINK("http://dx.doi.org/10.1016/j.jpowsour.2019.227063","http://dx.doi.org/10.1016/j.jpowsour.2019.227063")</f>
        <v>http://dx.doi.org/10.1016/j.jpowsour.2019.227063</v>
      </c>
      <c r="BG660" t="s">
        <v>74</v>
      </c>
      <c r="BH660" t="s">
        <v>74</v>
      </c>
      <c r="BI660" t="s">
        <v>74</v>
      </c>
      <c r="BJ660" t="s">
        <v>74</v>
      </c>
      <c r="BK660" t="s">
        <v>74</v>
      </c>
      <c r="BL660" t="s">
        <v>74</v>
      </c>
      <c r="BM660" t="s">
        <v>74</v>
      </c>
      <c r="BN660" t="s">
        <v>74</v>
      </c>
      <c r="BO660" t="s">
        <v>74</v>
      </c>
      <c r="BP660" t="s">
        <v>74</v>
      </c>
      <c r="BQ660" t="s">
        <v>74</v>
      </c>
      <c r="BR660" t="s">
        <v>74</v>
      </c>
      <c r="BS660" t="s">
        <v>5787</v>
      </c>
      <c r="BT660" t="str">
        <f>HYPERLINK("https%3A%2F%2Fwww.webofscience.com%2Fwos%2Fwoscc%2Ffull-record%2FWOS:000490030800041","View Full Record in Web of Science")</f>
        <v>View Full Record in Web of Science</v>
      </c>
    </row>
    <row r="661" spans="1:72" x14ac:dyDescent="0.2">
      <c r="A661" t="s">
        <v>72</v>
      </c>
      <c r="B661" t="s">
        <v>5788</v>
      </c>
      <c r="C661" t="s">
        <v>74</v>
      </c>
      <c r="D661" t="s">
        <v>74</v>
      </c>
      <c r="E661" t="s">
        <v>74</v>
      </c>
      <c r="F661" t="s">
        <v>5789</v>
      </c>
      <c r="G661" t="s">
        <v>74</v>
      </c>
      <c r="H661" t="s">
        <v>74</v>
      </c>
      <c r="I661" t="s">
        <v>5790</v>
      </c>
      <c r="J661" t="s">
        <v>2241</v>
      </c>
      <c r="K661" t="s">
        <v>74</v>
      </c>
      <c r="L661" t="s">
        <v>74</v>
      </c>
      <c r="M661" t="s">
        <v>74</v>
      </c>
      <c r="N661" t="s">
        <v>74</v>
      </c>
      <c r="O661" t="s">
        <v>74</v>
      </c>
      <c r="P661" t="s">
        <v>74</v>
      </c>
      <c r="Q661" t="s">
        <v>74</v>
      </c>
      <c r="R661" t="s">
        <v>74</v>
      </c>
      <c r="S661" t="s">
        <v>74</v>
      </c>
      <c r="T661" t="s">
        <v>74</v>
      </c>
      <c r="U661" t="s">
        <v>74</v>
      </c>
      <c r="V661" t="s">
        <v>5791</v>
      </c>
      <c r="W661" t="s">
        <v>74</v>
      </c>
      <c r="X661" t="s">
        <v>74</v>
      </c>
      <c r="Y661" t="s">
        <v>74</v>
      </c>
      <c r="Z661" t="s">
        <v>74</v>
      </c>
      <c r="AA661" t="s">
        <v>5792</v>
      </c>
      <c r="AB661" t="s">
        <v>5793</v>
      </c>
      <c r="AC661" t="s">
        <v>74</v>
      </c>
      <c r="AD661" t="s">
        <v>74</v>
      </c>
      <c r="AE661" t="s">
        <v>74</v>
      </c>
      <c r="AF661" t="s">
        <v>74</v>
      </c>
      <c r="AG661" t="s">
        <v>74</v>
      </c>
      <c r="AH661" t="s">
        <v>74</v>
      </c>
      <c r="AI661" t="s">
        <v>74</v>
      </c>
      <c r="AJ661" t="s">
        <v>74</v>
      </c>
      <c r="AK661" t="s">
        <v>74</v>
      </c>
      <c r="AL661" t="s">
        <v>74</v>
      </c>
      <c r="AM661" t="s">
        <v>74</v>
      </c>
      <c r="AN661" t="s">
        <v>74</v>
      </c>
      <c r="AO661" t="s">
        <v>2245</v>
      </c>
      <c r="AP661" t="s">
        <v>74</v>
      </c>
      <c r="AQ661" t="s">
        <v>74</v>
      </c>
      <c r="AR661" t="s">
        <v>74</v>
      </c>
      <c r="AS661" t="s">
        <v>74</v>
      </c>
      <c r="AT661" t="s">
        <v>1364</v>
      </c>
      <c r="AU661">
        <v>2019</v>
      </c>
      <c r="AV661">
        <v>6</v>
      </c>
      <c r="AW661">
        <v>24</v>
      </c>
      <c r="AX661" t="s">
        <v>74</v>
      </c>
      <c r="AY661" t="s">
        <v>74</v>
      </c>
      <c r="AZ661" t="s">
        <v>74</v>
      </c>
      <c r="BA661" t="s">
        <v>74</v>
      </c>
      <c r="BB661" t="s">
        <v>74</v>
      </c>
      <c r="BC661" t="s">
        <v>74</v>
      </c>
      <c r="BD661">
        <v>1901497</v>
      </c>
      <c r="BE661" t="s">
        <v>5794</v>
      </c>
      <c r="BF661" t="str">
        <f>HYPERLINK("http://dx.doi.org/10.1002/admi.201901497","http://dx.doi.org/10.1002/admi.201901497")</f>
        <v>http://dx.doi.org/10.1002/admi.201901497</v>
      </c>
      <c r="BG661" t="s">
        <v>74</v>
      </c>
      <c r="BH661" t="s">
        <v>5795</v>
      </c>
      <c r="BI661" t="s">
        <v>74</v>
      </c>
      <c r="BJ661" t="s">
        <v>74</v>
      </c>
      <c r="BK661" t="s">
        <v>74</v>
      </c>
      <c r="BL661" t="s">
        <v>74</v>
      </c>
      <c r="BM661" t="s">
        <v>74</v>
      </c>
      <c r="BN661" t="s">
        <v>74</v>
      </c>
      <c r="BO661" t="s">
        <v>74</v>
      </c>
      <c r="BP661" t="s">
        <v>74</v>
      </c>
      <c r="BQ661" t="s">
        <v>74</v>
      </c>
      <c r="BR661" t="s">
        <v>74</v>
      </c>
      <c r="BS661" t="s">
        <v>5796</v>
      </c>
      <c r="BT661" t="str">
        <f>HYPERLINK("https%3A%2F%2Fwww.webofscience.com%2Fwos%2Fwoscc%2Ffull-record%2FWOS:000493101000001","View Full Record in Web of Science")</f>
        <v>View Full Record in Web of Science</v>
      </c>
    </row>
    <row r="662" spans="1:72" x14ac:dyDescent="0.2">
      <c r="A662" t="s">
        <v>72</v>
      </c>
      <c r="B662" t="s">
        <v>5797</v>
      </c>
      <c r="C662" t="s">
        <v>74</v>
      </c>
      <c r="D662" t="s">
        <v>74</v>
      </c>
      <c r="E662" t="s">
        <v>74</v>
      </c>
      <c r="F662" t="s">
        <v>5798</v>
      </c>
      <c r="G662" t="s">
        <v>74</v>
      </c>
      <c r="H662" t="s">
        <v>74</v>
      </c>
      <c r="I662" t="s">
        <v>5799</v>
      </c>
      <c r="J662" t="s">
        <v>5460</v>
      </c>
      <c r="K662" t="s">
        <v>74</v>
      </c>
      <c r="L662" t="s">
        <v>74</v>
      </c>
      <c r="M662" t="s">
        <v>74</v>
      </c>
      <c r="N662" t="s">
        <v>74</v>
      </c>
      <c r="O662" t="s">
        <v>74</v>
      </c>
      <c r="P662" t="s">
        <v>74</v>
      </c>
      <c r="Q662" t="s">
        <v>74</v>
      </c>
      <c r="R662" t="s">
        <v>74</v>
      </c>
      <c r="S662" t="s">
        <v>74</v>
      </c>
      <c r="T662" t="s">
        <v>74</v>
      </c>
      <c r="U662" t="s">
        <v>74</v>
      </c>
      <c r="V662" t="s">
        <v>5800</v>
      </c>
      <c r="W662" t="s">
        <v>74</v>
      </c>
      <c r="X662" t="s">
        <v>74</v>
      </c>
      <c r="Y662" t="s">
        <v>74</v>
      </c>
      <c r="Z662" t="s">
        <v>74</v>
      </c>
      <c r="AA662" t="s">
        <v>5801</v>
      </c>
      <c r="AB662" t="s">
        <v>5802</v>
      </c>
      <c r="AC662" t="s">
        <v>74</v>
      </c>
      <c r="AD662" t="s">
        <v>74</v>
      </c>
      <c r="AE662" t="s">
        <v>74</v>
      </c>
      <c r="AF662" t="s">
        <v>74</v>
      </c>
      <c r="AG662" t="s">
        <v>74</v>
      </c>
      <c r="AH662" t="s">
        <v>74</v>
      </c>
      <c r="AI662" t="s">
        <v>74</v>
      </c>
      <c r="AJ662" t="s">
        <v>74</v>
      </c>
      <c r="AK662" t="s">
        <v>74</v>
      </c>
      <c r="AL662" t="s">
        <v>74</v>
      </c>
      <c r="AM662" t="s">
        <v>74</v>
      </c>
      <c r="AN662" t="s">
        <v>74</v>
      </c>
      <c r="AO662" t="s">
        <v>74</v>
      </c>
      <c r="AP662" t="s">
        <v>5464</v>
      </c>
      <c r="AQ662" t="s">
        <v>74</v>
      </c>
      <c r="AR662" t="s">
        <v>74</v>
      </c>
      <c r="AS662" t="s">
        <v>74</v>
      </c>
      <c r="AT662" t="s">
        <v>2677</v>
      </c>
      <c r="AU662">
        <v>2019</v>
      </c>
      <c r="AV662">
        <v>9</v>
      </c>
      <c r="AW662">
        <v>59</v>
      </c>
      <c r="AX662" t="s">
        <v>74</v>
      </c>
      <c r="AY662" t="s">
        <v>74</v>
      </c>
      <c r="AZ662" t="s">
        <v>74</v>
      </c>
      <c r="BA662" t="s">
        <v>74</v>
      </c>
      <c r="BB662">
        <v>34601</v>
      </c>
      <c r="BC662">
        <v>34606</v>
      </c>
      <c r="BD662" t="s">
        <v>74</v>
      </c>
      <c r="BE662" t="s">
        <v>5803</v>
      </c>
      <c r="BF662" t="str">
        <f>HYPERLINK("http://dx.doi.org/10.1039/c9ra07781b","http://dx.doi.org/10.1039/c9ra07781b")</f>
        <v>http://dx.doi.org/10.1039/c9ra07781b</v>
      </c>
      <c r="BG662" t="s">
        <v>74</v>
      </c>
      <c r="BH662" t="s">
        <v>74</v>
      </c>
      <c r="BI662" t="s">
        <v>74</v>
      </c>
      <c r="BJ662" t="s">
        <v>74</v>
      </c>
      <c r="BK662" t="s">
        <v>74</v>
      </c>
      <c r="BL662" t="s">
        <v>74</v>
      </c>
      <c r="BM662" t="s">
        <v>74</v>
      </c>
      <c r="BN662">
        <v>35530002</v>
      </c>
      <c r="BO662" t="s">
        <v>74</v>
      </c>
      <c r="BP662" t="s">
        <v>74</v>
      </c>
      <c r="BQ662" t="s">
        <v>74</v>
      </c>
      <c r="BR662" t="s">
        <v>74</v>
      </c>
      <c r="BS662" t="s">
        <v>5804</v>
      </c>
      <c r="BT662" t="str">
        <f>HYPERLINK("https%3A%2F%2Fwww.webofscience.com%2Fwos%2Fwoscc%2Ffull-record%2FWOS:000494684600057","View Full Record in Web of Science")</f>
        <v>View Full Record in Web of Science</v>
      </c>
    </row>
    <row r="663" spans="1:72" x14ac:dyDescent="0.2">
      <c r="A663" t="s">
        <v>72</v>
      </c>
      <c r="B663" t="s">
        <v>5805</v>
      </c>
      <c r="C663" t="s">
        <v>74</v>
      </c>
      <c r="D663" t="s">
        <v>74</v>
      </c>
      <c r="E663" t="s">
        <v>74</v>
      </c>
      <c r="F663" t="s">
        <v>5806</v>
      </c>
      <c r="G663" t="s">
        <v>74</v>
      </c>
      <c r="H663" t="s">
        <v>74</v>
      </c>
      <c r="I663" t="s">
        <v>5807</v>
      </c>
      <c r="J663" t="s">
        <v>5433</v>
      </c>
      <c r="K663" t="s">
        <v>74</v>
      </c>
      <c r="L663" t="s">
        <v>74</v>
      </c>
      <c r="M663" t="s">
        <v>74</v>
      </c>
      <c r="N663" t="s">
        <v>74</v>
      </c>
      <c r="O663" t="s">
        <v>74</v>
      </c>
      <c r="P663" t="s">
        <v>74</v>
      </c>
      <c r="Q663" t="s">
        <v>74</v>
      </c>
      <c r="R663" t="s">
        <v>74</v>
      </c>
      <c r="S663" t="s">
        <v>74</v>
      </c>
      <c r="T663" t="s">
        <v>74</v>
      </c>
      <c r="U663" t="s">
        <v>74</v>
      </c>
      <c r="V663" t="s">
        <v>5808</v>
      </c>
      <c r="W663" t="s">
        <v>74</v>
      </c>
      <c r="X663" t="s">
        <v>74</v>
      </c>
      <c r="Y663" t="s">
        <v>74</v>
      </c>
      <c r="Z663" t="s">
        <v>74</v>
      </c>
      <c r="AA663" t="s">
        <v>5809</v>
      </c>
      <c r="AB663" t="s">
        <v>5810</v>
      </c>
      <c r="AC663" t="s">
        <v>74</v>
      </c>
      <c r="AD663" t="s">
        <v>74</v>
      </c>
      <c r="AE663" t="s">
        <v>74</v>
      </c>
      <c r="AF663" t="s">
        <v>74</v>
      </c>
      <c r="AG663" t="s">
        <v>74</v>
      </c>
      <c r="AH663" t="s">
        <v>74</v>
      </c>
      <c r="AI663" t="s">
        <v>74</v>
      </c>
      <c r="AJ663" t="s">
        <v>74</v>
      </c>
      <c r="AK663" t="s">
        <v>74</v>
      </c>
      <c r="AL663" t="s">
        <v>74</v>
      </c>
      <c r="AM663" t="s">
        <v>74</v>
      </c>
      <c r="AN663" t="s">
        <v>74</v>
      </c>
      <c r="AO663" t="s">
        <v>5437</v>
      </c>
      <c r="AP663" t="s">
        <v>74</v>
      </c>
      <c r="AQ663" t="s">
        <v>74</v>
      </c>
      <c r="AR663" t="s">
        <v>74</v>
      </c>
      <c r="AS663" t="s">
        <v>74</v>
      </c>
      <c r="AT663" t="s">
        <v>5811</v>
      </c>
      <c r="AU663">
        <v>2019</v>
      </c>
      <c r="AV663">
        <v>4</v>
      </c>
      <c r="AW663">
        <v>38</v>
      </c>
      <c r="AX663" t="s">
        <v>74</v>
      </c>
      <c r="AY663" t="s">
        <v>74</v>
      </c>
      <c r="AZ663" t="s">
        <v>74</v>
      </c>
      <c r="BA663" t="s">
        <v>74</v>
      </c>
      <c r="BB663">
        <v>11385</v>
      </c>
      <c r="BC663">
        <v>11393</v>
      </c>
      <c r="BD663" t="s">
        <v>74</v>
      </c>
      <c r="BE663" t="s">
        <v>5812</v>
      </c>
      <c r="BF663" t="str">
        <f>HYPERLINK("http://dx.doi.org/10.1002/slct.201902114","http://dx.doi.org/10.1002/slct.201902114")</f>
        <v>http://dx.doi.org/10.1002/slct.201902114</v>
      </c>
      <c r="BG663" t="s">
        <v>74</v>
      </c>
      <c r="BH663" t="s">
        <v>74</v>
      </c>
      <c r="BI663" t="s">
        <v>74</v>
      </c>
      <c r="BJ663" t="s">
        <v>74</v>
      </c>
      <c r="BK663" t="s">
        <v>74</v>
      </c>
      <c r="BL663" t="s">
        <v>74</v>
      </c>
      <c r="BM663" t="s">
        <v>74</v>
      </c>
      <c r="BN663" t="s">
        <v>74</v>
      </c>
      <c r="BO663" t="s">
        <v>74</v>
      </c>
      <c r="BP663" t="s">
        <v>74</v>
      </c>
      <c r="BQ663" t="s">
        <v>74</v>
      </c>
      <c r="BR663" t="s">
        <v>74</v>
      </c>
      <c r="BS663" t="s">
        <v>5813</v>
      </c>
      <c r="BT663" t="str">
        <f>HYPERLINK("https%3A%2F%2Fwww.webofscience.com%2Fwos%2Fwoscc%2Ffull-record%2FWOS:000491201900026","View Full Record in Web of Science")</f>
        <v>View Full Record in Web of Science</v>
      </c>
    </row>
    <row r="664" spans="1:72" x14ac:dyDescent="0.2">
      <c r="A664" t="s">
        <v>72</v>
      </c>
      <c r="B664" t="s">
        <v>5814</v>
      </c>
      <c r="C664" t="s">
        <v>74</v>
      </c>
      <c r="D664" t="s">
        <v>74</v>
      </c>
      <c r="E664" t="s">
        <v>74</v>
      </c>
      <c r="F664" t="s">
        <v>5815</v>
      </c>
      <c r="G664" t="s">
        <v>74</v>
      </c>
      <c r="H664" t="s">
        <v>74</v>
      </c>
      <c r="I664" t="s">
        <v>5816</v>
      </c>
      <c r="J664" t="s">
        <v>1237</v>
      </c>
      <c r="K664" t="s">
        <v>74</v>
      </c>
      <c r="L664" t="s">
        <v>74</v>
      </c>
      <c r="M664" t="s">
        <v>74</v>
      </c>
      <c r="N664" t="s">
        <v>74</v>
      </c>
      <c r="O664" t="s">
        <v>74</v>
      </c>
      <c r="P664" t="s">
        <v>74</v>
      </c>
      <c r="Q664" t="s">
        <v>74</v>
      </c>
      <c r="R664" t="s">
        <v>74</v>
      </c>
      <c r="S664" t="s">
        <v>74</v>
      </c>
      <c r="T664" t="s">
        <v>74</v>
      </c>
      <c r="U664" t="s">
        <v>74</v>
      </c>
      <c r="V664" t="s">
        <v>5817</v>
      </c>
      <c r="W664" t="s">
        <v>74</v>
      </c>
      <c r="X664" t="s">
        <v>74</v>
      </c>
      <c r="Y664" t="s">
        <v>74</v>
      </c>
      <c r="Z664" t="s">
        <v>74</v>
      </c>
      <c r="AA664" t="s">
        <v>5818</v>
      </c>
      <c r="AB664" t="s">
        <v>5819</v>
      </c>
      <c r="AC664" t="s">
        <v>74</v>
      </c>
      <c r="AD664" t="s">
        <v>74</v>
      </c>
      <c r="AE664" t="s">
        <v>74</v>
      </c>
      <c r="AF664" t="s">
        <v>74</v>
      </c>
      <c r="AG664" t="s">
        <v>74</v>
      </c>
      <c r="AH664" t="s">
        <v>74</v>
      </c>
      <c r="AI664" t="s">
        <v>74</v>
      </c>
      <c r="AJ664" t="s">
        <v>74</v>
      </c>
      <c r="AK664" t="s">
        <v>74</v>
      </c>
      <c r="AL664" t="s">
        <v>74</v>
      </c>
      <c r="AM664" t="s">
        <v>74</v>
      </c>
      <c r="AN664" t="s">
        <v>74</v>
      </c>
      <c r="AO664" t="s">
        <v>1241</v>
      </c>
      <c r="AP664" t="s">
        <v>74</v>
      </c>
      <c r="AQ664" t="s">
        <v>74</v>
      </c>
      <c r="AR664" t="s">
        <v>74</v>
      </c>
      <c r="AS664" t="s">
        <v>74</v>
      </c>
      <c r="AT664" t="s">
        <v>5820</v>
      </c>
      <c r="AU664">
        <v>2019</v>
      </c>
      <c r="AV664">
        <v>3</v>
      </c>
      <c r="AW664">
        <v>10</v>
      </c>
      <c r="AX664" t="s">
        <v>74</v>
      </c>
      <c r="AY664" t="s">
        <v>74</v>
      </c>
      <c r="AZ664" t="s">
        <v>74</v>
      </c>
      <c r="BA664" t="s">
        <v>74</v>
      </c>
      <c r="BB664">
        <v>2550</v>
      </c>
      <c r="BC664">
        <v>2564</v>
      </c>
      <c r="BD664" t="s">
        <v>74</v>
      </c>
      <c r="BE664" t="s">
        <v>5821</v>
      </c>
      <c r="BF664" t="str">
        <f>HYPERLINK("http://dx.doi.org/10.1016/j.joule.2019.08.004","http://dx.doi.org/10.1016/j.joule.2019.08.004")</f>
        <v>http://dx.doi.org/10.1016/j.joule.2019.08.004</v>
      </c>
      <c r="BG664" t="s">
        <v>74</v>
      </c>
      <c r="BH664" t="s">
        <v>74</v>
      </c>
      <c r="BI664" t="s">
        <v>74</v>
      </c>
      <c r="BJ664" t="s">
        <v>74</v>
      </c>
      <c r="BK664" t="s">
        <v>74</v>
      </c>
      <c r="BL664" t="s">
        <v>74</v>
      </c>
      <c r="BM664" t="s">
        <v>74</v>
      </c>
      <c r="BN664" t="s">
        <v>74</v>
      </c>
      <c r="BO664" t="s">
        <v>74</v>
      </c>
      <c r="BP664" t="s">
        <v>74</v>
      </c>
      <c r="BQ664" t="s">
        <v>74</v>
      </c>
      <c r="BR664" t="s">
        <v>74</v>
      </c>
      <c r="BS664" t="s">
        <v>5822</v>
      </c>
      <c r="BT664" t="str">
        <f>HYPERLINK("https%3A%2F%2Fwww.webofscience.com%2Fwos%2Fwoscc%2Ffull-record%2FWOS:000490703300024","View Full Record in Web of Science")</f>
        <v>View Full Record in Web of Science</v>
      </c>
    </row>
    <row r="665" spans="1:72" x14ac:dyDescent="0.2">
      <c r="A665" t="s">
        <v>72</v>
      </c>
      <c r="B665" t="s">
        <v>5823</v>
      </c>
      <c r="C665" t="s">
        <v>74</v>
      </c>
      <c r="D665" t="s">
        <v>74</v>
      </c>
      <c r="E665" t="s">
        <v>74</v>
      </c>
      <c r="F665" t="s">
        <v>5824</v>
      </c>
      <c r="G665" t="s">
        <v>74</v>
      </c>
      <c r="H665" t="s">
        <v>74</v>
      </c>
      <c r="I665" t="s">
        <v>5825</v>
      </c>
      <c r="J665" t="s">
        <v>433</v>
      </c>
      <c r="K665" t="s">
        <v>74</v>
      </c>
      <c r="L665" t="s">
        <v>74</v>
      </c>
      <c r="M665" t="s">
        <v>74</v>
      </c>
      <c r="N665" t="s">
        <v>74</v>
      </c>
      <c r="O665" t="s">
        <v>74</v>
      </c>
      <c r="P665" t="s">
        <v>74</v>
      </c>
      <c r="Q665" t="s">
        <v>74</v>
      </c>
      <c r="R665" t="s">
        <v>74</v>
      </c>
      <c r="S665" t="s">
        <v>74</v>
      </c>
      <c r="T665" t="s">
        <v>74</v>
      </c>
      <c r="U665" t="s">
        <v>74</v>
      </c>
      <c r="V665" t="s">
        <v>5826</v>
      </c>
      <c r="W665" t="s">
        <v>74</v>
      </c>
      <c r="X665" t="s">
        <v>74</v>
      </c>
      <c r="Y665" t="s">
        <v>74</v>
      </c>
      <c r="Z665" t="s">
        <v>74</v>
      </c>
      <c r="AA665" t="s">
        <v>5827</v>
      </c>
      <c r="AB665" t="s">
        <v>74</v>
      </c>
      <c r="AC665" t="s">
        <v>74</v>
      </c>
      <c r="AD665" t="s">
        <v>74</v>
      </c>
      <c r="AE665" t="s">
        <v>74</v>
      </c>
      <c r="AF665" t="s">
        <v>74</v>
      </c>
      <c r="AG665" t="s">
        <v>74</v>
      </c>
      <c r="AH665" t="s">
        <v>74</v>
      </c>
      <c r="AI665" t="s">
        <v>74</v>
      </c>
      <c r="AJ665" t="s">
        <v>74</v>
      </c>
      <c r="AK665" t="s">
        <v>74</v>
      </c>
      <c r="AL665" t="s">
        <v>74</v>
      </c>
      <c r="AM665" t="s">
        <v>74</v>
      </c>
      <c r="AN665" t="s">
        <v>74</v>
      </c>
      <c r="AO665" t="s">
        <v>435</v>
      </c>
      <c r="AP665" t="s">
        <v>436</v>
      </c>
      <c r="AQ665" t="s">
        <v>74</v>
      </c>
      <c r="AR665" t="s">
        <v>74</v>
      </c>
      <c r="AS665" t="s">
        <v>74</v>
      </c>
      <c r="AT665" t="s">
        <v>103</v>
      </c>
      <c r="AU665">
        <v>2019</v>
      </c>
      <c r="AV665">
        <v>805</v>
      </c>
      <c r="AW665" t="s">
        <v>74</v>
      </c>
      <c r="AX665" t="s">
        <v>74</v>
      </c>
      <c r="AY665" t="s">
        <v>74</v>
      </c>
      <c r="AZ665" t="s">
        <v>74</v>
      </c>
      <c r="BA665" t="s">
        <v>74</v>
      </c>
      <c r="BB665">
        <v>991</v>
      </c>
      <c r="BC665">
        <v>998</v>
      </c>
      <c r="BD665" t="s">
        <v>74</v>
      </c>
      <c r="BE665" t="s">
        <v>5828</v>
      </c>
      <c r="BF665" t="str">
        <f>HYPERLINK("http://dx.doi.org/10.1016/j.jallcom.2019.07.176","http://dx.doi.org/10.1016/j.jallcom.2019.07.176")</f>
        <v>http://dx.doi.org/10.1016/j.jallcom.2019.07.176</v>
      </c>
      <c r="BG665" t="s">
        <v>74</v>
      </c>
      <c r="BH665" t="s">
        <v>74</v>
      </c>
      <c r="BI665" t="s">
        <v>74</v>
      </c>
      <c r="BJ665" t="s">
        <v>74</v>
      </c>
      <c r="BK665" t="s">
        <v>74</v>
      </c>
      <c r="BL665" t="s">
        <v>74</v>
      </c>
      <c r="BM665" t="s">
        <v>74</v>
      </c>
      <c r="BN665" t="s">
        <v>74</v>
      </c>
      <c r="BO665" t="s">
        <v>74</v>
      </c>
      <c r="BP665" t="s">
        <v>74</v>
      </c>
      <c r="BQ665" t="s">
        <v>74</v>
      </c>
      <c r="BR665" t="s">
        <v>74</v>
      </c>
      <c r="BS665" t="s">
        <v>5829</v>
      </c>
      <c r="BT665" t="str">
        <f>HYPERLINK("https%3A%2F%2Fwww.webofscience.com%2Fwos%2Fwoscc%2Ffull-record%2FWOS:000482184100114","View Full Record in Web of Science")</f>
        <v>View Full Record in Web of Science</v>
      </c>
    </row>
    <row r="666" spans="1:72" x14ac:dyDescent="0.2">
      <c r="A666" t="s">
        <v>72</v>
      </c>
      <c r="B666" t="s">
        <v>5830</v>
      </c>
      <c r="C666" t="s">
        <v>74</v>
      </c>
      <c r="D666" t="s">
        <v>74</v>
      </c>
      <c r="E666" t="s">
        <v>74</v>
      </c>
      <c r="F666" t="s">
        <v>5831</v>
      </c>
      <c r="G666" t="s">
        <v>74</v>
      </c>
      <c r="H666" t="s">
        <v>74</v>
      </c>
      <c r="I666" t="s">
        <v>5832</v>
      </c>
      <c r="J666" t="s">
        <v>665</v>
      </c>
      <c r="K666" t="s">
        <v>74</v>
      </c>
      <c r="L666" t="s">
        <v>74</v>
      </c>
      <c r="M666" t="s">
        <v>74</v>
      </c>
      <c r="N666" t="s">
        <v>74</v>
      </c>
      <c r="O666" t="s">
        <v>74</v>
      </c>
      <c r="P666" t="s">
        <v>74</v>
      </c>
      <c r="Q666" t="s">
        <v>74</v>
      </c>
      <c r="R666" t="s">
        <v>74</v>
      </c>
      <c r="S666" t="s">
        <v>74</v>
      </c>
      <c r="T666" t="s">
        <v>74</v>
      </c>
      <c r="U666" t="s">
        <v>74</v>
      </c>
      <c r="V666" t="s">
        <v>5833</v>
      </c>
      <c r="W666" t="s">
        <v>74</v>
      </c>
      <c r="X666" t="s">
        <v>74</v>
      </c>
      <c r="Y666" t="s">
        <v>74</v>
      </c>
      <c r="Z666" t="s">
        <v>74</v>
      </c>
      <c r="AA666" t="s">
        <v>5834</v>
      </c>
      <c r="AB666" t="s">
        <v>5835</v>
      </c>
      <c r="AC666" t="s">
        <v>74</v>
      </c>
      <c r="AD666" t="s">
        <v>74</v>
      </c>
      <c r="AE666" t="s">
        <v>74</v>
      </c>
      <c r="AF666" t="s">
        <v>74</v>
      </c>
      <c r="AG666" t="s">
        <v>74</v>
      </c>
      <c r="AH666" t="s">
        <v>74</v>
      </c>
      <c r="AI666" t="s">
        <v>74</v>
      </c>
      <c r="AJ666" t="s">
        <v>74</v>
      </c>
      <c r="AK666" t="s">
        <v>74</v>
      </c>
      <c r="AL666" t="s">
        <v>74</v>
      </c>
      <c r="AM666" t="s">
        <v>74</v>
      </c>
      <c r="AN666" t="s">
        <v>74</v>
      </c>
      <c r="AO666" t="s">
        <v>668</v>
      </c>
      <c r="AP666" t="s">
        <v>669</v>
      </c>
      <c r="AQ666" t="s">
        <v>74</v>
      </c>
      <c r="AR666" t="s">
        <v>74</v>
      </c>
      <c r="AS666" t="s">
        <v>74</v>
      </c>
      <c r="AT666" t="s">
        <v>103</v>
      </c>
      <c r="AU666">
        <v>2019</v>
      </c>
      <c r="AV666">
        <v>339</v>
      </c>
      <c r="AW666" t="s">
        <v>74</v>
      </c>
      <c r="AX666" t="s">
        <v>74</v>
      </c>
      <c r="AY666" t="s">
        <v>74</v>
      </c>
      <c r="AZ666" t="s">
        <v>74</v>
      </c>
      <c r="BA666" t="s">
        <v>74</v>
      </c>
      <c r="BB666" t="s">
        <v>74</v>
      </c>
      <c r="BC666" t="s">
        <v>74</v>
      </c>
      <c r="BD666">
        <v>114985</v>
      </c>
      <c r="BE666" t="s">
        <v>5836</v>
      </c>
      <c r="BF666" t="str">
        <f>HYPERLINK("http://dx.doi.org/10.1016/j.ssi.2019.05.020","http://dx.doi.org/10.1016/j.ssi.2019.05.020")</f>
        <v>http://dx.doi.org/10.1016/j.ssi.2019.05.020</v>
      </c>
      <c r="BG666" t="s">
        <v>74</v>
      </c>
      <c r="BH666" t="s">
        <v>74</v>
      </c>
      <c r="BI666" t="s">
        <v>74</v>
      </c>
      <c r="BJ666" t="s">
        <v>74</v>
      </c>
      <c r="BK666" t="s">
        <v>74</v>
      </c>
      <c r="BL666" t="s">
        <v>74</v>
      </c>
      <c r="BM666" t="s">
        <v>74</v>
      </c>
      <c r="BN666" t="s">
        <v>74</v>
      </c>
      <c r="BO666" t="s">
        <v>74</v>
      </c>
      <c r="BP666" t="s">
        <v>74</v>
      </c>
      <c r="BQ666" t="s">
        <v>74</v>
      </c>
      <c r="BR666" t="s">
        <v>74</v>
      </c>
      <c r="BS666" t="s">
        <v>5837</v>
      </c>
      <c r="BT666" t="str">
        <f>HYPERLINK("https%3A%2F%2Fwww.webofscience.com%2Fwos%2Fwoscc%2Ffull-record%2FWOS:000493213000009","View Full Record in Web of Science")</f>
        <v>View Full Record in Web of Science</v>
      </c>
    </row>
    <row r="667" spans="1:72" x14ac:dyDescent="0.2">
      <c r="A667" t="s">
        <v>72</v>
      </c>
      <c r="B667" t="s">
        <v>5838</v>
      </c>
      <c r="C667" t="s">
        <v>74</v>
      </c>
      <c r="D667" t="s">
        <v>74</v>
      </c>
      <c r="E667" t="s">
        <v>74</v>
      </c>
      <c r="F667" t="s">
        <v>5839</v>
      </c>
      <c r="G667" t="s">
        <v>74</v>
      </c>
      <c r="H667" t="s">
        <v>74</v>
      </c>
      <c r="I667" t="s">
        <v>5840</v>
      </c>
      <c r="J667" t="s">
        <v>422</v>
      </c>
      <c r="K667" t="s">
        <v>74</v>
      </c>
      <c r="L667" t="s">
        <v>74</v>
      </c>
      <c r="M667" t="s">
        <v>74</v>
      </c>
      <c r="N667" t="s">
        <v>74</v>
      </c>
      <c r="O667" t="s">
        <v>74</v>
      </c>
      <c r="P667" t="s">
        <v>74</v>
      </c>
      <c r="Q667" t="s">
        <v>74</v>
      </c>
      <c r="R667" t="s">
        <v>74</v>
      </c>
      <c r="S667" t="s">
        <v>74</v>
      </c>
      <c r="T667" t="s">
        <v>74</v>
      </c>
      <c r="U667" t="s">
        <v>74</v>
      </c>
      <c r="V667" t="s">
        <v>5841</v>
      </c>
      <c r="W667" t="s">
        <v>74</v>
      </c>
      <c r="X667" t="s">
        <v>74</v>
      </c>
      <c r="Y667" t="s">
        <v>74</v>
      </c>
      <c r="Z667" t="s">
        <v>74</v>
      </c>
      <c r="AA667" t="s">
        <v>5842</v>
      </c>
      <c r="AB667" t="s">
        <v>5843</v>
      </c>
      <c r="AC667" t="s">
        <v>74</v>
      </c>
      <c r="AD667" t="s">
        <v>74</v>
      </c>
      <c r="AE667" t="s">
        <v>74</v>
      </c>
      <c r="AF667" t="s">
        <v>74</v>
      </c>
      <c r="AG667" t="s">
        <v>74</v>
      </c>
      <c r="AH667" t="s">
        <v>74</v>
      </c>
      <c r="AI667" t="s">
        <v>74</v>
      </c>
      <c r="AJ667" t="s">
        <v>74</v>
      </c>
      <c r="AK667" t="s">
        <v>74</v>
      </c>
      <c r="AL667" t="s">
        <v>74</v>
      </c>
      <c r="AM667" t="s">
        <v>74</v>
      </c>
      <c r="AN667" t="s">
        <v>74</v>
      </c>
      <c r="AO667" t="s">
        <v>426</v>
      </c>
      <c r="AP667" t="s">
        <v>74</v>
      </c>
      <c r="AQ667" t="s">
        <v>74</v>
      </c>
      <c r="AR667" t="s">
        <v>74</v>
      </c>
      <c r="AS667" t="s">
        <v>74</v>
      </c>
      <c r="AT667" t="s">
        <v>113</v>
      </c>
      <c r="AU667">
        <v>2019</v>
      </c>
      <c r="AV667">
        <v>2</v>
      </c>
      <c r="AW667">
        <v>10</v>
      </c>
      <c r="AX667" t="s">
        <v>74</v>
      </c>
      <c r="AY667" t="s">
        <v>74</v>
      </c>
      <c r="AZ667" t="s">
        <v>74</v>
      </c>
      <c r="BA667" t="s">
        <v>74</v>
      </c>
      <c r="BB667">
        <v>7438</v>
      </c>
      <c r="BC667">
        <v>7448</v>
      </c>
      <c r="BD667" t="s">
        <v>74</v>
      </c>
      <c r="BE667" t="s">
        <v>5844</v>
      </c>
      <c r="BF667" t="str">
        <f>HYPERLINK("http://dx.doi.org/10.1021/acsaem.9b01431","http://dx.doi.org/10.1021/acsaem.9b01431")</f>
        <v>http://dx.doi.org/10.1021/acsaem.9b01431</v>
      </c>
      <c r="BG667" t="s">
        <v>74</v>
      </c>
      <c r="BH667" t="s">
        <v>74</v>
      </c>
      <c r="BI667" t="s">
        <v>74</v>
      </c>
      <c r="BJ667" t="s">
        <v>74</v>
      </c>
      <c r="BK667" t="s">
        <v>74</v>
      </c>
      <c r="BL667" t="s">
        <v>74</v>
      </c>
      <c r="BM667" t="s">
        <v>74</v>
      </c>
      <c r="BN667" t="s">
        <v>74</v>
      </c>
      <c r="BO667" t="s">
        <v>74</v>
      </c>
      <c r="BP667" t="s">
        <v>74</v>
      </c>
      <c r="BQ667" t="s">
        <v>74</v>
      </c>
      <c r="BR667" t="s">
        <v>74</v>
      </c>
      <c r="BS667" t="s">
        <v>5845</v>
      </c>
      <c r="BT667" t="str">
        <f>HYPERLINK("https%3A%2F%2Fwww.webofscience.com%2Fwos%2Fwoscc%2Ffull-record%2FWOS:000502688800053","View Full Record in Web of Science")</f>
        <v>View Full Record in Web of Science</v>
      </c>
    </row>
    <row r="668" spans="1:72" x14ac:dyDescent="0.2">
      <c r="A668" t="s">
        <v>72</v>
      </c>
      <c r="B668" t="s">
        <v>5846</v>
      </c>
      <c r="C668" t="s">
        <v>74</v>
      </c>
      <c r="D668" t="s">
        <v>74</v>
      </c>
      <c r="E668" t="s">
        <v>74</v>
      </c>
      <c r="F668" t="s">
        <v>5847</v>
      </c>
      <c r="G668" t="s">
        <v>74</v>
      </c>
      <c r="H668" t="s">
        <v>74</v>
      </c>
      <c r="I668" t="s">
        <v>5848</v>
      </c>
      <c r="J668" t="s">
        <v>98</v>
      </c>
      <c r="K668" t="s">
        <v>74</v>
      </c>
      <c r="L668" t="s">
        <v>74</v>
      </c>
      <c r="M668" t="s">
        <v>74</v>
      </c>
      <c r="N668" t="s">
        <v>74</v>
      </c>
      <c r="O668" t="s">
        <v>74</v>
      </c>
      <c r="P668" t="s">
        <v>74</v>
      </c>
      <c r="Q668" t="s">
        <v>74</v>
      </c>
      <c r="R668" t="s">
        <v>74</v>
      </c>
      <c r="S668" t="s">
        <v>74</v>
      </c>
      <c r="T668" t="s">
        <v>74</v>
      </c>
      <c r="U668" t="s">
        <v>74</v>
      </c>
      <c r="V668" t="s">
        <v>5849</v>
      </c>
      <c r="W668" t="s">
        <v>74</v>
      </c>
      <c r="X668" t="s">
        <v>74</v>
      </c>
      <c r="Y668" t="s">
        <v>74</v>
      </c>
      <c r="Z668" t="s">
        <v>74</v>
      </c>
      <c r="AA668" t="s">
        <v>5850</v>
      </c>
      <c r="AB668" t="s">
        <v>5851</v>
      </c>
      <c r="AC668" t="s">
        <v>74</v>
      </c>
      <c r="AD668" t="s">
        <v>74</v>
      </c>
      <c r="AE668" t="s">
        <v>74</v>
      </c>
      <c r="AF668" t="s">
        <v>74</v>
      </c>
      <c r="AG668" t="s">
        <v>74</v>
      </c>
      <c r="AH668" t="s">
        <v>74</v>
      </c>
      <c r="AI668" t="s">
        <v>74</v>
      </c>
      <c r="AJ668" t="s">
        <v>74</v>
      </c>
      <c r="AK668" t="s">
        <v>74</v>
      </c>
      <c r="AL668" t="s">
        <v>74</v>
      </c>
      <c r="AM668" t="s">
        <v>74</v>
      </c>
      <c r="AN668" t="s">
        <v>74</v>
      </c>
      <c r="AO668" t="s">
        <v>101</v>
      </c>
      <c r="AP668" t="s">
        <v>102</v>
      </c>
      <c r="AQ668" t="s">
        <v>74</v>
      </c>
      <c r="AR668" t="s">
        <v>74</v>
      </c>
      <c r="AS668" t="s">
        <v>74</v>
      </c>
      <c r="AT668" t="s">
        <v>134</v>
      </c>
      <c r="AU668">
        <v>2019</v>
      </c>
      <c r="AV668">
        <v>436</v>
      </c>
      <c r="AW668" t="s">
        <v>74</v>
      </c>
      <c r="AX668" t="s">
        <v>74</v>
      </c>
      <c r="AY668" t="s">
        <v>74</v>
      </c>
      <c r="AZ668" t="s">
        <v>74</v>
      </c>
      <c r="BA668" t="s">
        <v>74</v>
      </c>
      <c r="BB668" t="s">
        <v>74</v>
      </c>
      <c r="BC668" t="s">
        <v>74</v>
      </c>
      <c r="BD668">
        <v>226845</v>
      </c>
      <c r="BE668" t="s">
        <v>5852</v>
      </c>
      <c r="BF668" t="str">
        <f>HYPERLINK("http://dx.doi.org/10.1016/j.jpowsour.2019.226845","http://dx.doi.org/10.1016/j.jpowsour.2019.226845")</f>
        <v>http://dx.doi.org/10.1016/j.jpowsour.2019.226845</v>
      </c>
      <c r="BG668" t="s">
        <v>74</v>
      </c>
      <c r="BH668" t="s">
        <v>74</v>
      </c>
      <c r="BI668" t="s">
        <v>74</v>
      </c>
      <c r="BJ668" t="s">
        <v>74</v>
      </c>
      <c r="BK668" t="s">
        <v>74</v>
      </c>
      <c r="BL668" t="s">
        <v>74</v>
      </c>
      <c r="BM668" t="s">
        <v>74</v>
      </c>
      <c r="BN668" t="s">
        <v>74</v>
      </c>
      <c r="BO668" t="s">
        <v>74</v>
      </c>
      <c r="BP668" t="s">
        <v>74</v>
      </c>
      <c r="BQ668" t="s">
        <v>74</v>
      </c>
      <c r="BR668" t="s">
        <v>74</v>
      </c>
      <c r="BS668" t="s">
        <v>5853</v>
      </c>
      <c r="BT668" t="str">
        <f>HYPERLINK("https%3A%2F%2Fwww.webofscience.com%2Fwos%2Fwoscc%2Ffull-record%2FWOS:000483408400013","View Full Record in Web of Science")</f>
        <v>View Full Record in Web of Science</v>
      </c>
    </row>
    <row r="669" spans="1:72" x14ac:dyDescent="0.2">
      <c r="A669" t="s">
        <v>72</v>
      </c>
      <c r="B669" t="s">
        <v>5854</v>
      </c>
      <c r="C669" t="s">
        <v>74</v>
      </c>
      <c r="D669" t="s">
        <v>74</v>
      </c>
      <c r="E669" t="s">
        <v>74</v>
      </c>
      <c r="F669" t="s">
        <v>5855</v>
      </c>
      <c r="G669" t="s">
        <v>74</v>
      </c>
      <c r="H669" t="s">
        <v>74</v>
      </c>
      <c r="I669" t="s">
        <v>5856</v>
      </c>
      <c r="J669" t="s">
        <v>433</v>
      </c>
      <c r="K669" t="s">
        <v>74</v>
      </c>
      <c r="L669" t="s">
        <v>74</v>
      </c>
      <c r="M669" t="s">
        <v>74</v>
      </c>
      <c r="N669" t="s">
        <v>74</v>
      </c>
      <c r="O669" t="s">
        <v>74</v>
      </c>
      <c r="P669" t="s">
        <v>74</v>
      </c>
      <c r="Q669" t="s">
        <v>74</v>
      </c>
      <c r="R669" t="s">
        <v>74</v>
      </c>
      <c r="S669" t="s">
        <v>74</v>
      </c>
      <c r="T669" t="s">
        <v>74</v>
      </c>
      <c r="U669" t="s">
        <v>74</v>
      </c>
      <c r="V669" t="s">
        <v>5857</v>
      </c>
      <c r="W669" t="s">
        <v>74</v>
      </c>
      <c r="X669" t="s">
        <v>74</v>
      </c>
      <c r="Y669" t="s">
        <v>74</v>
      </c>
      <c r="Z669" t="s">
        <v>74</v>
      </c>
      <c r="AA669" t="s">
        <v>5858</v>
      </c>
      <c r="AB669" t="s">
        <v>5859</v>
      </c>
      <c r="AC669" t="s">
        <v>74</v>
      </c>
      <c r="AD669" t="s">
        <v>74</v>
      </c>
      <c r="AE669" t="s">
        <v>74</v>
      </c>
      <c r="AF669" t="s">
        <v>74</v>
      </c>
      <c r="AG669" t="s">
        <v>74</v>
      </c>
      <c r="AH669" t="s">
        <v>74</v>
      </c>
      <c r="AI669" t="s">
        <v>74</v>
      </c>
      <c r="AJ669" t="s">
        <v>74</v>
      </c>
      <c r="AK669" t="s">
        <v>74</v>
      </c>
      <c r="AL669" t="s">
        <v>74</v>
      </c>
      <c r="AM669" t="s">
        <v>74</v>
      </c>
      <c r="AN669" t="s">
        <v>74</v>
      </c>
      <c r="AO669" t="s">
        <v>435</v>
      </c>
      <c r="AP669" t="s">
        <v>436</v>
      </c>
      <c r="AQ669" t="s">
        <v>74</v>
      </c>
      <c r="AR669" t="s">
        <v>74</v>
      </c>
      <c r="AS669" t="s">
        <v>74</v>
      </c>
      <c r="AT669" t="s">
        <v>144</v>
      </c>
      <c r="AU669">
        <v>2019</v>
      </c>
      <c r="AV669">
        <v>803</v>
      </c>
      <c r="AW669" t="s">
        <v>74</v>
      </c>
      <c r="AX669" t="s">
        <v>74</v>
      </c>
      <c r="AY669" t="s">
        <v>74</v>
      </c>
      <c r="AZ669" t="s">
        <v>74</v>
      </c>
      <c r="BA669" t="s">
        <v>74</v>
      </c>
      <c r="BB669">
        <v>1075</v>
      </c>
      <c r="BC669">
        <v>1081</v>
      </c>
      <c r="BD669" t="s">
        <v>74</v>
      </c>
      <c r="BE669" t="s">
        <v>5860</v>
      </c>
      <c r="BF669" t="str">
        <f>HYPERLINK("http://dx.doi.org/10.1016/j.jallcom.2019.06.321","http://dx.doi.org/10.1016/j.jallcom.2019.06.321")</f>
        <v>http://dx.doi.org/10.1016/j.jallcom.2019.06.321</v>
      </c>
      <c r="BG669" t="s">
        <v>74</v>
      </c>
      <c r="BH669" t="s">
        <v>74</v>
      </c>
      <c r="BI669" t="s">
        <v>74</v>
      </c>
      <c r="BJ669" t="s">
        <v>74</v>
      </c>
      <c r="BK669" t="s">
        <v>74</v>
      </c>
      <c r="BL669" t="s">
        <v>74</v>
      </c>
      <c r="BM669" t="s">
        <v>74</v>
      </c>
      <c r="BN669" t="s">
        <v>74</v>
      </c>
      <c r="BO669" t="s">
        <v>74</v>
      </c>
      <c r="BP669" t="s">
        <v>74</v>
      </c>
      <c r="BQ669" t="s">
        <v>74</v>
      </c>
      <c r="BR669" t="s">
        <v>74</v>
      </c>
      <c r="BS669" t="s">
        <v>5861</v>
      </c>
      <c r="BT669" t="str">
        <f>HYPERLINK("https%3A%2F%2Fwww.webofscience.com%2Fwos%2Fwoscc%2Ffull-record%2FWOS:000476464900125","View Full Record in Web of Science")</f>
        <v>View Full Record in Web of Science</v>
      </c>
    </row>
    <row r="670" spans="1:72" x14ac:dyDescent="0.2">
      <c r="A670" t="s">
        <v>72</v>
      </c>
      <c r="B670" t="s">
        <v>5862</v>
      </c>
      <c r="C670" t="s">
        <v>74</v>
      </c>
      <c r="D670" t="s">
        <v>74</v>
      </c>
      <c r="E670" t="s">
        <v>74</v>
      </c>
      <c r="F670" t="s">
        <v>5863</v>
      </c>
      <c r="G670" t="s">
        <v>74</v>
      </c>
      <c r="H670" t="s">
        <v>74</v>
      </c>
      <c r="I670" t="s">
        <v>5864</v>
      </c>
      <c r="J670" t="s">
        <v>98</v>
      </c>
      <c r="K670" t="s">
        <v>74</v>
      </c>
      <c r="L670" t="s">
        <v>74</v>
      </c>
      <c r="M670" t="s">
        <v>74</v>
      </c>
      <c r="N670" t="s">
        <v>74</v>
      </c>
      <c r="O670" t="s">
        <v>74</v>
      </c>
      <c r="P670" t="s">
        <v>74</v>
      </c>
      <c r="Q670" t="s">
        <v>74</v>
      </c>
      <c r="R670" t="s">
        <v>74</v>
      </c>
      <c r="S670" t="s">
        <v>74</v>
      </c>
      <c r="T670" t="s">
        <v>74</v>
      </c>
      <c r="U670" t="s">
        <v>74</v>
      </c>
      <c r="V670" t="s">
        <v>5865</v>
      </c>
      <c r="W670" t="s">
        <v>74</v>
      </c>
      <c r="X670" t="s">
        <v>74</v>
      </c>
      <c r="Y670" t="s">
        <v>74</v>
      </c>
      <c r="Z670" t="s">
        <v>74</v>
      </c>
      <c r="AA670" t="s">
        <v>5866</v>
      </c>
      <c r="AB670" t="s">
        <v>5867</v>
      </c>
      <c r="AC670" t="s">
        <v>74</v>
      </c>
      <c r="AD670" t="s">
        <v>74</v>
      </c>
      <c r="AE670" t="s">
        <v>74</v>
      </c>
      <c r="AF670" t="s">
        <v>74</v>
      </c>
      <c r="AG670" t="s">
        <v>74</v>
      </c>
      <c r="AH670" t="s">
        <v>74</v>
      </c>
      <c r="AI670" t="s">
        <v>74</v>
      </c>
      <c r="AJ670" t="s">
        <v>74</v>
      </c>
      <c r="AK670" t="s">
        <v>74</v>
      </c>
      <c r="AL670" t="s">
        <v>74</v>
      </c>
      <c r="AM670" t="s">
        <v>74</v>
      </c>
      <c r="AN670" t="s">
        <v>74</v>
      </c>
      <c r="AO670" t="s">
        <v>101</v>
      </c>
      <c r="AP670" t="s">
        <v>102</v>
      </c>
      <c r="AQ670" t="s">
        <v>74</v>
      </c>
      <c r="AR670" t="s">
        <v>74</v>
      </c>
      <c r="AS670" t="s">
        <v>74</v>
      </c>
      <c r="AT670" t="s">
        <v>144</v>
      </c>
      <c r="AU670">
        <v>2019</v>
      </c>
      <c r="AV670">
        <v>435</v>
      </c>
      <c r="AW670" t="s">
        <v>74</v>
      </c>
      <c r="AX670" t="s">
        <v>74</v>
      </c>
      <c r="AY670" t="s">
        <v>74</v>
      </c>
      <c r="AZ670" t="s">
        <v>74</v>
      </c>
      <c r="BA670" t="s">
        <v>74</v>
      </c>
      <c r="BB670" t="s">
        <v>74</v>
      </c>
      <c r="BC670" t="s">
        <v>74</v>
      </c>
      <c r="BD670">
        <v>226736</v>
      </c>
      <c r="BE670" t="s">
        <v>5868</v>
      </c>
      <c r="BF670" t="str">
        <f>HYPERLINK("http://dx.doi.org/10.1016/j.jpowsour.2019.226736","http://dx.doi.org/10.1016/j.jpowsour.2019.226736")</f>
        <v>http://dx.doi.org/10.1016/j.jpowsour.2019.226736</v>
      </c>
      <c r="BG670" t="s">
        <v>74</v>
      </c>
      <c r="BH670" t="s">
        <v>74</v>
      </c>
      <c r="BI670" t="s">
        <v>74</v>
      </c>
      <c r="BJ670" t="s">
        <v>74</v>
      </c>
      <c r="BK670" t="s">
        <v>74</v>
      </c>
      <c r="BL670" t="s">
        <v>74</v>
      </c>
      <c r="BM670" t="s">
        <v>74</v>
      </c>
      <c r="BN670" t="s">
        <v>74</v>
      </c>
      <c r="BO670" t="s">
        <v>74</v>
      </c>
      <c r="BP670" t="s">
        <v>74</v>
      </c>
      <c r="BQ670" t="s">
        <v>74</v>
      </c>
      <c r="BR670" t="s">
        <v>74</v>
      </c>
      <c r="BS670" t="s">
        <v>5869</v>
      </c>
      <c r="BT670" t="str">
        <f>HYPERLINK("https%3A%2F%2Fwww.webofscience.com%2Fwos%2Fwoscc%2Ffull-record%2FWOS:000482496300010","View Full Record in Web of Science")</f>
        <v>View Full Record in Web of Science</v>
      </c>
    </row>
    <row r="671" spans="1:72" x14ac:dyDescent="0.2">
      <c r="A671" t="s">
        <v>72</v>
      </c>
      <c r="B671" t="s">
        <v>5870</v>
      </c>
      <c r="C671" t="s">
        <v>74</v>
      </c>
      <c r="D671" t="s">
        <v>74</v>
      </c>
      <c r="E671" t="s">
        <v>74</v>
      </c>
      <c r="F671" t="s">
        <v>5871</v>
      </c>
      <c r="G671" t="s">
        <v>74</v>
      </c>
      <c r="H671" t="s">
        <v>74</v>
      </c>
      <c r="I671" t="s">
        <v>5872</v>
      </c>
      <c r="J671" t="s">
        <v>5873</v>
      </c>
      <c r="K671" t="s">
        <v>74</v>
      </c>
      <c r="L671" t="s">
        <v>74</v>
      </c>
      <c r="M671" t="s">
        <v>74</v>
      </c>
      <c r="N671" t="s">
        <v>74</v>
      </c>
      <c r="O671" t="s">
        <v>74</v>
      </c>
      <c r="P671" t="s">
        <v>74</v>
      </c>
      <c r="Q671" t="s">
        <v>74</v>
      </c>
      <c r="R671" t="s">
        <v>74</v>
      </c>
      <c r="S671" t="s">
        <v>74</v>
      </c>
      <c r="T671" t="s">
        <v>74</v>
      </c>
      <c r="U671" t="s">
        <v>74</v>
      </c>
      <c r="V671" t="s">
        <v>5874</v>
      </c>
      <c r="W671" t="s">
        <v>74</v>
      </c>
      <c r="X671" t="s">
        <v>74</v>
      </c>
      <c r="Y671" t="s">
        <v>74</v>
      </c>
      <c r="Z671" t="s">
        <v>74</v>
      </c>
      <c r="AA671" t="s">
        <v>5875</v>
      </c>
      <c r="AB671" t="s">
        <v>5876</v>
      </c>
      <c r="AC671" t="s">
        <v>74</v>
      </c>
      <c r="AD671" t="s">
        <v>74</v>
      </c>
      <c r="AE671" t="s">
        <v>74</v>
      </c>
      <c r="AF671" t="s">
        <v>74</v>
      </c>
      <c r="AG671" t="s">
        <v>74</v>
      </c>
      <c r="AH671" t="s">
        <v>74</v>
      </c>
      <c r="AI671" t="s">
        <v>74</v>
      </c>
      <c r="AJ671" t="s">
        <v>74</v>
      </c>
      <c r="AK671" t="s">
        <v>74</v>
      </c>
      <c r="AL671" t="s">
        <v>74</v>
      </c>
      <c r="AM671" t="s">
        <v>74</v>
      </c>
      <c r="AN671" t="s">
        <v>74</v>
      </c>
      <c r="AO671" t="s">
        <v>5877</v>
      </c>
      <c r="AP671" t="s">
        <v>5878</v>
      </c>
      <c r="AQ671" t="s">
        <v>74</v>
      </c>
      <c r="AR671" t="s">
        <v>74</v>
      </c>
      <c r="AS671" t="s">
        <v>74</v>
      </c>
      <c r="AT671" t="s">
        <v>2748</v>
      </c>
      <c r="AU671">
        <v>2019</v>
      </c>
      <c r="AV671">
        <v>11</v>
      </c>
      <c r="AW671">
        <v>36</v>
      </c>
      <c r="AX671" t="s">
        <v>74</v>
      </c>
      <c r="AY671" t="s">
        <v>74</v>
      </c>
      <c r="AZ671" t="s">
        <v>74</v>
      </c>
      <c r="BA671" t="s">
        <v>74</v>
      </c>
      <c r="BB671">
        <v>17010</v>
      </c>
      <c r="BC671">
        <v>17017</v>
      </c>
      <c r="BD671" t="s">
        <v>74</v>
      </c>
      <c r="BE671" t="s">
        <v>5879</v>
      </c>
      <c r="BF671" t="str">
        <f>HYPERLINK("http://dx.doi.org/10.1039/c9nr04696h","http://dx.doi.org/10.1039/c9nr04696h")</f>
        <v>http://dx.doi.org/10.1039/c9nr04696h</v>
      </c>
      <c r="BG671" t="s">
        <v>74</v>
      </c>
      <c r="BH671" t="s">
        <v>74</v>
      </c>
      <c r="BI671" t="s">
        <v>74</v>
      </c>
      <c r="BJ671" t="s">
        <v>74</v>
      </c>
      <c r="BK671" t="s">
        <v>74</v>
      </c>
      <c r="BL671" t="s">
        <v>74</v>
      </c>
      <c r="BM671" t="s">
        <v>74</v>
      </c>
      <c r="BN671">
        <v>31498345</v>
      </c>
      <c r="BO671" t="s">
        <v>74</v>
      </c>
      <c r="BP671" t="s">
        <v>74</v>
      </c>
      <c r="BQ671" t="s">
        <v>74</v>
      </c>
      <c r="BR671" t="s">
        <v>74</v>
      </c>
      <c r="BS671" t="s">
        <v>5880</v>
      </c>
      <c r="BT671" t="str">
        <f>HYPERLINK("https%3A%2F%2Fwww.webofscience.com%2Fwos%2Fwoscc%2Ffull-record%2FWOS:000496763600032","View Full Record in Web of Science")</f>
        <v>View Full Record in Web of Science</v>
      </c>
    </row>
    <row r="672" spans="1:72" x14ac:dyDescent="0.2">
      <c r="A672" t="s">
        <v>72</v>
      </c>
      <c r="B672" t="s">
        <v>5881</v>
      </c>
      <c r="C672" t="s">
        <v>74</v>
      </c>
      <c r="D672" t="s">
        <v>74</v>
      </c>
      <c r="E672" t="s">
        <v>74</v>
      </c>
      <c r="F672" t="s">
        <v>5882</v>
      </c>
      <c r="G672" t="s">
        <v>74</v>
      </c>
      <c r="H672" t="s">
        <v>74</v>
      </c>
      <c r="I672" t="s">
        <v>5883</v>
      </c>
      <c r="J672" t="s">
        <v>278</v>
      </c>
      <c r="K672" t="s">
        <v>74</v>
      </c>
      <c r="L672" t="s">
        <v>74</v>
      </c>
      <c r="M672" t="s">
        <v>74</v>
      </c>
      <c r="N672" t="s">
        <v>74</v>
      </c>
      <c r="O672" t="s">
        <v>74</v>
      </c>
      <c r="P672" t="s">
        <v>74</v>
      </c>
      <c r="Q672" t="s">
        <v>74</v>
      </c>
      <c r="R672" t="s">
        <v>74</v>
      </c>
      <c r="S672" t="s">
        <v>74</v>
      </c>
      <c r="T672" t="s">
        <v>74</v>
      </c>
      <c r="U672" t="s">
        <v>74</v>
      </c>
      <c r="V672" t="s">
        <v>5884</v>
      </c>
      <c r="W672" t="s">
        <v>74</v>
      </c>
      <c r="X672" t="s">
        <v>74</v>
      </c>
      <c r="Y672" t="s">
        <v>74</v>
      </c>
      <c r="Z672" t="s">
        <v>74</v>
      </c>
      <c r="AA672" t="s">
        <v>5885</v>
      </c>
      <c r="AB672" t="s">
        <v>5886</v>
      </c>
      <c r="AC672" t="s">
        <v>74</v>
      </c>
      <c r="AD672" t="s">
        <v>74</v>
      </c>
      <c r="AE672" t="s">
        <v>74</v>
      </c>
      <c r="AF672" t="s">
        <v>74</v>
      </c>
      <c r="AG672" t="s">
        <v>74</v>
      </c>
      <c r="AH672" t="s">
        <v>74</v>
      </c>
      <c r="AI672" t="s">
        <v>74</v>
      </c>
      <c r="AJ672" t="s">
        <v>74</v>
      </c>
      <c r="AK672" t="s">
        <v>74</v>
      </c>
      <c r="AL672" t="s">
        <v>74</v>
      </c>
      <c r="AM672" t="s">
        <v>74</v>
      </c>
      <c r="AN672" t="s">
        <v>74</v>
      </c>
      <c r="AO672" t="s">
        <v>281</v>
      </c>
      <c r="AP672" t="s">
        <v>282</v>
      </c>
      <c r="AQ672" t="s">
        <v>74</v>
      </c>
      <c r="AR672" t="s">
        <v>74</v>
      </c>
      <c r="AS672" t="s">
        <v>74</v>
      </c>
      <c r="AT672" t="s">
        <v>5887</v>
      </c>
      <c r="AU672">
        <v>2019</v>
      </c>
      <c r="AV672">
        <v>7</v>
      </c>
      <c r="AW672">
        <v>34</v>
      </c>
      <c r="AX672" t="s">
        <v>74</v>
      </c>
      <c r="AY672" t="s">
        <v>74</v>
      </c>
      <c r="AZ672" t="s">
        <v>74</v>
      </c>
      <c r="BA672" t="s">
        <v>74</v>
      </c>
      <c r="BB672">
        <v>19970</v>
      </c>
      <c r="BC672">
        <v>19976</v>
      </c>
      <c r="BD672" t="s">
        <v>74</v>
      </c>
      <c r="BE672" t="s">
        <v>5888</v>
      </c>
      <c r="BF672" t="str">
        <f>HYPERLINK("http://dx.doi.org/10.1039/c9ta07551h","http://dx.doi.org/10.1039/c9ta07551h")</f>
        <v>http://dx.doi.org/10.1039/c9ta07551h</v>
      </c>
      <c r="BG672" t="s">
        <v>74</v>
      </c>
      <c r="BH672" t="s">
        <v>74</v>
      </c>
      <c r="BI672" t="s">
        <v>74</v>
      </c>
      <c r="BJ672" t="s">
        <v>74</v>
      </c>
      <c r="BK672" t="s">
        <v>74</v>
      </c>
      <c r="BL672" t="s">
        <v>74</v>
      </c>
      <c r="BM672" t="s">
        <v>74</v>
      </c>
      <c r="BN672" t="s">
        <v>74</v>
      </c>
      <c r="BO672" t="s">
        <v>74</v>
      </c>
      <c r="BP672" t="s">
        <v>74</v>
      </c>
      <c r="BQ672" t="s">
        <v>74</v>
      </c>
      <c r="BR672" t="s">
        <v>74</v>
      </c>
      <c r="BS672" t="s">
        <v>5889</v>
      </c>
      <c r="BT672" t="str">
        <f>HYPERLINK("https%3A%2F%2Fwww.webofscience.com%2Fwos%2Fwoscc%2Ffull-record%2FWOS:000483565400036","View Full Record in Web of Science")</f>
        <v>View Full Record in Web of Science</v>
      </c>
    </row>
    <row r="673" spans="1:72" x14ac:dyDescent="0.2">
      <c r="A673" t="s">
        <v>72</v>
      </c>
      <c r="B673" t="s">
        <v>5890</v>
      </c>
      <c r="C673" t="s">
        <v>74</v>
      </c>
      <c r="D673" t="s">
        <v>74</v>
      </c>
      <c r="E673" t="s">
        <v>74</v>
      </c>
      <c r="F673" t="s">
        <v>5891</v>
      </c>
      <c r="G673" t="s">
        <v>74</v>
      </c>
      <c r="H673" t="s">
        <v>74</v>
      </c>
      <c r="I673" t="s">
        <v>5892</v>
      </c>
      <c r="J673" t="s">
        <v>5893</v>
      </c>
      <c r="K673" t="s">
        <v>74</v>
      </c>
      <c r="L673" t="s">
        <v>74</v>
      </c>
      <c r="M673" t="s">
        <v>74</v>
      </c>
      <c r="N673" t="s">
        <v>74</v>
      </c>
      <c r="O673" t="s">
        <v>74</v>
      </c>
      <c r="P673" t="s">
        <v>74</v>
      </c>
      <c r="Q673" t="s">
        <v>74</v>
      </c>
      <c r="R673" t="s">
        <v>74</v>
      </c>
      <c r="S673" t="s">
        <v>74</v>
      </c>
      <c r="T673" t="s">
        <v>74</v>
      </c>
      <c r="U673" t="s">
        <v>74</v>
      </c>
      <c r="V673" t="s">
        <v>5894</v>
      </c>
      <c r="W673" t="s">
        <v>74</v>
      </c>
      <c r="X673" t="s">
        <v>74</v>
      </c>
      <c r="Y673" t="s">
        <v>74</v>
      </c>
      <c r="Z673" t="s">
        <v>74</v>
      </c>
      <c r="AA673" t="s">
        <v>74</v>
      </c>
      <c r="AB673" t="s">
        <v>5895</v>
      </c>
      <c r="AC673" t="s">
        <v>74</v>
      </c>
      <c r="AD673" t="s">
        <v>74</v>
      </c>
      <c r="AE673" t="s">
        <v>74</v>
      </c>
      <c r="AF673" t="s">
        <v>74</v>
      </c>
      <c r="AG673" t="s">
        <v>74</v>
      </c>
      <c r="AH673" t="s">
        <v>74</v>
      </c>
      <c r="AI673" t="s">
        <v>74</v>
      </c>
      <c r="AJ673" t="s">
        <v>74</v>
      </c>
      <c r="AK673" t="s">
        <v>74</v>
      </c>
      <c r="AL673" t="s">
        <v>74</v>
      </c>
      <c r="AM673" t="s">
        <v>74</v>
      </c>
      <c r="AN673" t="s">
        <v>74</v>
      </c>
      <c r="AO673" t="s">
        <v>5896</v>
      </c>
      <c r="AP673" t="s">
        <v>5897</v>
      </c>
      <c r="AQ673" t="s">
        <v>74</v>
      </c>
      <c r="AR673" t="s">
        <v>74</v>
      </c>
      <c r="AS673" t="s">
        <v>74</v>
      </c>
      <c r="AT673" t="s">
        <v>155</v>
      </c>
      <c r="AU673">
        <v>2019</v>
      </c>
      <c r="AV673">
        <v>27</v>
      </c>
      <c r="AW673">
        <v>7</v>
      </c>
      <c r="AX673" t="s">
        <v>74</v>
      </c>
      <c r="AY673" t="s">
        <v>74</v>
      </c>
      <c r="AZ673" t="s">
        <v>74</v>
      </c>
      <c r="BA673" t="s">
        <v>74</v>
      </c>
      <c r="BB673">
        <v>419</v>
      </c>
      <c r="BC673">
        <v>428</v>
      </c>
      <c r="BD673" t="s">
        <v>74</v>
      </c>
      <c r="BE673" t="s">
        <v>5898</v>
      </c>
      <c r="BF673" t="str">
        <f>HYPERLINK("http://dx.doi.org/10.1177/0967391119848531","http://dx.doi.org/10.1177/0967391119848531")</f>
        <v>http://dx.doi.org/10.1177/0967391119848531</v>
      </c>
      <c r="BG673" t="s">
        <v>74</v>
      </c>
      <c r="BH673" t="s">
        <v>74</v>
      </c>
      <c r="BI673" t="s">
        <v>74</v>
      </c>
      <c r="BJ673" t="s">
        <v>74</v>
      </c>
      <c r="BK673" t="s">
        <v>74</v>
      </c>
      <c r="BL673" t="s">
        <v>74</v>
      </c>
      <c r="BM673" t="s">
        <v>74</v>
      </c>
      <c r="BN673" t="s">
        <v>74</v>
      </c>
      <c r="BO673" t="s">
        <v>74</v>
      </c>
      <c r="BP673" t="s">
        <v>74</v>
      </c>
      <c r="BQ673" t="s">
        <v>74</v>
      </c>
      <c r="BR673" t="s">
        <v>74</v>
      </c>
      <c r="BS673" t="s">
        <v>5899</v>
      </c>
      <c r="BT673" t="str">
        <f>HYPERLINK("https%3A%2F%2Fwww.webofscience.com%2Fwos%2Fwoscc%2Ffull-record%2FWOS:000481806700006","View Full Record in Web of Science")</f>
        <v>View Full Record in Web of Science</v>
      </c>
    </row>
    <row r="674" spans="1:72" x14ac:dyDescent="0.2">
      <c r="A674" t="s">
        <v>72</v>
      </c>
      <c r="B674" t="s">
        <v>5900</v>
      </c>
      <c r="C674" t="s">
        <v>74</v>
      </c>
      <c r="D674" t="s">
        <v>74</v>
      </c>
      <c r="E674" t="s">
        <v>74</v>
      </c>
      <c r="F674" t="s">
        <v>5901</v>
      </c>
      <c r="G674" t="s">
        <v>74</v>
      </c>
      <c r="H674" t="s">
        <v>74</v>
      </c>
      <c r="I674" t="s">
        <v>5902</v>
      </c>
      <c r="J674" t="s">
        <v>5903</v>
      </c>
      <c r="K674" t="s">
        <v>74</v>
      </c>
      <c r="L674" t="s">
        <v>74</v>
      </c>
      <c r="M674" t="s">
        <v>74</v>
      </c>
      <c r="N674" t="s">
        <v>74</v>
      </c>
      <c r="O674" t="s">
        <v>74</v>
      </c>
      <c r="P674" t="s">
        <v>74</v>
      </c>
      <c r="Q674" t="s">
        <v>74</v>
      </c>
      <c r="R674" t="s">
        <v>74</v>
      </c>
      <c r="S674" t="s">
        <v>74</v>
      </c>
      <c r="T674" t="s">
        <v>74</v>
      </c>
      <c r="U674" t="s">
        <v>74</v>
      </c>
      <c r="V674" t="s">
        <v>5904</v>
      </c>
      <c r="W674" t="s">
        <v>74</v>
      </c>
      <c r="X674" t="s">
        <v>74</v>
      </c>
      <c r="Y674" t="s">
        <v>74</v>
      </c>
      <c r="Z674" t="s">
        <v>74</v>
      </c>
      <c r="AA674" t="s">
        <v>5905</v>
      </c>
      <c r="AB674" t="s">
        <v>5906</v>
      </c>
      <c r="AC674" t="s">
        <v>74</v>
      </c>
      <c r="AD674" t="s">
        <v>74</v>
      </c>
      <c r="AE674" t="s">
        <v>74</v>
      </c>
      <c r="AF674" t="s">
        <v>74</v>
      </c>
      <c r="AG674" t="s">
        <v>74</v>
      </c>
      <c r="AH674" t="s">
        <v>74</v>
      </c>
      <c r="AI674" t="s">
        <v>74</v>
      </c>
      <c r="AJ674" t="s">
        <v>74</v>
      </c>
      <c r="AK674" t="s">
        <v>74</v>
      </c>
      <c r="AL674" t="s">
        <v>74</v>
      </c>
      <c r="AM674" t="s">
        <v>74</v>
      </c>
      <c r="AN674" t="s">
        <v>74</v>
      </c>
      <c r="AO674" t="s">
        <v>5907</v>
      </c>
      <c r="AP674" t="s">
        <v>74</v>
      </c>
      <c r="AQ674" t="s">
        <v>74</v>
      </c>
      <c r="AR674" t="s">
        <v>74</v>
      </c>
      <c r="AS674" t="s">
        <v>74</v>
      </c>
      <c r="AT674" t="s">
        <v>155</v>
      </c>
      <c r="AU674">
        <v>2019</v>
      </c>
      <c r="AV674">
        <v>6</v>
      </c>
      <c r="AW674">
        <v>9</v>
      </c>
      <c r="AX674" t="s">
        <v>74</v>
      </c>
      <c r="AY674" t="s">
        <v>74</v>
      </c>
      <c r="AZ674" t="s">
        <v>74</v>
      </c>
      <c r="BA674" t="s">
        <v>74</v>
      </c>
      <c r="BB674" t="s">
        <v>74</v>
      </c>
      <c r="BC674" t="s">
        <v>74</v>
      </c>
      <c r="BD674">
        <v>92003</v>
      </c>
      <c r="BE674" t="s">
        <v>5908</v>
      </c>
      <c r="BF674" t="str">
        <f>HYPERLINK("http://dx.doi.org/10.1088/2053-1591/ab1aea","http://dx.doi.org/10.1088/2053-1591/ab1aea")</f>
        <v>http://dx.doi.org/10.1088/2053-1591/ab1aea</v>
      </c>
      <c r="BG674" t="s">
        <v>74</v>
      </c>
      <c r="BH674" t="s">
        <v>74</v>
      </c>
      <c r="BI674" t="s">
        <v>74</v>
      </c>
      <c r="BJ674" t="s">
        <v>74</v>
      </c>
      <c r="BK674" t="s">
        <v>74</v>
      </c>
      <c r="BL674" t="s">
        <v>74</v>
      </c>
      <c r="BM674" t="s">
        <v>74</v>
      </c>
      <c r="BN674" t="s">
        <v>74</v>
      </c>
      <c r="BO674" t="s">
        <v>74</v>
      </c>
      <c r="BP674" t="s">
        <v>74</v>
      </c>
      <c r="BQ674" t="s">
        <v>74</v>
      </c>
      <c r="BR674" t="s">
        <v>74</v>
      </c>
      <c r="BS674" t="s">
        <v>5909</v>
      </c>
      <c r="BT674" t="str">
        <f>HYPERLINK("https%3A%2F%2Fwww.webofscience.com%2Fwos%2Fwoscc%2Ffull-record%2FWOS:000478815600001","View Full Record in Web of Science")</f>
        <v>View Full Record in Web of Science</v>
      </c>
    </row>
    <row r="675" spans="1:72" x14ac:dyDescent="0.2">
      <c r="A675" t="s">
        <v>72</v>
      </c>
      <c r="B675" t="s">
        <v>5910</v>
      </c>
      <c r="C675" t="s">
        <v>74</v>
      </c>
      <c r="D675" t="s">
        <v>74</v>
      </c>
      <c r="E675" t="s">
        <v>74</v>
      </c>
      <c r="F675" t="s">
        <v>5911</v>
      </c>
      <c r="G675" t="s">
        <v>74</v>
      </c>
      <c r="H675" t="s">
        <v>74</v>
      </c>
      <c r="I675" t="s">
        <v>5912</v>
      </c>
      <c r="J675" t="s">
        <v>5913</v>
      </c>
      <c r="K675" t="s">
        <v>74</v>
      </c>
      <c r="L675" t="s">
        <v>74</v>
      </c>
      <c r="M675" t="s">
        <v>74</v>
      </c>
      <c r="N675" t="s">
        <v>74</v>
      </c>
      <c r="O675" t="s">
        <v>74</v>
      </c>
      <c r="P675" t="s">
        <v>74</v>
      </c>
      <c r="Q675" t="s">
        <v>74</v>
      </c>
      <c r="R675" t="s">
        <v>74</v>
      </c>
      <c r="S675" t="s">
        <v>74</v>
      </c>
      <c r="T675" t="s">
        <v>74</v>
      </c>
      <c r="U675" t="s">
        <v>74</v>
      </c>
      <c r="V675" t="s">
        <v>5914</v>
      </c>
      <c r="W675" t="s">
        <v>74</v>
      </c>
      <c r="X675" t="s">
        <v>74</v>
      </c>
      <c r="Y675" t="s">
        <v>74</v>
      </c>
      <c r="Z675" t="s">
        <v>74</v>
      </c>
      <c r="AA675" t="s">
        <v>74</v>
      </c>
      <c r="AB675" t="s">
        <v>74</v>
      </c>
      <c r="AC675" t="s">
        <v>74</v>
      </c>
      <c r="AD675" t="s">
        <v>74</v>
      </c>
      <c r="AE675" t="s">
        <v>74</v>
      </c>
      <c r="AF675" t="s">
        <v>74</v>
      </c>
      <c r="AG675" t="s">
        <v>74</v>
      </c>
      <c r="AH675" t="s">
        <v>74</v>
      </c>
      <c r="AI675" t="s">
        <v>74</v>
      </c>
      <c r="AJ675" t="s">
        <v>74</v>
      </c>
      <c r="AK675" t="s">
        <v>74</v>
      </c>
      <c r="AL675" t="s">
        <v>74</v>
      </c>
      <c r="AM675" t="s">
        <v>74</v>
      </c>
      <c r="AN675" t="s">
        <v>74</v>
      </c>
      <c r="AO675" t="s">
        <v>5915</v>
      </c>
      <c r="AP675" t="s">
        <v>74</v>
      </c>
      <c r="AQ675" t="s">
        <v>74</v>
      </c>
      <c r="AR675" t="s">
        <v>74</v>
      </c>
      <c r="AS675" t="s">
        <v>74</v>
      </c>
      <c r="AT675" t="s">
        <v>1919</v>
      </c>
      <c r="AU675">
        <v>2019</v>
      </c>
      <c r="AV675">
        <v>685</v>
      </c>
      <c r="AW675" t="s">
        <v>74</v>
      </c>
      <c r="AX675" t="s">
        <v>74</v>
      </c>
      <c r="AY675" t="s">
        <v>74</v>
      </c>
      <c r="AZ675" t="s">
        <v>74</v>
      </c>
      <c r="BA675" t="s">
        <v>74</v>
      </c>
      <c r="BB675">
        <v>434</v>
      </c>
      <c r="BC675">
        <v>439</v>
      </c>
      <c r="BD675" t="s">
        <v>74</v>
      </c>
      <c r="BE675" t="s">
        <v>5916</v>
      </c>
      <c r="BF675" t="str">
        <f>HYPERLINK("http://dx.doi.org/10.1016/j.tsf.2019.06.055","http://dx.doi.org/10.1016/j.tsf.2019.06.055")</f>
        <v>http://dx.doi.org/10.1016/j.tsf.2019.06.055</v>
      </c>
      <c r="BG675" t="s">
        <v>74</v>
      </c>
      <c r="BH675" t="s">
        <v>74</v>
      </c>
      <c r="BI675" t="s">
        <v>74</v>
      </c>
      <c r="BJ675" t="s">
        <v>74</v>
      </c>
      <c r="BK675" t="s">
        <v>74</v>
      </c>
      <c r="BL675" t="s">
        <v>74</v>
      </c>
      <c r="BM675" t="s">
        <v>74</v>
      </c>
      <c r="BN675" t="s">
        <v>74</v>
      </c>
      <c r="BO675" t="s">
        <v>74</v>
      </c>
      <c r="BP675" t="s">
        <v>74</v>
      </c>
      <c r="BQ675" t="s">
        <v>74</v>
      </c>
      <c r="BR675" t="s">
        <v>74</v>
      </c>
      <c r="BS675" t="s">
        <v>5917</v>
      </c>
      <c r="BT675" t="str">
        <f>HYPERLINK("https%3A%2F%2Fwww.webofscience.com%2Fwos%2Fwoscc%2Ffull-record%2FWOS:000476884100059","View Full Record in Web of Science")</f>
        <v>View Full Record in Web of Science</v>
      </c>
    </row>
    <row r="676" spans="1:72" x14ac:dyDescent="0.2">
      <c r="A676" t="s">
        <v>72</v>
      </c>
      <c r="B676" t="s">
        <v>5918</v>
      </c>
      <c r="C676" t="s">
        <v>74</v>
      </c>
      <c r="D676" t="s">
        <v>74</v>
      </c>
      <c r="E676" t="s">
        <v>74</v>
      </c>
      <c r="F676" t="s">
        <v>5919</v>
      </c>
      <c r="G676" t="s">
        <v>74</v>
      </c>
      <c r="H676" t="s">
        <v>74</v>
      </c>
      <c r="I676" t="s">
        <v>5920</v>
      </c>
      <c r="J676" t="s">
        <v>5921</v>
      </c>
      <c r="K676" t="s">
        <v>74</v>
      </c>
      <c r="L676" t="s">
        <v>74</v>
      </c>
      <c r="M676" t="s">
        <v>74</v>
      </c>
      <c r="N676" t="s">
        <v>74</v>
      </c>
      <c r="O676" t="s">
        <v>5922</v>
      </c>
      <c r="P676" t="s">
        <v>5923</v>
      </c>
      <c r="Q676" t="s">
        <v>5924</v>
      </c>
      <c r="R676" t="s">
        <v>5925</v>
      </c>
      <c r="S676" t="s">
        <v>74</v>
      </c>
      <c r="T676" t="s">
        <v>74</v>
      </c>
      <c r="U676" t="s">
        <v>74</v>
      </c>
      <c r="V676" t="s">
        <v>74</v>
      </c>
      <c r="W676" t="s">
        <v>74</v>
      </c>
      <c r="X676" t="s">
        <v>74</v>
      </c>
      <c r="Y676" t="s">
        <v>74</v>
      </c>
      <c r="Z676" t="s">
        <v>74</v>
      </c>
      <c r="AA676" t="s">
        <v>4924</v>
      </c>
      <c r="AB676" t="s">
        <v>74</v>
      </c>
      <c r="AC676" t="s">
        <v>74</v>
      </c>
      <c r="AD676" t="s">
        <v>74</v>
      </c>
      <c r="AE676" t="s">
        <v>74</v>
      </c>
      <c r="AF676" t="s">
        <v>74</v>
      </c>
      <c r="AG676" t="s">
        <v>74</v>
      </c>
      <c r="AH676" t="s">
        <v>74</v>
      </c>
      <c r="AI676" t="s">
        <v>74</v>
      </c>
      <c r="AJ676" t="s">
        <v>74</v>
      </c>
      <c r="AK676" t="s">
        <v>74</v>
      </c>
      <c r="AL676" t="s">
        <v>74</v>
      </c>
      <c r="AM676" t="s">
        <v>74</v>
      </c>
      <c r="AN676" t="s">
        <v>74</v>
      </c>
      <c r="AO676" t="s">
        <v>5926</v>
      </c>
      <c r="AP676" t="s">
        <v>74</v>
      </c>
      <c r="AQ676" t="s">
        <v>74</v>
      </c>
      <c r="AR676" t="s">
        <v>74</v>
      </c>
      <c r="AS676" t="s">
        <v>74</v>
      </c>
      <c r="AT676" t="s">
        <v>5927</v>
      </c>
      <c r="AU676">
        <v>2019</v>
      </c>
      <c r="AV676">
        <v>258</v>
      </c>
      <c r="AW676" t="s">
        <v>74</v>
      </c>
      <c r="AX676" t="s">
        <v>74</v>
      </c>
      <c r="AY676" t="s">
        <v>74</v>
      </c>
      <c r="AZ676" t="s">
        <v>74</v>
      </c>
      <c r="BA676" t="s">
        <v>5928</v>
      </c>
      <c r="BB676" t="s">
        <v>74</v>
      </c>
      <c r="BC676" t="s">
        <v>74</v>
      </c>
      <c r="BD676" t="s">
        <v>74</v>
      </c>
      <c r="BE676" t="s">
        <v>74</v>
      </c>
      <c r="BF676" t="s">
        <v>74</v>
      </c>
      <c r="BG676" t="s">
        <v>74</v>
      </c>
      <c r="BH676" t="s">
        <v>74</v>
      </c>
      <c r="BI676" t="s">
        <v>74</v>
      </c>
      <c r="BJ676" t="s">
        <v>74</v>
      </c>
      <c r="BK676" t="s">
        <v>74</v>
      </c>
      <c r="BL676" t="s">
        <v>74</v>
      </c>
      <c r="BM676" t="s">
        <v>74</v>
      </c>
      <c r="BN676" t="s">
        <v>74</v>
      </c>
      <c r="BO676" t="s">
        <v>74</v>
      </c>
      <c r="BP676" t="s">
        <v>74</v>
      </c>
      <c r="BQ676" t="s">
        <v>74</v>
      </c>
      <c r="BR676" t="s">
        <v>74</v>
      </c>
      <c r="BS676" t="s">
        <v>5929</v>
      </c>
      <c r="BT676" t="str">
        <f>HYPERLINK("https%3A%2F%2Fwww.webofscience.com%2Fwos%2Fwoscc%2Ffull-record%2FWOS:000525055505635","View Full Record in Web of Science")</f>
        <v>View Full Record in Web of Science</v>
      </c>
    </row>
    <row r="677" spans="1:72" x14ac:dyDescent="0.2">
      <c r="A677" t="s">
        <v>72</v>
      </c>
      <c r="B677" t="s">
        <v>5930</v>
      </c>
      <c r="C677" t="s">
        <v>74</v>
      </c>
      <c r="D677" t="s">
        <v>74</v>
      </c>
      <c r="E677" t="s">
        <v>74</v>
      </c>
      <c r="F677" t="s">
        <v>5931</v>
      </c>
      <c r="G677" t="s">
        <v>74</v>
      </c>
      <c r="H677" t="s">
        <v>74</v>
      </c>
      <c r="I677" t="s">
        <v>5932</v>
      </c>
      <c r="J677" t="s">
        <v>278</v>
      </c>
      <c r="K677" t="s">
        <v>74</v>
      </c>
      <c r="L677" t="s">
        <v>74</v>
      </c>
      <c r="M677" t="s">
        <v>74</v>
      </c>
      <c r="N677" t="s">
        <v>74</v>
      </c>
      <c r="O677" t="s">
        <v>74</v>
      </c>
      <c r="P677" t="s">
        <v>74</v>
      </c>
      <c r="Q677" t="s">
        <v>74</v>
      </c>
      <c r="R677" t="s">
        <v>74</v>
      </c>
      <c r="S677" t="s">
        <v>74</v>
      </c>
      <c r="T677" t="s">
        <v>74</v>
      </c>
      <c r="U677" t="s">
        <v>74</v>
      </c>
      <c r="V677" t="s">
        <v>5933</v>
      </c>
      <c r="W677" t="s">
        <v>74</v>
      </c>
      <c r="X677" t="s">
        <v>74</v>
      </c>
      <c r="Y677" t="s">
        <v>74</v>
      </c>
      <c r="Z677" t="s">
        <v>74</v>
      </c>
      <c r="AA677" t="s">
        <v>5934</v>
      </c>
      <c r="AB677" t="s">
        <v>5935</v>
      </c>
      <c r="AC677" t="s">
        <v>74</v>
      </c>
      <c r="AD677" t="s">
        <v>74</v>
      </c>
      <c r="AE677" t="s">
        <v>74</v>
      </c>
      <c r="AF677" t="s">
        <v>74</v>
      </c>
      <c r="AG677" t="s">
        <v>74</v>
      </c>
      <c r="AH677" t="s">
        <v>74</v>
      </c>
      <c r="AI677" t="s">
        <v>74</v>
      </c>
      <c r="AJ677" t="s">
        <v>74</v>
      </c>
      <c r="AK677" t="s">
        <v>74</v>
      </c>
      <c r="AL677" t="s">
        <v>74</v>
      </c>
      <c r="AM677" t="s">
        <v>74</v>
      </c>
      <c r="AN677" t="s">
        <v>74</v>
      </c>
      <c r="AO677" t="s">
        <v>281</v>
      </c>
      <c r="AP677" t="s">
        <v>282</v>
      </c>
      <c r="AQ677" t="s">
        <v>74</v>
      </c>
      <c r="AR677" t="s">
        <v>74</v>
      </c>
      <c r="AS677" t="s">
        <v>74</v>
      </c>
      <c r="AT677" t="s">
        <v>4648</v>
      </c>
      <c r="AU677">
        <v>2019</v>
      </c>
      <c r="AV677">
        <v>7</v>
      </c>
      <c r="AW677">
        <v>31</v>
      </c>
      <c r="AX677" t="s">
        <v>74</v>
      </c>
      <c r="AY677" t="s">
        <v>74</v>
      </c>
      <c r="AZ677" t="s">
        <v>74</v>
      </c>
      <c r="BA677" t="s">
        <v>74</v>
      </c>
      <c r="BB677">
        <v>18547</v>
      </c>
      <c r="BC677">
        <v>18557</v>
      </c>
      <c r="BD677" t="s">
        <v>74</v>
      </c>
      <c r="BE677" t="s">
        <v>5936</v>
      </c>
      <c r="BF677" t="str">
        <f>HYPERLINK("http://dx.doi.org/10.1039/c9ta05938e","http://dx.doi.org/10.1039/c9ta05938e")</f>
        <v>http://dx.doi.org/10.1039/c9ta05938e</v>
      </c>
      <c r="BG677" t="s">
        <v>74</v>
      </c>
      <c r="BH677" t="s">
        <v>74</v>
      </c>
      <c r="BI677" t="s">
        <v>74</v>
      </c>
      <c r="BJ677" t="s">
        <v>74</v>
      </c>
      <c r="BK677" t="s">
        <v>74</v>
      </c>
      <c r="BL677" t="s">
        <v>74</v>
      </c>
      <c r="BM677" t="s">
        <v>74</v>
      </c>
      <c r="BN677" t="s">
        <v>74</v>
      </c>
      <c r="BO677" t="s">
        <v>74</v>
      </c>
      <c r="BP677" t="s">
        <v>74</v>
      </c>
      <c r="BQ677" t="s">
        <v>74</v>
      </c>
      <c r="BR677" t="s">
        <v>74</v>
      </c>
      <c r="BS677" t="s">
        <v>5937</v>
      </c>
      <c r="BT677" t="str">
        <f>HYPERLINK("https%3A%2F%2Fwww.webofscience.com%2Fwos%2Fwoscc%2Ffull-record%2FWOS:000479056700035","View Full Record in Web of Science")</f>
        <v>View Full Record in Web of Science</v>
      </c>
    </row>
    <row r="678" spans="1:72" x14ac:dyDescent="0.2">
      <c r="A678" t="s">
        <v>72</v>
      </c>
      <c r="B678" t="s">
        <v>5938</v>
      </c>
      <c r="C678" t="s">
        <v>74</v>
      </c>
      <c r="D678" t="s">
        <v>74</v>
      </c>
      <c r="E678" t="s">
        <v>74</v>
      </c>
      <c r="F678" t="s">
        <v>5939</v>
      </c>
      <c r="G678" t="s">
        <v>74</v>
      </c>
      <c r="H678" t="s">
        <v>74</v>
      </c>
      <c r="I678" t="s">
        <v>5940</v>
      </c>
      <c r="J678" t="s">
        <v>528</v>
      </c>
      <c r="K678" t="s">
        <v>74</v>
      </c>
      <c r="L678" t="s">
        <v>74</v>
      </c>
      <c r="M678" t="s">
        <v>74</v>
      </c>
      <c r="N678" t="s">
        <v>74</v>
      </c>
      <c r="O678" t="s">
        <v>74</v>
      </c>
      <c r="P678" t="s">
        <v>74</v>
      </c>
      <c r="Q678" t="s">
        <v>74</v>
      </c>
      <c r="R678" t="s">
        <v>74</v>
      </c>
      <c r="S678" t="s">
        <v>74</v>
      </c>
      <c r="T678" t="s">
        <v>74</v>
      </c>
      <c r="U678" t="s">
        <v>74</v>
      </c>
      <c r="V678" t="s">
        <v>5941</v>
      </c>
      <c r="W678" t="s">
        <v>74</v>
      </c>
      <c r="X678" t="s">
        <v>74</v>
      </c>
      <c r="Y678" t="s">
        <v>74</v>
      </c>
      <c r="Z678" t="s">
        <v>74</v>
      </c>
      <c r="AA678" t="s">
        <v>5942</v>
      </c>
      <c r="AB678" t="s">
        <v>74</v>
      </c>
      <c r="AC678" t="s">
        <v>74</v>
      </c>
      <c r="AD678" t="s">
        <v>74</v>
      </c>
      <c r="AE678" t="s">
        <v>74</v>
      </c>
      <c r="AF678" t="s">
        <v>74</v>
      </c>
      <c r="AG678" t="s">
        <v>74</v>
      </c>
      <c r="AH678" t="s">
        <v>74</v>
      </c>
      <c r="AI678" t="s">
        <v>74</v>
      </c>
      <c r="AJ678" t="s">
        <v>74</v>
      </c>
      <c r="AK678" t="s">
        <v>74</v>
      </c>
      <c r="AL678" t="s">
        <v>74</v>
      </c>
      <c r="AM678" t="s">
        <v>74</v>
      </c>
      <c r="AN678" t="s">
        <v>74</v>
      </c>
      <c r="AO678" t="s">
        <v>532</v>
      </c>
      <c r="AP678" t="s">
        <v>533</v>
      </c>
      <c r="AQ678" t="s">
        <v>74</v>
      </c>
      <c r="AR678" t="s">
        <v>74</v>
      </c>
      <c r="AS678" t="s">
        <v>74</v>
      </c>
      <c r="AT678" t="s">
        <v>5943</v>
      </c>
      <c r="AU678">
        <v>2019</v>
      </c>
      <c r="AV678">
        <v>11</v>
      </c>
      <c r="AW678">
        <v>32</v>
      </c>
      <c r="AX678" t="s">
        <v>74</v>
      </c>
      <c r="AY678" t="s">
        <v>74</v>
      </c>
      <c r="AZ678" t="s">
        <v>74</v>
      </c>
      <c r="BA678" t="s">
        <v>74</v>
      </c>
      <c r="BB678">
        <v>28830</v>
      </c>
      <c r="BC678">
        <v>28840</v>
      </c>
      <c r="BD678" t="s">
        <v>74</v>
      </c>
      <c r="BE678" t="s">
        <v>5944</v>
      </c>
      <c r="BF678" t="str">
        <f>HYPERLINK("http://dx.doi.org/10.1021/acsami.9b07219","http://dx.doi.org/10.1021/acsami.9b07219")</f>
        <v>http://dx.doi.org/10.1021/acsami.9b07219</v>
      </c>
      <c r="BG678" t="s">
        <v>74</v>
      </c>
      <c r="BH678" t="s">
        <v>74</v>
      </c>
      <c r="BI678" t="s">
        <v>74</v>
      </c>
      <c r="BJ678" t="s">
        <v>74</v>
      </c>
      <c r="BK678" t="s">
        <v>74</v>
      </c>
      <c r="BL678" t="s">
        <v>74</v>
      </c>
      <c r="BM678" t="s">
        <v>74</v>
      </c>
      <c r="BN678">
        <v>31321971</v>
      </c>
      <c r="BO678" t="s">
        <v>74</v>
      </c>
      <c r="BP678" t="s">
        <v>74</v>
      </c>
      <c r="BQ678" t="s">
        <v>74</v>
      </c>
      <c r="BR678" t="s">
        <v>74</v>
      </c>
      <c r="BS678" t="s">
        <v>5945</v>
      </c>
      <c r="BT678" t="str">
        <f>HYPERLINK("https%3A%2F%2Fwww.webofscience.com%2Fwos%2Fwoscc%2Ffull-record%2FWOS:000481567100026","View Full Record in Web of Science")</f>
        <v>View Full Record in Web of Science</v>
      </c>
    </row>
    <row r="679" spans="1:72" x14ac:dyDescent="0.2">
      <c r="A679" t="s">
        <v>72</v>
      </c>
      <c r="B679" t="s">
        <v>5946</v>
      </c>
      <c r="C679" t="s">
        <v>74</v>
      </c>
      <c r="D679" t="s">
        <v>74</v>
      </c>
      <c r="E679" t="s">
        <v>74</v>
      </c>
      <c r="F679" t="s">
        <v>5947</v>
      </c>
      <c r="G679" t="s">
        <v>74</v>
      </c>
      <c r="H679" t="s">
        <v>74</v>
      </c>
      <c r="I679" t="s">
        <v>5948</v>
      </c>
      <c r="J679" t="s">
        <v>5433</v>
      </c>
      <c r="K679" t="s">
        <v>74</v>
      </c>
      <c r="L679" t="s">
        <v>74</v>
      </c>
      <c r="M679" t="s">
        <v>74</v>
      </c>
      <c r="N679" t="s">
        <v>74</v>
      </c>
      <c r="O679" t="s">
        <v>74</v>
      </c>
      <c r="P679" t="s">
        <v>74</v>
      </c>
      <c r="Q679" t="s">
        <v>74</v>
      </c>
      <c r="R679" t="s">
        <v>74</v>
      </c>
      <c r="S679" t="s">
        <v>74</v>
      </c>
      <c r="T679" t="s">
        <v>74</v>
      </c>
      <c r="U679" t="s">
        <v>74</v>
      </c>
      <c r="V679" t="s">
        <v>5949</v>
      </c>
      <c r="W679" t="s">
        <v>74</v>
      </c>
      <c r="X679" t="s">
        <v>74</v>
      </c>
      <c r="Y679" t="s">
        <v>74</v>
      </c>
      <c r="Z679" t="s">
        <v>74</v>
      </c>
      <c r="AA679" t="s">
        <v>5950</v>
      </c>
      <c r="AB679" t="s">
        <v>5951</v>
      </c>
      <c r="AC679" t="s">
        <v>74</v>
      </c>
      <c r="AD679" t="s">
        <v>74</v>
      </c>
      <c r="AE679" t="s">
        <v>74</v>
      </c>
      <c r="AF679" t="s">
        <v>74</v>
      </c>
      <c r="AG679" t="s">
        <v>74</v>
      </c>
      <c r="AH679" t="s">
        <v>74</v>
      </c>
      <c r="AI679" t="s">
        <v>74</v>
      </c>
      <c r="AJ679" t="s">
        <v>74</v>
      </c>
      <c r="AK679" t="s">
        <v>74</v>
      </c>
      <c r="AL679" t="s">
        <v>74</v>
      </c>
      <c r="AM679" t="s">
        <v>74</v>
      </c>
      <c r="AN679" t="s">
        <v>74</v>
      </c>
      <c r="AO679" t="s">
        <v>5437</v>
      </c>
      <c r="AP679" t="s">
        <v>74</v>
      </c>
      <c r="AQ679" t="s">
        <v>74</v>
      </c>
      <c r="AR679" t="s">
        <v>74</v>
      </c>
      <c r="AS679" t="s">
        <v>74</v>
      </c>
      <c r="AT679" t="s">
        <v>225</v>
      </c>
      <c r="AU679">
        <v>2019</v>
      </c>
      <c r="AV679">
        <v>4</v>
      </c>
      <c r="AW679">
        <v>29</v>
      </c>
      <c r="AX679" t="s">
        <v>74</v>
      </c>
      <c r="AY679" t="s">
        <v>74</v>
      </c>
      <c r="AZ679" t="s">
        <v>74</v>
      </c>
      <c r="BA679" t="s">
        <v>74</v>
      </c>
      <c r="BB679">
        <v>8676</v>
      </c>
      <c r="BC679">
        <v>8681</v>
      </c>
      <c r="BD679" t="s">
        <v>74</v>
      </c>
      <c r="BE679" t="s">
        <v>5952</v>
      </c>
      <c r="BF679" t="str">
        <f>HYPERLINK("http://dx.doi.org/10.1002/slct.201900874","http://dx.doi.org/10.1002/slct.201900874")</f>
        <v>http://dx.doi.org/10.1002/slct.201900874</v>
      </c>
      <c r="BG679" t="s">
        <v>74</v>
      </c>
      <c r="BH679" t="s">
        <v>74</v>
      </c>
      <c r="BI679" t="s">
        <v>74</v>
      </c>
      <c r="BJ679" t="s">
        <v>74</v>
      </c>
      <c r="BK679" t="s">
        <v>74</v>
      </c>
      <c r="BL679" t="s">
        <v>74</v>
      </c>
      <c r="BM679" t="s">
        <v>74</v>
      </c>
      <c r="BN679" t="s">
        <v>74</v>
      </c>
      <c r="BO679" t="s">
        <v>74</v>
      </c>
      <c r="BP679" t="s">
        <v>74</v>
      </c>
      <c r="BQ679" t="s">
        <v>74</v>
      </c>
      <c r="BR679" t="s">
        <v>74</v>
      </c>
      <c r="BS679" t="s">
        <v>5953</v>
      </c>
      <c r="BT679" t="str">
        <f>HYPERLINK("https%3A%2F%2Fwww.webofscience.com%2Fwos%2Fwoscc%2Ffull-record%2FWOS:000479139200047","View Full Record in Web of Science")</f>
        <v>View Full Record in Web of Science</v>
      </c>
    </row>
    <row r="680" spans="1:72" x14ac:dyDescent="0.2">
      <c r="A680" t="s">
        <v>72</v>
      </c>
      <c r="B680" t="s">
        <v>5954</v>
      </c>
      <c r="C680" t="s">
        <v>74</v>
      </c>
      <c r="D680" t="s">
        <v>74</v>
      </c>
      <c r="E680" t="s">
        <v>74</v>
      </c>
      <c r="F680" t="s">
        <v>5955</v>
      </c>
      <c r="G680" t="s">
        <v>74</v>
      </c>
      <c r="H680" t="s">
        <v>74</v>
      </c>
      <c r="I680" t="s">
        <v>5956</v>
      </c>
      <c r="J680" t="s">
        <v>352</v>
      </c>
      <c r="K680" t="s">
        <v>74</v>
      </c>
      <c r="L680" t="s">
        <v>74</v>
      </c>
      <c r="M680" t="s">
        <v>74</v>
      </c>
      <c r="N680" t="s">
        <v>74</v>
      </c>
      <c r="O680" t="s">
        <v>74</v>
      </c>
      <c r="P680" t="s">
        <v>74</v>
      </c>
      <c r="Q680" t="s">
        <v>74</v>
      </c>
      <c r="R680" t="s">
        <v>74</v>
      </c>
      <c r="S680" t="s">
        <v>74</v>
      </c>
      <c r="T680" t="s">
        <v>74</v>
      </c>
      <c r="U680" t="s">
        <v>74</v>
      </c>
      <c r="V680" t="s">
        <v>5957</v>
      </c>
      <c r="W680" t="s">
        <v>74</v>
      </c>
      <c r="X680" t="s">
        <v>74</v>
      </c>
      <c r="Y680" t="s">
        <v>74</v>
      </c>
      <c r="Z680" t="s">
        <v>74</v>
      </c>
      <c r="AA680" t="s">
        <v>74</v>
      </c>
      <c r="AB680" t="s">
        <v>5958</v>
      </c>
      <c r="AC680" t="s">
        <v>74</v>
      </c>
      <c r="AD680" t="s">
        <v>74</v>
      </c>
      <c r="AE680" t="s">
        <v>74</v>
      </c>
      <c r="AF680" t="s">
        <v>74</v>
      </c>
      <c r="AG680" t="s">
        <v>74</v>
      </c>
      <c r="AH680" t="s">
        <v>74</v>
      </c>
      <c r="AI680" t="s">
        <v>74</v>
      </c>
      <c r="AJ680" t="s">
        <v>74</v>
      </c>
      <c r="AK680" t="s">
        <v>74</v>
      </c>
      <c r="AL680" t="s">
        <v>74</v>
      </c>
      <c r="AM680" t="s">
        <v>74</v>
      </c>
      <c r="AN680" t="s">
        <v>74</v>
      </c>
      <c r="AO680" t="s">
        <v>354</v>
      </c>
      <c r="AP680" t="s">
        <v>355</v>
      </c>
      <c r="AQ680" t="s">
        <v>74</v>
      </c>
      <c r="AR680" t="s">
        <v>74</v>
      </c>
      <c r="AS680" t="s">
        <v>74</v>
      </c>
      <c r="AT680" t="s">
        <v>155</v>
      </c>
      <c r="AU680">
        <v>2019</v>
      </c>
      <c r="AV680">
        <v>9</v>
      </c>
      <c r="AW680">
        <v>35</v>
      </c>
      <c r="AX680" t="s">
        <v>74</v>
      </c>
      <c r="AY680" t="s">
        <v>74</v>
      </c>
      <c r="AZ680" t="s">
        <v>74</v>
      </c>
      <c r="BA680" t="s">
        <v>74</v>
      </c>
      <c r="BB680" t="s">
        <v>74</v>
      </c>
      <c r="BC680" t="s">
        <v>74</v>
      </c>
      <c r="BD680">
        <v>1900550</v>
      </c>
      <c r="BE680" t="s">
        <v>5959</v>
      </c>
      <c r="BF680" t="str">
        <f>HYPERLINK("http://dx.doi.org/10.1002/aenm.201900550","http://dx.doi.org/10.1002/aenm.201900550")</f>
        <v>http://dx.doi.org/10.1002/aenm.201900550</v>
      </c>
      <c r="BG680" t="s">
        <v>74</v>
      </c>
      <c r="BH680" t="s">
        <v>5960</v>
      </c>
      <c r="BI680" t="s">
        <v>74</v>
      </c>
      <c r="BJ680" t="s">
        <v>74</v>
      </c>
      <c r="BK680" t="s">
        <v>74</v>
      </c>
      <c r="BL680" t="s">
        <v>74</v>
      </c>
      <c r="BM680" t="s">
        <v>74</v>
      </c>
      <c r="BN680" t="s">
        <v>74</v>
      </c>
      <c r="BO680" t="s">
        <v>74</v>
      </c>
      <c r="BP680" t="s">
        <v>74</v>
      </c>
      <c r="BQ680" t="s">
        <v>74</v>
      </c>
      <c r="BR680" t="s">
        <v>74</v>
      </c>
      <c r="BS680" t="s">
        <v>5961</v>
      </c>
      <c r="BT680" t="str">
        <f>HYPERLINK("https%3A%2F%2Fwww.webofscience.com%2Fwos%2Fwoscc%2Ffull-record%2FWOS:000484085900001","View Full Record in Web of Science")</f>
        <v>View Full Record in Web of Science</v>
      </c>
    </row>
    <row r="681" spans="1:72" x14ac:dyDescent="0.2">
      <c r="A681" t="s">
        <v>72</v>
      </c>
      <c r="B681" t="s">
        <v>5962</v>
      </c>
      <c r="C681" t="s">
        <v>74</v>
      </c>
      <c r="D681" t="s">
        <v>74</v>
      </c>
      <c r="E681" t="s">
        <v>74</v>
      </c>
      <c r="F681" t="s">
        <v>5963</v>
      </c>
      <c r="G681" t="s">
        <v>74</v>
      </c>
      <c r="H681" t="s">
        <v>74</v>
      </c>
      <c r="I681" t="s">
        <v>5964</v>
      </c>
      <c r="J681" t="s">
        <v>267</v>
      </c>
      <c r="K681" t="s">
        <v>74</v>
      </c>
      <c r="L681" t="s">
        <v>74</v>
      </c>
      <c r="M681" t="s">
        <v>74</v>
      </c>
      <c r="N681" t="s">
        <v>74</v>
      </c>
      <c r="O681" t="s">
        <v>74</v>
      </c>
      <c r="P681" t="s">
        <v>74</v>
      </c>
      <c r="Q681" t="s">
        <v>74</v>
      </c>
      <c r="R681" t="s">
        <v>74</v>
      </c>
      <c r="S681" t="s">
        <v>74</v>
      </c>
      <c r="T681" t="s">
        <v>74</v>
      </c>
      <c r="U681" t="s">
        <v>74</v>
      </c>
      <c r="V681" t="s">
        <v>5965</v>
      </c>
      <c r="W681" t="s">
        <v>74</v>
      </c>
      <c r="X681" t="s">
        <v>74</v>
      </c>
      <c r="Y681" t="s">
        <v>74</v>
      </c>
      <c r="Z681" t="s">
        <v>74</v>
      </c>
      <c r="AA681" t="s">
        <v>3852</v>
      </c>
      <c r="AB681" t="s">
        <v>5966</v>
      </c>
      <c r="AC681" t="s">
        <v>74</v>
      </c>
      <c r="AD681" t="s">
        <v>74</v>
      </c>
      <c r="AE681" t="s">
        <v>74</v>
      </c>
      <c r="AF681" t="s">
        <v>74</v>
      </c>
      <c r="AG681" t="s">
        <v>74</v>
      </c>
      <c r="AH681" t="s">
        <v>74</v>
      </c>
      <c r="AI681" t="s">
        <v>74</v>
      </c>
      <c r="AJ681" t="s">
        <v>74</v>
      </c>
      <c r="AK681" t="s">
        <v>74</v>
      </c>
      <c r="AL681" t="s">
        <v>74</v>
      </c>
      <c r="AM681" t="s">
        <v>74</v>
      </c>
      <c r="AN681" t="s">
        <v>74</v>
      </c>
      <c r="AO681" t="s">
        <v>270</v>
      </c>
      <c r="AP681" t="s">
        <v>271</v>
      </c>
      <c r="AQ681" t="s">
        <v>74</v>
      </c>
      <c r="AR681" t="s">
        <v>74</v>
      </c>
      <c r="AS681" t="s">
        <v>74</v>
      </c>
      <c r="AT681" t="s">
        <v>155</v>
      </c>
      <c r="AU681">
        <v>2019</v>
      </c>
      <c r="AV681">
        <v>29</v>
      </c>
      <c r="AW681">
        <v>39</v>
      </c>
      <c r="AX681" t="s">
        <v>74</v>
      </c>
      <c r="AY681" t="s">
        <v>74</v>
      </c>
      <c r="AZ681" t="s">
        <v>74</v>
      </c>
      <c r="BA681" t="s">
        <v>74</v>
      </c>
      <c r="BB681" t="s">
        <v>74</v>
      </c>
      <c r="BC681" t="s">
        <v>74</v>
      </c>
      <c r="BD681">
        <v>1902245</v>
      </c>
      <c r="BE681" t="s">
        <v>5967</v>
      </c>
      <c r="BF681" t="str">
        <f>HYPERLINK("http://dx.doi.org/10.1002/adfm.201902245","http://dx.doi.org/10.1002/adfm.201902245")</f>
        <v>http://dx.doi.org/10.1002/adfm.201902245</v>
      </c>
      <c r="BG681" t="s">
        <v>74</v>
      </c>
      <c r="BH681" t="s">
        <v>5960</v>
      </c>
      <c r="BI681" t="s">
        <v>74</v>
      </c>
      <c r="BJ681" t="s">
        <v>74</v>
      </c>
      <c r="BK681" t="s">
        <v>74</v>
      </c>
      <c r="BL681" t="s">
        <v>74</v>
      </c>
      <c r="BM681" t="s">
        <v>74</v>
      </c>
      <c r="BN681" t="s">
        <v>74</v>
      </c>
      <c r="BO681" t="s">
        <v>74</v>
      </c>
      <c r="BP681" t="s">
        <v>74</v>
      </c>
      <c r="BQ681" t="s">
        <v>74</v>
      </c>
      <c r="BR681" t="s">
        <v>74</v>
      </c>
      <c r="BS681" t="s">
        <v>5968</v>
      </c>
      <c r="BT681" t="str">
        <f>HYPERLINK("https%3A%2F%2Fwww.webofscience.com%2Fwos%2Fwoscc%2Ffull-record%2FWOS:000480018000001","View Full Record in Web of Science")</f>
        <v>View Full Record in Web of Science</v>
      </c>
    </row>
    <row r="682" spans="1:72" x14ac:dyDescent="0.2">
      <c r="A682" t="s">
        <v>72</v>
      </c>
      <c r="B682" t="s">
        <v>5969</v>
      </c>
      <c r="C682" t="s">
        <v>74</v>
      </c>
      <c r="D682" t="s">
        <v>74</v>
      </c>
      <c r="E682" t="s">
        <v>74</v>
      </c>
      <c r="F682" t="s">
        <v>5970</v>
      </c>
      <c r="G682" t="s">
        <v>74</v>
      </c>
      <c r="H682" t="s">
        <v>74</v>
      </c>
      <c r="I682" t="s">
        <v>5971</v>
      </c>
      <c r="J682" t="s">
        <v>689</v>
      </c>
      <c r="K682" t="s">
        <v>74</v>
      </c>
      <c r="L682" t="s">
        <v>74</v>
      </c>
      <c r="M682" t="s">
        <v>74</v>
      </c>
      <c r="N682" t="s">
        <v>74</v>
      </c>
      <c r="O682" t="s">
        <v>74</v>
      </c>
      <c r="P682" t="s">
        <v>74</v>
      </c>
      <c r="Q682" t="s">
        <v>74</v>
      </c>
      <c r="R682" t="s">
        <v>74</v>
      </c>
      <c r="S682" t="s">
        <v>74</v>
      </c>
      <c r="T682" t="s">
        <v>74</v>
      </c>
      <c r="U682" t="s">
        <v>74</v>
      </c>
      <c r="V682" t="s">
        <v>5972</v>
      </c>
      <c r="W682" t="s">
        <v>74</v>
      </c>
      <c r="X682" t="s">
        <v>74</v>
      </c>
      <c r="Y682" t="s">
        <v>74</v>
      </c>
      <c r="Z682" t="s">
        <v>74</v>
      </c>
      <c r="AA682" t="s">
        <v>5973</v>
      </c>
      <c r="AB682" t="s">
        <v>5966</v>
      </c>
      <c r="AC682" t="s">
        <v>74</v>
      </c>
      <c r="AD682" t="s">
        <v>74</v>
      </c>
      <c r="AE682" t="s">
        <v>74</v>
      </c>
      <c r="AF682" t="s">
        <v>74</v>
      </c>
      <c r="AG682" t="s">
        <v>74</v>
      </c>
      <c r="AH682" t="s">
        <v>74</v>
      </c>
      <c r="AI682" t="s">
        <v>74</v>
      </c>
      <c r="AJ682" t="s">
        <v>74</v>
      </c>
      <c r="AK682" t="s">
        <v>74</v>
      </c>
      <c r="AL682" t="s">
        <v>74</v>
      </c>
      <c r="AM682" t="s">
        <v>74</v>
      </c>
      <c r="AN682" t="s">
        <v>74</v>
      </c>
      <c r="AO682" t="s">
        <v>693</v>
      </c>
      <c r="AP682" t="s">
        <v>694</v>
      </c>
      <c r="AQ682" t="s">
        <v>74</v>
      </c>
      <c r="AR682" t="s">
        <v>74</v>
      </c>
      <c r="AS682" t="s">
        <v>74</v>
      </c>
      <c r="AT682" t="s">
        <v>629</v>
      </c>
      <c r="AU682">
        <v>2019</v>
      </c>
      <c r="AV682">
        <v>13</v>
      </c>
      <c r="AW682">
        <v>8</v>
      </c>
      <c r="AX682" t="s">
        <v>74</v>
      </c>
      <c r="AY682" t="s">
        <v>74</v>
      </c>
      <c r="AZ682" t="s">
        <v>74</v>
      </c>
      <c r="BA682" t="s">
        <v>74</v>
      </c>
      <c r="BB682">
        <v>9664</v>
      </c>
      <c r="BC682">
        <v>9672</v>
      </c>
      <c r="BD682" t="s">
        <v>74</v>
      </c>
      <c r="BE682" t="s">
        <v>5974</v>
      </c>
      <c r="BF682" t="str">
        <f>HYPERLINK("http://dx.doi.org/10.1021/acsnano.9b04989","http://dx.doi.org/10.1021/acsnano.9b04989")</f>
        <v>http://dx.doi.org/10.1021/acsnano.9b04989</v>
      </c>
      <c r="BG682" t="s">
        <v>74</v>
      </c>
      <c r="BH682" t="s">
        <v>74</v>
      </c>
      <c r="BI682" t="s">
        <v>74</v>
      </c>
      <c r="BJ682" t="s">
        <v>74</v>
      </c>
      <c r="BK682" t="s">
        <v>74</v>
      </c>
      <c r="BL682" t="s">
        <v>74</v>
      </c>
      <c r="BM682" t="s">
        <v>74</v>
      </c>
      <c r="BN682">
        <v>31318524</v>
      </c>
      <c r="BO682" t="s">
        <v>74</v>
      </c>
      <c r="BP682" t="s">
        <v>74</v>
      </c>
      <c r="BQ682" t="s">
        <v>74</v>
      </c>
      <c r="BR682" t="s">
        <v>74</v>
      </c>
      <c r="BS682" t="s">
        <v>5975</v>
      </c>
      <c r="BT682" t="str">
        <f>HYPERLINK("https%3A%2F%2Fwww.webofscience.com%2Fwos%2Fwoscc%2Ffull-record%2FWOS:000484077800118","View Full Record in Web of Science")</f>
        <v>View Full Record in Web of Science</v>
      </c>
    </row>
    <row r="683" spans="1:72" x14ac:dyDescent="0.2">
      <c r="A683" t="s">
        <v>72</v>
      </c>
      <c r="B683" t="s">
        <v>5976</v>
      </c>
      <c r="C683" t="s">
        <v>74</v>
      </c>
      <c r="D683" t="s">
        <v>74</v>
      </c>
      <c r="E683" t="s">
        <v>74</v>
      </c>
      <c r="F683" t="s">
        <v>5977</v>
      </c>
      <c r="G683" t="s">
        <v>74</v>
      </c>
      <c r="H683" t="s">
        <v>74</v>
      </c>
      <c r="I683" t="s">
        <v>5978</v>
      </c>
      <c r="J683" t="s">
        <v>3822</v>
      </c>
      <c r="K683" t="s">
        <v>74</v>
      </c>
      <c r="L683" t="s">
        <v>74</v>
      </c>
      <c r="M683" t="s">
        <v>74</v>
      </c>
      <c r="N683" t="s">
        <v>74</v>
      </c>
      <c r="O683" t="s">
        <v>74</v>
      </c>
      <c r="P683" t="s">
        <v>74</v>
      </c>
      <c r="Q683" t="s">
        <v>74</v>
      </c>
      <c r="R683" t="s">
        <v>74</v>
      </c>
      <c r="S683" t="s">
        <v>74</v>
      </c>
      <c r="T683" t="s">
        <v>74</v>
      </c>
      <c r="U683" t="s">
        <v>74</v>
      </c>
      <c r="V683" t="s">
        <v>5979</v>
      </c>
      <c r="W683" t="s">
        <v>74</v>
      </c>
      <c r="X683" t="s">
        <v>74</v>
      </c>
      <c r="Y683" t="s">
        <v>74</v>
      </c>
      <c r="Z683" t="s">
        <v>74</v>
      </c>
      <c r="AA683" t="s">
        <v>5980</v>
      </c>
      <c r="AB683" t="s">
        <v>5981</v>
      </c>
      <c r="AC683" t="s">
        <v>74</v>
      </c>
      <c r="AD683" t="s">
        <v>74</v>
      </c>
      <c r="AE683" t="s">
        <v>74</v>
      </c>
      <c r="AF683" t="s">
        <v>74</v>
      </c>
      <c r="AG683" t="s">
        <v>74</v>
      </c>
      <c r="AH683" t="s">
        <v>74</v>
      </c>
      <c r="AI683" t="s">
        <v>74</v>
      </c>
      <c r="AJ683" t="s">
        <v>74</v>
      </c>
      <c r="AK683" t="s">
        <v>74</v>
      </c>
      <c r="AL683" t="s">
        <v>74</v>
      </c>
      <c r="AM683" t="s">
        <v>74</v>
      </c>
      <c r="AN683" t="s">
        <v>74</v>
      </c>
      <c r="AO683" t="s">
        <v>3826</v>
      </c>
      <c r="AP683" t="s">
        <v>3827</v>
      </c>
      <c r="AQ683" t="s">
        <v>74</v>
      </c>
      <c r="AR683" t="s">
        <v>74</v>
      </c>
      <c r="AS683" t="s">
        <v>74</v>
      </c>
      <c r="AT683" t="s">
        <v>629</v>
      </c>
      <c r="AU683">
        <v>2019</v>
      </c>
      <c r="AV683">
        <v>149</v>
      </c>
      <c r="AW683" t="s">
        <v>74</v>
      </c>
      <c r="AX683" t="s">
        <v>74</v>
      </c>
      <c r="AY683" t="s">
        <v>74</v>
      </c>
      <c r="AZ683" t="s">
        <v>74</v>
      </c>
      <c r="BA683" t="s">
        <v>74</v>
      </c>
      <c r="BB683">
        <v>530</v>
      </c>
      <c r="BC683">
        <v>537</v>
      </c>
      <c r="BD683" t="s">
        <v>74</v>
      </c>
      <c r="BE683" t="s">
        <v>5982</v>
      </c>
      <c r="BF683" t="str">
        <f>HYPERLINK("http://dx.doi.org/10.1016/j.carbon.2019.04.077","http://dx.doi.org/10.1016/j.carbon.2019.04.077")</f>
        <v>http://dx.doi.org/10.1016/j.carbon.2019.04.077</v>
      </c>
      <c r="BG683" t="s">
        <v>74</v>
      </c>
      <c r="BH683" t="s">
        <v>74</v>
      </c>
      <c r="BI683" t="s">
        <v>74</v>
      </c>
      <c r="BJ683" t="s">
        <v>74</v>
      </c>
      <c r="BK683" t="s">
        <v>74</v>
      </c>
      <c r="BL683" t="s">
        <v>74</v>
      </c>
      <c r="BM683" t="s">
        <v>74</v>
      </c>
      <c r="BN683" t="s">
        <v>74</v>
      </c>
      <c r="BO683" t="s">
        <v>74</v>
      </c>
      <c r="BP683" t="s">
        <v>74</v>
      </c>
      <c r="BQ683" t="s">
        <v>74</v>
      </c>
      <c r="BR683" t="s">
        <v>74</v>
      </c>
      <c r="BS683" t="s">
        <v>5983</v>
      </c>
      <c r="BT683" t="str">
        <f>HYPERLINK("https%3A%2F%2Fwww.webofscience.com%2Fwos%2Fwoscc%2Ffull-record%2FWOS:000471602000057","View Full Record in Web of Science")</f>
        <v>View Full Record in Web of Science</v>
      </c>
    </row>
    <row r="684" spans="1:72" x14ac:dyDescent="0.2">
      <c r="A684" t="s">
        <v>72</v>
      </c>
      <c r="B684" t="s">
        <v>5984</v>
      </c>
      <c r="C684" t="s">
        <v>74</v>
      </c>
      <c r="D684" t="s">
        <v>74</v>
      </c>
      <c r="E684" t="s">
        <v>74</v>
      </c>
      <c r="F684" t="s">
        <v>5985</v>
      </c>
      <c r="G684" t="s">
        <v>74</v>
      </c>
      <c r="H684" t="s">
        <v>74</v>
      </c>
      <c r="I684" t="s">
        <v>5986</v>
      </c>
      <c r="J684" t="s">
        <v>498</v>
      </c>
      <c r="K684" t="s">
        <v>74</v>
      </c>
      <c r="L684" t="s">
        <v>74</v>
      </c>
      <c r="M684" t="s">
        <v>74</v>
      </c>
      <c r="N684" t="s">
        <v>74</v>
      </c>
      <c r="O684" t="s">
        <v>74</v>
      </c>
      <c r="P684" t="s">
        <v>74</v>
      </c>
      <c r="Q684" t="s">
        <v>74</v>
      </c>
      <c r="R684" t="s">
        <v>74</v>
      </c>
      <c r="S684" t="s">
        <v>74</v>
      </c>
      <c r="T684" t="s">
        <v>74</v>
      </c>
      <c r="U684" t="s">
        <v>74</v>
      </c>
      <c r="V684" t="s">
        <v>5987</v>
      </c>
      <c r="W684" t="s">
        <v>74</v>
      </c>
      <c r="X684" t="s">
        <v>74</v>
      </c>
      <c r="Y684" t="s">
        <v>74</v>
      </c>
      <c r="Z684" t="s">
        <v>74</v>
      </c>
      <c r="AA684" t="s">
        <v>74</v>
      </c>
      <c r="AB684" t="s">
        <v>5988</v>
      </c>
      <c r="AC684" t="s">
        <v>74</v>
      </c>
      <c r="AD684" t="s">
        <v>74</v>
      </c>
      <c r="AE684" t="s">
        <v>74</v>
      </c>
      <c r="AF684" t="s">
        <v>74</v>
      </c>
      <c r="AG684" t="s">
        <v>74</v>
      </c>
      <c r="AH684" t="s">
        <v>74</v>
      </c>
      <c r="AI684" t="s">
        <v>74</v>
      </c>
      <c r="AJ684" t="s">
        <v>74</v>
      </c>
      <c r="AK684" t="s">
        <v>74</v>
      </c>
      <c r="AL684" t="s">
        <v>74</v>
      </c>
      <c r="AM684" t="s">
        <v>74</v>
      </c>
      <c r="AN684" t="s">
        <v>74</v>
      </c>
      <c r="AO684" t="s">
        <v>502</v>
      </c>
      <c r="AP684" t="s">
        <v>503</v>
      </c>
      <c r="AQ684" t="s">
        <v>74</v>
      </c>
      <c r="AR684" t="s">
        <v>74</v>
      </c>
      <c r="AS684" t="s">
        <v>74</v>
      </c>
      <c r="AT684" t="s">
        <v>261</v>
      </c>
      <c r="AU684">
        <v>2019</v>
      </c>
      <c r="AV684">
        <v>123</v>
      </c>
      <c r="AW684">
        <v>29</v>
      </c>
      <c r="AX684" t="s">
        <v>74</v>
      </c>
      <c r="AY684" t="s">
        <v>74</v>
      </c>
      <c r="AZ684" t="s">
        <v>74</v>
      </c>
      <c r="BA684" t="s">
        <v>74</v>
      </c>
      <c r="BB684">
        <v>17686</v>
      </c>
      <c r="BC684">
        <v>17694</v>
      </c>
      <c r="BD684" t="s">
        <v>74</v>
      </c>
      <c r="BE684" t="s">
        <v>5989</v>
      </c>
      <c r="BF684" t="str">
        <f>HYPERLINK("http://dx.doi.org/10.1021/acs.jpcc.9b02945","http://dx.doi.org/10.1021/acs.jpcc.9b02945")</f>
        <v>http://dx.doi.org/10.1021/acs.jpcc.9b02945</v>
      </c>
      <c r="BG684" t="s">
        <v>74</v>
      </c>
      <c r="BH684" t="s">
        <v>74</v>
      </c>
      <c r="BI684" t="s">
        <v>74</v>
      </c>
      <c r="BJ684" t="s">
        <v>74</v>
      </c>
      <c r="BK684" t="s">
        <v>74</v>
      </c>
      <c r="BL684" t="s">
        <v>74</v>
      </c>
      <c r="BM684" t="s">
        <v>74</v>
      </c>
      <c r="BN684" t="s">
        <v>74</v>
      </c>
      <c r="BO684" t="s">
        <v>74</v>
      </c>
      <c r="BP684" t="s">
        <v>74</v>
      </c>
      <c r="BQ684" t="s">
        <v>74</v>
      </c>
      <c r="BR684" t="s">
        <v>74</v>
      </c>
      <c r="BS684" t="s">
        <v>5990</v>
      </c>
      <c r="BT684" t="str">
        <f>HYPERLINK("https%3A%2F%2Fwww.webofscience.com%2Fwos%2Fwoscc%2Ffull-record%2FWOS:000477785000006","View Full Record in Web of Science")</f>
        <v>View Full Record in Web of Science</v>
      </c>
    </row>
    <row r="685" spans="1:72" x14ac:dyDescent="0.2">
      <c r="A685" t="s">
        <v>72</v>
      </c>
      <c r="B685" t="s">
        <v>5991</v>
      </c>
      <c r="C685" t="s">
        <v>74</v>
      </c>
      <c r="D685" t="s">
        <v>74</v>
      </c>
      <c r="E685" t="s">
        <v>74</v>
      </c>
      <c r="F685" t="s">
        <v>5992</v>
      </c>
      <c r="G685" t="s">
        <v>74</v>
      </c>
      <c r="H685" t="s">
        <v>74</v>
      </c>
      <c r="I685" t="s">
        <v>5993</v>
      </c>
      <c r="J685" t="s">
        <v>5994</v>
      </c>
      <c r="K685" t="s">
        <v>74</v>
      </c>
      <c r="L685" t="s">
        <v>74</v>
      </c>
      <c r="M685" t="s">
        <v>74</v>
      </c>
      <c r="N685" t="s">
        <v>74</v>
      </c>
      <c r="O685" t="s">
        <v>74</v>
      </c>
      <c r="P685" t="s">
        <v>74</v>
      </c>
      <c r="Q685" t="s">
        <v>74</v>
      </c>
      <c r="R685" t="s">
        <v>74</v>
      </c>
      <c r="S685" t="s">
        <v>74</v>
      </c>
      <c r="T685" t="s">
        <v>74</v>
      </c>
      <c r="U685" t="s">
        <v>74</v>
      </c>
      <c r="V685" t="s">
        <v>5995</v>
      </c>
      <c r="W685" t="s">
        <v>74</v>
      </c>
      <c r="X685" t="s">
        <v>74</v>
      </c>
      <c r="Y685" t="s">
        <v>74</v>
      </c>
      <c r="Z685" t="s">
        <v>74</v>
      </c>
      <c r="AA685" t="s">
        <v>5996</v>
      </c>
      <c r="AB685" t="s">
        <v>5997</v>
      </c>
      <c r="AC685" t="s">
        <v>74</v>
      </c>
      <c r="AD685" t="s">
        <v>74</v>
      </c>
      <c r="AE685" t="s">
        <v>74</v>
      </c>
      <c r="AF685" t="s">
        <v>74</v>
      </c>
      <c r="AG685" t="s">
        <v>74</v>
      </c>
      <c r="AH685" t="s">
        <v>74</v>
      </c>
      <c r="AI685" t="s">
        <v>74</v>
      </c>
      <c r="AJ685" t="s">
        <v>74</v>
      </c>
      <c r="AK685" t="s">
        <v>74</v>
      </c>
      <c r="AL685" t="s">
        <v>74</v>
      </c>
      <c r="AM685" t="s">
        <v>74</v>
      </c>
      <c r="AN685" t="s">
        <v>74</v>
      </c>
      <c r="AO685" t="s">
        <v>5998</v>
      </c>
      <c r="AP685" t="s">
        <v>5999</v>
      </c>
      <c r="AQ685" t="s">
        <v>74</v>
      </c>
      <c r="AR685" t="s">
        <v>74</v>
      </c>
      <c r="AS685" t="s">
        <v>74</v>
      </c>
      <c r="AT685" t="s">
        <v>155</v>
      </c>
      <c r="AU685">
        <v>2019</v>
      </c>
      <c r="AV685">
        <v>68</v>
      </c>
      <c r="AW685">
        <v>9</v>
      </c>
      <c r="AX685" t="s">
        <v>74</v>
      </c>
      <c r="AY685" t="s">
        <v>74</v>
      </c>
      <c r="AZ685" t="s">
        <v>74</v>
      </c>
      <c r="BA685" t="s">
        <v>74</v>
      </c>
      <c r="BB685">
        <v>1570</v>
      </c>
      <c r="BC685">
        <v>1579</v>
      </c>
      <c r="BD685" t="s">
        <v>74</v>
      </c>
      <c r="BE685" t="s">
        <v>6000</v>
      </c>
      <c r="BF685" t="str">
        <f>HYPERLINK("http://dx.doi.org/10.1002/pi.5878","http://dx.doi.org/10.1002/pi.5878")</f>
        <v>http://dx.doi.org/10.1002/pi.5878</v>
      </c>
      <c r="BG685" t="s">
        <v>74</v>
      </c>
      <c r="BH685" t="s">
        <v>6001</v>
      </c>
      <c r="BI685" t="s">
        <v>74</v>
      </c>
      <c r="BJ685" t="s">
        <v>74</v>
      </c>
      <c r="BK685" t="s">
        <v>74</v>
      </c>
      <c r="BL685" t="s">
        <v>74</v>
      </c>
      <c r="BM685" t="s">
        <v>74</v>
      </c>
      <c r="BN685" t="s">
        <v>74</v>
      </c>
      <c r="BO685" t="s">
        <v>74</v>
      </c>
      <c r="BP685" t="s">
        <v>74</v>
      </c>
      <c r="BQ685" t="s">
        <v>74</v>
      </c>
      <c r="BR685" t="s">
        <v>74</v>
      </c>
      <c r="BS685" t="s">
        <v>6002</v>
      </c>
      <c r="BT685" t="str">
        <f>HYPERLINK("https%3A%2F%2Fwww.webofscience.com%2Fwos%2Fwoscc%2Ffull-record%2FWOS:000475163900001","View Full Record in Web of Science")</f>
        <v>View Full Record in Web of Science</v>
      </c>
    </row>
    <row r="686" spans="1:72" x14ac:dyDescent="0.2">
      <c r="A686" t="s">
        <v>72</v>
      </c>
      <c r="B686" t="s">
        <v>6003</v>
      </c>
      <c r="C686" t="s">
        <v>74</v>
      </c>
      <c r="D686" t="s">
        <v>74</v>
      </c>
      <c r="E686" t="s">
        <v>74</v>
      </c>
      <c r="F686" t="s">
        <v>6004</v>
      </c>
      <c r="G686" t="s">
        <v>74</v>
      </c>
      <c r="H686" t="s">
        <v>74</v>
      </c>
      <c r="I686" t="s">
        <v>6005</v>
      </c>
      <c r="J686" t="s">
        <v>6006</v>
      </c>
      <c r="K686" t="s">
        <v>74</v>
      </c>
      <c r="L686" t="s">
        <v>74</v>
      </c>
      <c r="M686" t="s">
        <v>74</v>
      </c>
      <c r="N686" t="s">
        <v>74</v>
      </c>
      <c r="O686" t="s">
        <v>74</v>
      </c>
      <c r="P686" t="s">
        <v>74</v>
      </c>
      <c r="Q686" t="s">
        <v>74</v>
      </c>
      <c r="R686" t="s">
        <v>74</v>
      </c>
      <c r="S686" t="s">
        <v>74</v>
      </c>
      <c r="T686" t="s">
        <v>74</v>
      </c>
      <c r="U686" t="s">
        <v>74</v>
      </c>
      <c r="V686" t="s">
        <v>6007</v>
      </c>
      <c r="W686" t="s">
        <v>74</v>
      </c>
      <c r="X686" t="s">
        <v>74</v>
      </c>
      <c r="Y686" t="s">
        <v>74</v>
      </c>
      <c r="Z686" t="s">
        <v>74</v>
      </c>
      <c r="AA686" t="s">
        <v>6008</v>
      </c>
      <c r="AB686" t="s">
        <v>6009</v>
      </c>
      <c r="AC686" t="s">
        <v>74</v>
      </c>
      <c r="AD686" t="s">
        <v>74</v>
      </c>
      <c r="AE686" t="s">
        <v>74</v>
      </c>
      <c r="AF686" t="s">
        <v>74</v>
      </c>
      <c r="AG686" t="s">
        <v>74</v>
      </c>
      <c r="AH686" t="s">
        <v>74</v>
      </c>
      <c r="AI686" t="s">
        <v>74</v>
      </c>
      <c r="AJ686" t="s">
        <v>74</v>
      </c>
      <c r="AK686" t="s">
        <v>74</v>
      </c>
      <c r="AL686" t="s">
        <v>74</v>
      </c>
      <c r="AM686" t="s">
        <v>74</v>
      </c>
      <c r="AN686" t="s">
        <v>74</v>
      </c>
      <c r="AO686" t="s">
        <v>6010</v>
      </c>
      <c r="AP686" t="s">
        <v>6011</v>
      </c>
      <c r="AQ686" t="s">
        <v>74</v>
      </c>
      <c r="AR686" t="s">
        <v>74</v>
      </c>
      <c r="AS686" t="s">
        <v>74</v>
      </c>
      <c r="AT686" t="s">
        <v>155</v>
      </c>
      <c r="AU686">
        <v>2019</v>
      </c>
      <c r="AV686">
        <v>94</v>
      </c>
      <c r="AW686">
        <v>9</v>
      </c>
      <c r="AX686" t="s">
        <v>74</v>
      </c>
      <c r="AY686" t="s">
        <v>74</v>
      </c>
      <c r="AZ686" t="s">
        <v>74</v>
      </c>
      <c r="BA686" t="s">
        <v>74</v>
      </c>
      <c r="BB686">
        <v>2999</v>
      </c>
      <c r="BC686">
        <v>3006</v>
      </c>
      <c r="BD686" t="s">
        <v>74</v>
      </c>
      <c r="BE686" t="s">
        <v>6012</v>
      </c>
      <c r="BF686" t="str">
        <f>HYPERLINK("http://dx.doi.org/10.1002/jctb.6110","http://dx.doi.org/10.1002/jctb.6110")</f>
        <v>http://dx.doi.org/10.1002/jctb.6110</v>
      </c>
      <c r="BG686" t="s">
        <v>74</v>
      </c>
      <c r="BH686" t="s">
        <v>6001</v>
      </c>
      <c r="BI686" t="s">
        <v>74</v>
      </c>
      <c r="BJ686" t="s">
        <v>74</v>
      </c>
      <c r="BK686" t="s">
        <v>74</v>
      </c>
      <c r="BL686" t="s">
        <v>74</v>
      </c>
      <c r="BM686" t="s">
        <v>74</v>
      </c>
      <c r="BN686" t="s">
        <v>74</v>
      </c>
      <c r="BO686" t="s">
        <v>74</v>
      </c>
      <c r="BP686" t="s">
        <v>74</v>
      </c>
      <c r="BQ686" t="s">
        <v>74</v>
      </c>
      <c r="BR686" t="s">
        <v>74</v>
      </c>
      <c r="BS686" t="s">
        <v>6013</v>
      </c>
      <c r="BT686" t="str">
        <f>HYPERLINK("https%3A%2F%2Fwww.webofscience.com%2Fwos%2Fwoscc%2Ffull-record%2FWOS:000474460500001","View Full Record in Web of Science")</f>
        <v>View Full Record in Web of Science</v>
      </c>
    </row>
    <row r="687" spans="1:72" x14ac:dyDescent="0.2">
      <c r="A687" t="s">
        <v>72</v>
      </c>
      <c r="B687" t="s">
        <v>6014</v>
      </c>
      <c r="C687" t="s">
        <v>74</v>
      </c>
      <c r="D687" t="s">
        <v>74</v>
      </c>
      <c r="E687" t="s">
        <v>74</v>
      </c>
      <c r="F687" t="s">
        <v>6015</v>
      </c>
      <c r="G687" t="s">
        <v>74</v>
      </c>
      <c r="H687" t="s">
        <v>74</v>
      </c>
      <c r="I687" t="s">
        <v>6016</v>
      </c>
      <c r="J687" t="s">
        <v>3581</v>
      </c>
      <c r="K687" t="s">
        <v>74</v>
      </c>
      <c r="L687" t="s">
        <v>74</v>
      </c>
      <c r="M687" t="s">
        <v>74</v>
      </c>
      <c r="N687" t="s">
        <v>74</v>
      </c>
      <c r="O687" t="s">
        <v>74</v>
      </c>
      <c r="P687" t="s">
        <v>74</v>
      </c>
      <c r="Q687" t="s">
        <v>74</v>
      </c>
      <c r="R687" t="s">
        <v>74</v>
      </c>
      <c r="S687" t="s">
        <v>74</v>
      </c>
      <c r="T687" t="s">
        <v>74</v>
      </c>
      <c r="U687" t="s">
        <v>74</v>
      </c>
      <c r="V687" t="s">
        <v>6017</v>
      </c>
      <c r="W687" t="s">
        <v>74</v>
      </c>
      <c r="X687" t="s">
        <v>74</v>
      </c>
      <c r="Y687" t="s">
        <v>74</v>
      </c>
      <c r="Z687" t="s">
        <v>74</v>
      </c>
      <c r="AA687" t="s">
        <v>6018</v>
      </c>
      <c r="AB687" t="s">
        <v>6019</v>
      </c>
      <c r="AC687" t="s">
        <v>74</v>
      </c>
      <c r="AD687" t="s">
        <v>74</v>
      </c>
      <c r="AE687" t="s">
        <v>74</v>
      </c>
      <c r="AF687" t="s">
        <v>74</v>
      </c>
      <c r="AG687" t="s">
        <v>74</v>
      </c>
      <c r="AH687" t="s">
        <v>74</v>
      </c>
      <c r="AI687" t="s">
        <v>74</v>
      </c>
      <c r="AJ687" t="s">
        <v>74</v>
      </c>
      <c r="AK687" t="s">
        <v>74</v>
      </c>
      <c r="AL687" t="s">
        <v>74</v>
      </c>
      <c r="AM687" t="s">
        <v>74</v>
      </c>
      <c r="AN687" t="s">
        <v>74</v>
      </c>
      <c r="AO687" t="s">
        <v>3585</v>
      </c>
      <c r="AP687" t="s">
        <v>3586</v>
      </c>
      <c r="AQ687" t="s">
        <v>74</v>
      </c>
      <c r="AR687" t="s">
        <v>74</v>
      </c>
      <c r="AS687" t="s">
        <v>74</v>
      </c>
      <c r="AT687" t="s">
        <v>5438</v>
      </c>
      <c r="AU687">
        <v>2019</v>
      </c>
      <c r="AV687">
        <v>55</v>
      </c>
      <c r="AW687">
        <v>53</v>
      </c>
      <c r="AX687" t="s">
        <v>74</v>
      </c>
      <c r="AY687" t="s">
        <v>74</v>
      </c>
      <c r="AZ687" t="s">
        <v>74</v>
      </c>
      <c r="BA687" t="s">
        <v>74</v>
      </c>
      <c r="BB687">
        <v>7703</v>
      </c>
      <c r="BC687">
        <v>7706</v>
      </c>
      <c r="BD687" t="s">
        <v>74</v>
      </c>
      <c r="BE687" t="s">
        <v>6020</v>
      </c>
      <c r="BF687" t="str">
        <f>HYPERLINK("http://dx.doi.org/10.1039/c9cc02124h","http://dx.doi.org/10.1039/c9cc02124h")</f>
        <v>http://dx.doi.org/10.1039/c9cc02124h</v>
      </c>
      <c r="BG687" t="s">
        <v>74</v>
      </c>
      <c r="BH687" t="s">
        <v>74</v>
      </c>
      <c r="BI687" t="s">
        <v>74</v>
      </c>
      <c r="BJ687" t="s">
        <v>74</v>
      </c>
      <c r="BK687" t="s">
        <v>74</v>
      </c>
      <c r="BL687" t="s">
        <v>74</v>
      </c>
      <c r="BM687" t="s">
        <v>74</v>
      </c>
      <c r="BN687">
        <v>31204744</v>
      </c>
      <c r="BO687" t="s">
        <v>74</v>
      </c>
      <c r="BP687" t="s">
        <v>74</v>
      </c>
      <c r="BQ687" t="s">
        <v>74</v>
      </c>
      <c r="BR687" t="s">
        <v>74</v>
      </c>
      <c r="BS687" t="s">
        <v>6021</v>
      </c>
      <c r="BT687" t="str">
        <f>HYPERLINK("https%3A%2F%2Fwww.webofscience.com%2Fwos%2Fwoscc%2Ffull-record%2FWOS:000473060700027","View Full Record in Web of Science")</f>
        <v>View Full Record in Web of Science</v>
      </c>
    </row>
    <row r="688" spans="1:72" x14ac:dyDescent="0.2">
      <c r="A688" t="s">
        <v>72</v>
      </c>
      <c r="B688" t="s">
        <v>6022</v>
      </c>
      <c r="C688" t="s">
        <v>74</v>
      </c>
      <c r="D688" t="s">
        <v>74</v>
      </c>
      <c r="E688" t="s">
        <v>74</v>
      </c>
      <c r="F688" t="s">
        <v>6023</v>
      </c>
      <c r="G688" t="s">
        <v>74</v>
      </c>
      <c r="H688" t="s">
        <v>74</v>
      </c>
      <c r="I688" t="s">
        <v>6024</v>
      </c>
      <c r="J688" t="s">
        <v>422</v>
      </c>
      <c r="K688" t="s">
        <v>74</v>
      </c>
      <c r="L688" t="s">
        <v>74</v>
      </c>
      <c r="M688" t="s">
        <v>74</v>
      </c>
      <c r="N688" t="s">
        <v>74</v>
      </c>
      <c r="O688" t="s">
        <v>74</v>
      </c>
      <c r="P688" t="s">
        <v>74</v>
      </c>
      <c r="Q688" t="s">
        <v>74</v>
      </c>
      <c r="R688" t="s">
        <v>74</v>
      </c>
      <c r="S688" t="s">
        <v>74</v>
      </c>
      <c r="T688" t="s">
        <v>74</v>
      </c>
      <c r="U688" t="s">
        <v>74</v>
      </c>
      <c r="V688" t="s">
        <v>6025</v>
      </c>
      <c r="W688" t="s">
        <v>74</v>
      </c>
      <c r="X688" t="s">
        <v>74</v>
      </c>
      <c r="Y688" t="s">
        <v>74</v>
      </c>
      <c r="Z688" t="s">
        <v>74</v>
      </c>
      <c r="AA688" t="s">
        <v>6026</v>
      </c>
      <c r="AB688" t="s">
        <v>6027</v>
      </c>
      <c r="AC688" t="s">
        <v>74</v>
      </c>
      <c r="AD688" t="s">
        <v>74</v>
      </c>
      <c r="AE688" t="s">
        <v>74</v>
      </c>
      <c r="AF688" t="s">
        <v>74</v>
      </c>
      <c r="AG688" t="s">
        <v>74</v>
      </c>
      <c r="AH688" t="s">
        <v>74</v>
      </c>
      <c r="AI688" t="s">
        <v>74</v>
      </c>
      <c r="AJ688" t="s">
        <v>74</v>
      </c>
      <c r="AK688" t="s">
        <v>74</v>
      </c>
      <c r="AL688" t="s">
        <v>74</v>
      </c>
      <c r="AM688" t="s">
        <v>74</v>
      </c>
      <c r="AN688" t="s">
        <v>74</v>
      </c>
      <c r="AO688" t="s">
        <v>426</v>
      </c>
      <c r="AP688" t="s">
        <v>74</v>
      </c>
      <c r="AQ688" t="s">
        <v>74</v>
      </c>
      <c r="AR688" t="s">
        <v>74</v>
      </c>
      <c r="AS688" t="s">
        <v>74</v>
      </c>
      <c r="AT688" t="s">
        <v>368</v>
      </c>
      <c r="AU688">
        <v>2019</v>
      </c>
      <c r="AV688">
        <v>2</v>
      </c>
      <c r="AW688">
        <v>7</v>
      </c>
      <c r="AX688" t="s">
        <v>74</v>
      </c>
      <c r="AY688" t="s">
        <v>74</v>
      </c>
      <c r="AZ688" t="s">
        <v>74</v>
      </c>
      <c r="BA688" t="s">
        <v>74</v>
      </c>
      <c r="BB688">
        <v>4907</v>
      </c>
      <c r="BC688">
        <v>4913</v>
      </c>
      <c r="BD688" t="s">
        <v>74</v>
      </c>
      <c r="BE688" t="s">
        <v>6028</v>
      </c>
      <c r="BF688" t="str">
        <f>HYPERLINK("http://dx.doi.org/10.1021/acsaem.9b00610","http://dx.doi.org/10.1021/acsaem.9b00610")</f>
        <v>http://dx.doi.org/10.1021/acsaem.9b00610</v>
      </c>
      <c r="BG688" t="s">
        <v>74</v>
      </c>
      <c r="BH688" t="s">
        <v>74</v>
      </c>
      <c r="BI688" t="s">
        <v>74</v>
      </c>
      <c r="BJ688" t="s">
        <v>74</v>
      </c>
      <c r="BK688" t="s">
        <v>74</v>
      </c>
      <c r="BL688" t="s">
        <v>74</v>
      </c>
      <c r="BM688" t="s">
        <v>74</v>
      </c>
      <c r="BN688">
        <v>33778417</v>
      </c>
      <c r="BO688" t="s">
        <v>74</v>
      </c>
      <c r="BP688" t="s">
        <v>74</v>
      </c>
      <c r="BQ688" t="s">
        <v>74</v>
      </c>
      <c r="BR688" t="s">
        <v>74</v>
      </c>
      <c r="BS688" t="s">
        <v>6029</v>
      </c>
      <c r="BT688" t="str">
        <f>HYPERLINK("https%3A%2F%2Fwww.webofscience.com%2Fwos%2Fwoscc%2Ffull-record%2FWOS:000477074700038","View Full Record in Web of Science")</f>
        <v>View Full Record in Web of Science</v>
      </c>
    </row>
    <row r="689" spans="1:72" x14ac:dyDescent="0.2">
      <c r="A689" t="s">
        <v>72</v>
      </c>
      <c r="B689" t="s">
        <v>6030</v>
      </c>
      <c r="C689" t="s">
        <v>74</v>
      </c>
      <c r="D689" t="s">
        <v>74</v>
      </c>
      <c r="E689" t="s">
        <v>74</v>
      </c>
      <c r="F689" t="s">
        <v>6031</v>
      </c>
      <c r="G689" t="s">
        <v>74</v>
      </c>
      <c r="H689" t="s">
        <v>74</v>
      </c>
      <c r="I689" t="s">
        <v>6032</v>
      </c>
      <c r="J689" t="s">
        <v>665</v>
      </c>
      <c r="K689" t="s">
        <v>74</v>
      </c>
      <c r="L689" t="s">
        <v>74</v>
      </c>
      <c r="M689" t="s">
        <v>74</v>
      </c>
      <c r="N689" t="s">
        <v>74</v>
      </c>
      <c r="O689" t="s">
        <v>6033</v>
      </c>
      <c r="P689" t="s">
        <v>6034</v>
      </c>
      <c r="Q689" t="s">
        <v>6035</v>
      </c>
      <c r="R689" t="s">
        <v>6036</v>
      </c>
      <c r="S689" t="s">
        <v>74</v>
      </c>
      <c r="T689" t="s">
        <v>74</v>
      </c>
      <c r="U689" t="s">
        <v>74</v>
      </c>
      <c r="V689" t="s">
        <v>6037</v>
      </c>
      <c r="W689" t="s">
        <v>74</v>
      </c>
      <c r="X689" t="s">
        <v>74</v>
      </c>
      <c r="Y689" t="s">
        <v>74</v>
      </c>
      <c r="Z689" t="s">
        <v>74</v>
      </c>
      <c r="AA689" t="s">
        <v>6038</v>
      </c>
      <c r="AB689" t="s">
        <v>6039</v>
      </c>
      <c r="AC689" t="s">
        <v>74</v>
      </c>
      <c r="AD689" t="s">
        <v>74</v>
      </c>
      <c r="AE689" t="s">
        <v>74</v>
      </c>
      <c r="AF689" t="s">
        <v>74</v>
      </c>
      <c r="AG689" t="s">
        <v>74</v>
      </c>
      <c r="AH689" t="s">
        <v>74</v>
      </c>
      <c r="AI689" t="s">
        <v>74</v>
      </c>
      <c r="AJ689" t="s">
        <v>74</v>
      </c>
      <c r="AK689" t="s">
        <v>74</v>
      </c>
      <c r="AL689" t="s">
        <v>74</v>
      </c>
      <c r="AM689" t="s">
        <v>74</v>
      </c>
      <c r="AN689" t="s">
        <v>74</v>
      </c>
      <c r="AO689" t="s">
        <v>668</v>
      </c>
      <c r="AP689" t="s">
        <v>669</v>
      </c>
      <c r="AQ689" t="s">
        <v>74</v>
      </c>
      <c r="AR689" t="s">
        <v>74</v>
      </c>
      <c r="AS689" t="s">
        <v>74</v>
      </c>
      <c r="AT689" t="s">
        <v>368</v>
      </c>
      <c r="AU689">
        <v>2019</v>
      </c>
      <c r="AV689">
        <v>335</v>
      </c>
      <c r="AW689" t="s">
        <v>74</v>
      </c>
      <c r="AX689" t="s">
        <v>74</v>
      </c>
      <c r="AY689" t="s">
        <v>74</v>
      </c>
      <c r="AZ689" t="s">
        <v>74</v>
      </c>
      <c r="BA689" t="s">
        <v>74</v>
      </c>
      <c r="BB689">
        <v>129</v>
      </c>
      <c r="BC689">
        <v>134</v>
      </c>
      <c r="BD689" t="s">
        <v>74</v>
      </c>
      <c r="BE689" t="s">
        <v>6040</v>
      </c>
      <c r="BF689" t="str">
        <f>HYPERLINK("http://dx.doi.org/10.1016/j.ssi.2019.02.022","http://dx.doi.org/10.1016/j.ssi.2019.02.022")</f>
        <v>http://dx.doi.org/10.1016/j.ssi.2019.02.022</v>
      </c>
      <c r="BG689" t="s">
        <v>74</v>
      </c>
      <c r="BH689" t="s">
        <v>74</v>
      </c>
      <c r="BI689" t="s">
        <v>74</v>
      </c>
      <c r="BJ689" t="s">
        <v>74</v>
      </c>
      <c r="BK689" t="s">
        <v>74</v>
      </c>
      <c r="BL689" t="s">
        <v>74</v>
      </c>
      <c r="BM689" t="s">
        <v>74</v>
      </c>
      <c r="BN689" t="s">
        <v>74</v>
      </c>
      <c r="BO689" t="s">
        <v>74</v>
      </c>
      <c r="BP689" t="s">
        <v>74</v>
      </c>
      <c r="BQ689" t="s">
        <v>74</v>
      </c>
      <c r="BR689" t="s">
        <v>74</v>
      </c>
      <c r="BS689" t="s">
        <v>6041</v>
      </c>
      <c r="BT689" t="str">
        <f>HYPERLINK("https%3A%2F%2Fwww.webofscience.com%2Fwos%2Fwoscc%2Ffull-record%2FWOS:000466829700018","View Full Record in Web of Science")</f>
        <v>View Full Record in Web of Science</v>
      </c>
    </row>
    <row r="690" spans="1:72" x14ac:dyDescent="0.2">
      <c r="A690" t="s">
        <v>72</v>
      </c>
      <c r="B690" t="s">
        <v>6042</v>
      </c>
      <c r="C690" t="s">
        <v>74</v>
      </c>
      <c r="D690" t="s">
        <v>74</v>
      </c>
      <c r="E690" t="s">
        <v>74</v>
      </c>
      <c r="F690" t="s">
        <v>6043</v>
      </c>
      <c r="G690" t="s">
        <v>74</v>
      </c>
      <c r="H690" t="s">
        <v>74</v>
      </c>
      <c r="I690" t="s">
        <v>6044</v>
      </c>
      <c r="J690" t="s">
        <v>352</v>
      </c>
      <c r="K690" t="s">
        <v>74</v>
      </c>
      <c r="L690" t="s">
        <v>74</v>
      </c>
      <c r="M690" t="s">
        <v>74</v>
      </c>
      <c r="N690" t="s">
        <v>74</v>
      </c>
      <c r="O690" t="s">
        <v>74</v>
      </c>
      <c r="P690" t="s">
        <v>74</v>
      </c>
      <c r="Q690" t="s">
        <v>74</v>
      </c>
      <c r="R690" t="s">
        <v>74</v>
      </c>
      <c r="S690" t="s">
        <v>74</v>
      </c>
      <c r="T690" t="s">
        <v>74</v>
      </c>
      <c r="U690" t="s">
        <v>74</v>
      </c>
      <c r="V690" t="s">
        <v>6045</v>
      </c>
      <c r="W690" t="s">
        <v>74</v>
      </c>
      <c r="X690" t="s">
        <v>74</v>
      </c>
      <c r="Y690" t="s">
        <v>74</v>
      </c>
      <c r="Z690" t="s">
        <v>74</v>
      </c>
      <c r="AA690" t="s">
        <v>6046</v>
      </c>
      <c r="AB690" t="s">
        <v>6047</v>
      </c>
      <c r="AC690" t="s">
        <v>74</v>
      </c>
      <c r="AD690" t="s">
        <v>74</v>
      </c>
      <c r="AE690" t="s">
        <v>74</v>
      </c>
      <c r="AF690" t="s">
        <v>74</v>
      </c>
      <c r="AG690" t="s">
        <v>74</v>
      </c>
      <c r="AH690" t="s">
        <v>74</v>
      </c>
      <c r="AI690" t="s">
        <v>74</v>
      </c>
      <c r="AJ690" t="s">
        <v>74</v>
      </c>
      <c r="AK690" t="s">
        <v>74</v>
      </c>
      <c r="AL690" t="s">
        <v>74</v>
      </c>
      <c r="AM690" t="s">
        <v>74</v>
      </c>
      <c r="AN690" t="s">
        <v>74</v>
      </c>
      <c r="AO690" t="s">
        <v>354</v>
      </c>
      <c r="AP690" t="s">
        <v>355</v>
      </c>
      <c r="AQ690" t="s">
        <v>74</v>
      </c>
      <c r="AR690" t="s">
        <v>74</v>
      </c>
      <c r="AS690" t="s">
        <v>74</v>
      </c>
      <c r="AT690" t="s">
        <v>368</v>
      </c>
      <c r="AU690">
        <v>2019</v>
      </c>
      <c r="AV690">
        <v>9</v>
      </c>
      <c r="AW690">
        <v>26</v>
      </c>
      <c r="AX690" t="s">
        <v>74</v>
      </c>
      <c r="AY690" t="s">
        <v>74</v>
      </c>
      <c r="AZ690" t="s">
        <v>74</v>
      </c>
      <c r="BA690" t="s">
        <v>74</v>
      </c>
      <c r="BB690" t="s">
        <v>74</v>
      </c>
      <c r="BC690" t="s">
        <v>74</v>
      </c>
      <c r="BD690">
        <v>1900945</v>
      </c>
      <c r="BE690" t="s">
        <v>6048</v>
      </c>
      <c r="BF690" t="str">
        <f>HYPERLINK("http://dx.doi.org/10.1002/aenm.201900945","http://dx.doi.org/10.1002/aenm.201900945")</f>
        <v>http://dx.doi.org/10.1002/aenm.201900945</v>
      </c>
      <c r="BG690" t="s">
        <v>74</v>
      </c>
      <c r="BH690" t="s">
        <v>74</v>
      </c>
      <c r="BI690" t="s">
        <v>74</v>
      </c>
      <c r="BJ690" t="s">
        <v>74</v>
      </c>
      <c r="BK690" t="s">
        <v>74</v>
      </c>
      <c r="BL690" t="s">
        <v>74</v>
      </c>
      <c r="BM690" t="s">
        <v>74</v>
      </c>
      <c r="BN690" t="s">
        <v>74</v>
      </c>
      <c r="BO690" t="s">
        <v>74</v>
      </c>
      <c r="BP690" t="s">
        <v>74</v>
      </c>
      <c r="BQ690" t="s">
        <v>74</v>
      </c>
      <c r="BR690" t="s">
        <v>74</v>
      </c>
      <c r="BS690" t="s">
        <v>6049</v>
      </c>
      <c r="BT690" t="str">
        <f>HYPERLINK("https%3A%2F%2Fwww.webofscience.com%2Fwos%2Fwoscc%2Ffull-record%2FWOS:000477779200005","View Full Record in Web of Science")</f>
        <v>View Full Record in Web of Science</v>
      </c>
    </row>
    <row r="691" spans="1:72" x14ac:dyDescent="0.2">
      <c r="A691" t="s">
        <v>72</v>
      </c>
      <c r="B691" t="s">
        <v>6050</v>
      </c>
      <c r="C691" t="s">
        <v>74</v>
      </c>
      <c r="D691" t="s">
        <v>74</v>
      </c>
      <c r="E691" t="s">
        <v>74</v>
      </c>
      <c r="F691" t="s">
        <v>6051</v>
      </c>
      <c r="G691" t="s">
        <v>74</v>
      </c>
      <c r="H691" t="s">
        <v>74</v>
      </c>
      <c r="I691" t="s">
        <v>6052</v>
      </c>
      <c r="J691" t="s">
        <v>98</v>
      </c>
      <c r="K691" t="s">
        <v>74</v>
      </c>
      <c r="L691" t="s">
        <v>74</v>
      </c>
      <c r="M691" t="s">
        <v>74</v>
      </c>
      <c r="N691" t="s">
        <v>74</v>
      </c>
      <c r="O691" t="s">
        <v>74</v>
      </c>
      <c r="P691" t="s">
        <v>74</v>
      </c>
      <c r="Q691" t="s">
        <v>74</v>
      </c>
      <c r="R691" t="s">
        <v>74</v>
      </c>
      <c r="S691" t="s">
        <v>74</v>
      </c>
      <c r="T691" t="s">
        <v>74</v>
      </c>
      <c r="U691" t="s">
        <v>74</v>
      </c>
      <c r="V691" t="s">
        <v>6053</v>
      </c>
      <c r="W691" t="s">
        <v>74</v>
      </c>
      <c r="X691" t="s">
        <v>74</v>
      </c>
      <c r="Y691" t="s">
        <v>74</v>
      </c>
      <c r="Z691" t="s">
        <v>74</v>
      </c>
      <c r="AA691" t="s">
        <v>6054</v>
      </c>
      <c r="AB691" t="s">
        <v>6055</v>
      </c>
      <c r="AC691" t="s">
        <v>74</v>
      </c>
      <c r="AD691" t="s">
        <v>74</v>
      </c>
      <c r="AE691" t="s">
        <v>74</v>
      </c>
      <c r="AF691" t="s">
        <v>74</v>
      </c>
      <c r="AG691" t="s">
        <v>74</v>
      </c>
      <c r="AH691" t="s">
        <v>74</v>
      </c>
      <c r="AI691" t="s">
        <v>74</v>
      </c>
      <c r="AJ691" t="s">
        <v>74</v>
      </c>
      <c r="AK691" t="s">
        <v>74</v>
      </c>
      <c r="AL691" t="s">
        <v>74</v>
      </c>
      <c r="AM691" t="s">
        <v>74</v>
      </c>
      <c r="AN691" t="s">
        <v>74</v>
      </c>
      <c r="AO691" t="s">
        <v>101</v>
      </c>
      <c r="AP691" t="s">
        <v>102</v>
      </c>
      <c r="AQ691" t="s">
        <v>74</v>
      </c>
      <c r="AR691" t="s">
        <v>74</v>
      </c>
      <c r="AS691" t="s">
        <v>74</v>
      </c>
      <c r="AT691" t="s">
        <v>404</v>
      </c>
      <c r="AU691">
        <v>2019</v>
      </c>
      <c r="AV691">
        <v>426</v>
      </c>
      <c r="AW691" t="s">
        <v>74</v>
      </c>
      <c r="AX691" t="s">
        <v>74</v>
      </c>
      <c r="AY691" t="s">
        <v>74</v>
      </c>
      <c r="AZ691" t="s">
        <v>74</v>
      </c>
      <c r="BA691" t="s">
        <v>74</v>
      </c>
      <c r="BB691">
        <v>250</v>
      </c>
      <c r="BC691">
        <v>258</v>
      </c>
      <c r="BD691" t="s">
        <v>74</v>
      </c>
      <c r="BE691" t="s">
        <v>6056</v>
      </c>
      <c r="BF691" t="str">
        <f>HYPERLINK("http://dx.doi.org/10.1016/j.jpowsour.2019.04.051","http://dx.doi.org/10.1016/j.jpowsour.2019.04.051")</f>
        <v>http://dx.doi.org/10.1016/j.jpowsour.2019.04.051</v>
      </c>
      <c r="BG691" t="s">
        <v>74</v>
      </c>
      <c r="BH691" t="s">
        <v>74</v>
      </c>
      <c r="BI691" t="s">
        <v>74</v>
      </c>
      <c r="BJ691" t="s">
        <v>74</v>
      </c>
      <c r="BK691" t="s">
        <v>74</v>
      </c>
      <c r="BL691" t="s">
        <v>74</v>
      </c>
      <c r="BM691" t="s">
        <v>74</v>
      </c>
      <c r="BN691" t="s">
        <v>74</v>
      </c>
      <c r="BO691" t="s">
        <v>74</v>
      </c>
      <c r="BP691" t="s">
        <v>74</v>
      </c>
      <c r="BQ691" t="s">
        <v>74</v>
      </c>
      <c r="BR691" t="s">
        <v>74</v>
      </c>
      <c r="BS691" t="s">
        <v>6057</v>
      </c>
      <c r="BT691" t="str">
        <f>HYPERLINK("https%3A%2F%2Fwww.webofscience.com%2Fwos%2Fwoscc%2Ffull-record%2FWOS:000468250400032","View Full Record in Web of Science")</f>
        <v>View Full Record in Web of Science</v>
      </c>
    </row>
    <row r="692" spans="1:72" x14ac:dyDescent="0.2">
      <c r="A692" t="s">
        <v>72</v>
      </c>
      <c r="B692" t="s">
        <v>6058</v>
      </c>
      <c r="C692" t="s">
        <v>74</v>
      </c>
      <c r="D692" t="s">
        <v>74</v>
      </c>
      <c r="E692" t="s">
        <v>74</v>
      </c>
      <c r="F692" t="s">
        <v>6059</v>
      </c>
      <c r="G692" t="s">
        <v>74</v>
      </c>
      <c r="H692" t="s">
        <v>74</v>
      </c>
      <c r="I692" t="s">
        <v>6060</v>
      </c>
      <c r="J692" t="s">
        <v>1237</v>
      </c>
      <c r="K692" t="s">
        <v>74</v>
      </c>
      <c r="L692" t="s">
        <v>74</v>
      </c>
      <c r="M692" t="s">
        <v>74</v>
      </c>
      <c r="N692" t="s">
        <v>74</v>
      </c>
      <c r="O692" t="s">
        <v>74</v>
      </c>
      <c r="P692" t="s">
        <v>74</v>
      </c>
      <c r="Q692" t="s">
        <v>74</v>
      </c>
      <c r="R692" t="s">
        <v>74</v>
      </c>
      <c r="S692" t="s">
        <v>74</v>
      </c>
      <c r="T692" t="s">
        <v>74</v>
      </c>
      <c r="U692" t="s">
        <v>74</v>
      </c>
      <c r="V692" t="s">
        <v>6061</v>
      </c>
      <c r="W692" t="s">
        <v>74</v>
      </c>
      <c r="X692" t="s">
        <v>74</v>
      </c>
      <c r="Y692" t="s">
        <v>74</v>
      </c>
      <c r="Z692" t="s">
        <v>74</v>
      </c>
      <c r="AA692" t="s">
        <v>6062</v>
      </c>
      <c r="AB692" t="s">
        <v>6063</v>
      </c>
      <c r="AC692" t="s">
        <v>74</v>
      </c>
      <c r="AD692" t="s">
        <v>74</v>
      </c>
      <c r="AE692" t="s">
        <v>74</v>
      </c>
      <c r="AF692" t="s">
        <v>74</v>
      </c>
      <c r="AG692" t="s">
        <v>74</v>
      </c>
      <c r="AH692" t="s">
        <v>74</v>
      </c>
      <c r="AI692" t="s">
        <v>74</v>
      </c>
      <c r="AJ692" t="s">
        <v>74</v>
      </c>
      <c r="AK692" t="s">
        <v>74</v>
      </c>
      <c r="AL692" t="s">
        <v>74</v>
      </c>
      <c r="AM692" t="s">
        <v>74</v>
      </c>
      <c r="AN692" t="s">
        <v>74</v>
      </c>
      <c r="AO692" t="s">
        <v>1241</v>
      </c>
      <c r="AP692" t="s">
        <v>74</v>
      </c>
      <c r="AQ692" t="s">
        <v>74</v>
      </c>
      <c r="AR692" t="s">
        <v>74</v>
      </c>
      <c r="AS692" t="s">
        <v>74</v>
      </c>
      <c r="AT692" t="s">
        <v>6064</v>
      </c>
      <c r="AU692">
        <v>2019</v>
      </c>
      <c r="AV692">
        <v>3</v>
      </c>
      <c r="AW692">
        <v>6</v>
      </c>
      <c r="AX692" t="s">
        <v>74</v>
      </c>
      <c r="AY692" t="s">
        <v>74</v>
      </c>
      <c r="AZ692" t="s">
        <v>74</v>
      </c>
      <c r="BA692" t="s">
        <v>74</v>
      </c>
      <c r="BB692">
        <v>1510</v>
      </c>
      <c r="BC692">
        <v>1522</v>
      </c>
      <c r="BD692" t="s">
        <v>74</v>
      </c>
      <c r="BE692" t="s">
        <v>6065</v>
      </c>
      <c r="BF692" t="str">
        <f>HYPERLINK("http://dx.doi.org/10.1016/j.joule.2019.03.022","http://dx.doi.org/10.1016/j.joule.2019.03.022")</f>
        <v>http://dx.doi.org/10.1016/j.joule.2019.03.022</v>
      </c>
      <c r="BG692" t="s">
        <v>74</v>
      </c>
      <c r="BH692" t="s">
        <v>74</v>
      </c>
      <c r="BI692" t="s">
        <v>74</v>
      </c>
      <c r="BJ692" t="s">
        <v>74</v>
      </c>
      <c r="BK692" t="s">
        <v>74</v>
      </c>
      <c r="BL692" t="s">
        <v>74</v>
      </c>
      <c r="BM692" t="s">
        <v>74</v>
      </c>
      <c r="BN692" t="s">
        <v>74</v>
      </c>
      <c r="BO692" t="s">
        <v>74</v>
      </c>
      <c r="BP692" t="s">
        <v>74</v>
      </c>
      <c r="BQ692" t="s">
        <v>74</v>
      </c>
      <c r="BR692" t="s">
        <v>74</v>
      </c>
      <c r="BS692" t="s">
        <v>6066</v>
      </c>
      <c r="BT692" t="str">
        <f>HYPERLINK("https%3A%2F%2Fwww.webofscience.com%2Fwos%2Fwoscc%2Ffull-record%2FWOS:000472067900017","View Full Record in Web of Science")</f>
        <v>View Full Record in Web of Science</v>
      </c>
    </row>
    <row r="693" spans="1:72" x14ac:dyDescent="0.2">
      <c r="A693" t="s">
        <v>72</v>
      </c>
      <c r="B693" t="s">
        <v>6067</v>
      </c>
      <c r="C693" t="s">
        <v>74</v>
      </c>
      <c r="D693" t="s">
        <v>74</v>
      </c>
      <c r="E693" t="s">
        <v>74</v>
      </c>
      <c r="F693" t="s">
        <v>6068</v>
      </c>
      <c r="G693" t="s">
        <v>74</v>
      </c>
      <c r="H693" t="s">
        <v>74</v>
      </c>
      <c r="I693" t="s">
        <v>6069</v>
      </c>
      <c r="J693" t="s">
        <v>754</v>
      </c>
      <c r="K693" t="s">
        <v>74</v>
      </c>
      <c r="L693" t="s">
        <v>74</v>
      </c>
      <c r="M693" t="s">
        <v>74</v>
      </c>
      <c r="N693" t="s">
        <v>74</v>
      </c>
      <c r="O693" t="s">
        <v>74</v>
      </c>
      <c r="P693" t="s">
        <v>74</v>
      </c>
      <c r="Q693" t="s">
        <v>74</v>
      </c>
      <c r="R693" t="s">
        <v>74</v>
      </c>
      <c r="S693" t="s">
        <v>74</v>
      </c>
      <c r="T693" t="s">
        <v>74</v>
      </c>
      <c r="U693" t="s">
        <v>74</v>
      </c>
      <c r="V693" t="s">
        <v>6070</v>
      </c>
      <c r="W693" t="s">
        <v>74</v>
      </c>
      <c r="X693" t="s">
        <v>74</v>
      </c>
      <c r="Y693" t="s">
        <v>74</v>
      </c>
      <c r="Z693" t="s">
        <v>74</v>
      </c>
      <c r="AA693" t="s">
        <v>6071</v>
      </c>
      <c r="AB693" t="s">
        <v>6072</v>
      </c>
      <c r="AC693" t="s">
        <v>74</v>
      </c>
      <c r="AD693" t="s">
        <v>74</v>
      </c>
      <c r="AE693" t="s">
        <v>74</v>
      </c>
      <c r="AF693" t="s">
        <v>74</v>
      </c>
      <c r="AG693" t="s">
        <v>74</v>
      </c>
      <c r="AH693" t="s">
        <v>74</v>
      </c>
      <c r="AI693" t="s">
        <v>74</v>
      </c>
      <c r="AJ693" t="s">
        <v>74</v>
      </c>
      <c r="AK693" t="s">
        <v>74</v>
      </c>
      <c r="AL693" t="s">
        <v>74</v>
      </c>
      <c r="AM693" t="s">
        <v>74</v>
      </c>
      <c r="AN693" t="s">
        <v>74</v>
      </c>
      <c r="AO693" t="s">
        <v>757</v>
      </c>
      <c r="AP693" t="s">
        <v>758</v>
      </c>
      <c r="AQ693" t="s">
        <v>74</v>
      </c>
      <c r="AR693" t="s">
        <v>74</v>
      </c>
      <c r="AS693" t="s">
        <v>74</v>
      </c>
      <c r="AT693" t="s">
        <v>2174</v>
      </c>
      <c r="AU693">
        <v>2019</v>
      </c>
      <c r="AV693">
        <v>842</v>
      </c>
      <c r="AW693" t="s">
        <v>74</v>
      </c>
      <c r="AX693" t="s">
        <v>74</v>
      </c>
      <c r="AY693" t="s">
        <v>74</v>
      </c>
      <c r="AZ693" t="s">
        <v>74</v>
      </c>
      <c r="BA693" t="s">
        <v>74</v>
      </c>
      <c r="BB693">
        <v>34</v>
      </c>
      <c r="BC693">
        <v>40</v>
      </c>
      <c r="BD693" t="s">
        <v>74</v>
      </c>
      <c r="BE693" t="s">
        <v>6073</v>
      </c>
      <c r="BF693" t="str">
        <f>HYPERLINK("http://dx.doi.org/10.1016/j.jelechem.2019.04.047","http://dx.doi.org/10.1016/j.jelechem.2019.04.047")</f>
        <v>http://dx.doi.org/10.1016/j.jelechem.2019.04.047</v>
      </c>
      <c r="BG693" t="s">
        <v>74</v>
      </c>
      <c r="BH693" t="s">
        <v>74</v>
      </c>
      <c r="BI693" t="s">
        <v>74</v>
      </c>
      <c r="BJ693" t="s">
        <v>74</v>
      </c>
      <c r="BK693" t="s">
        <v>74</v>
      </c>
      <c r="BL693" t="s">
        <v>74</v>
      </c>
      <c r="BM693" t="s">
        <v>74</v>
      </c>
      <c r="BN693" t="s">
        <v>74</v>
      </c>
      <c r="BO693" t="s">
        <v>74</v>
      </c>
      <c r="BP693" t="s">
        <v>74</v>
      </c>
      <c r="BQ693" t="s">
        <v>74</v>
      </c>
      <c r="BR693" t="s">
        <v>74</v>
      </c>
      <c r="BS693" t="s">
        <v>6074</v>
      </c>
      <c r="BT693" t="str">
        <f>HYPERLINK("https%3A%2F%2Fwww.webofscience.com%2Fwos%2Fwoscc%2Ffull-record%2FWOS:000469907700005","View Full Record in Web of Science")</f>
        <v>View Full Record in Web of Science</v>
      </c>
    </row>
    <row r="694" spans="1:72" x14ac:dyDescent="0.2">
      <c r="A694" t="s">
        <v>72</v>
      </c>
      <c r="B694" t="s">
        <v>6075</v>
      </c>
      <c r="C694" t="s">
        <v>74</v>
      </c>
      <c r="D694" t="s">
        <v>74</v>
      </c>
      <c r="E694" t="s">
        <v>74</v>
      </c>
      <c r="F694" t="s">
        <v>6076</v>
      </c>
      <c r="G694" t="s">
        <v>74</v>
      </c>
      <c r="H694" t="s">
        <v>74</v>
      </c>
      <c r="I694" t="s">
        <v>6077</v>
      </c>
      <c r="J694" t="s">
        <v>98</v>
      </c>
      <c r="K694" t="s">
        <v>74</v>
      </c>
      <c r="L694" t="s">
        <v>74</v>
      </c>
      <c r="M694" t="s">
        <v>74</v>
      </c>
      <c r="N694" t="s">
        <v>74</v>
      </c>
      <c r="O694" t="s">
        <v>74</v>
      </c>
      <c r="P694" t="s">
        <v>74</v>
      </c>
      <c r="Q694" t="s">
        <v>74</v>
      </c>
      <c r="R694" t="s">
        <v>74</v>
      </c>
      <c r="S694" t="s">
        <v>74</v>
      </c>
      <c r="T694" t="s">
        <v>74</v>
      </c>
      <c r="U694" t="s">
        <v>74</v>
      </c>
      <c r="V694" t="s">
        <v>6078</v>
      </c>
      <c r="W694" t="s">
        <v>74</v>
      </c>
      <c r="X694" t="s">
        <v>74</v>
      </c>
      <c r="Y694" t="s">
        <v>74</v>
      </c>
      <c r="Z694" t="s">
        <v>74</v>
      </c>
      <c r="AA694" t="s">
        <v>6079</v>
      </c>
      <c r="AB694" t="s">
        <v>6080</v>
      </c>
      <c r="AC694" t="s">
        <v>74</v>
      </c>
      <c r="AD694" t="s">
        <v>74</v>
      </c>
      <c r="AE694" t="s">
        <v>74</v>
      </c>
      <c r="AF694" t="s">
        <v>74</v>
      </c>
      <c r="AG694" t="s">
        <v>74</v>
      </c>
      <c r="AH694" t="s">
        <v>74</v>
      </c>
      <c r="AI694" t="s">
        <v>74</v>
      </c>
      <c r="AJ694" t="s">
        <v>74</v>
      </c>
      <c r="AK694" t="s">
        <v>74</v>
      </c>
      <c r="AL694" t="s">
        <v>74</v>
      </c>
      <c r="AM694" t="s">
        <v>74</v>
      </c>
      <c r="AN694" t="s">
        <v>74</v>
      </c>
      <c r="AO694" t="s">
        <v>101</v>
      </c>
      <c r="AP694" t="s">
        <v>102</v>
      </c>
      <c r="AQ694" t="s">
        <v>74</v>
      </c>
      <c r="AR694" t="s">
        <v>74</v>
      </c>
      <c r="AS694" t="s">
        <v>74</v>
      </c>
      <c r="AT694" t="s">
        <v>3993</v>
      </c>
      <c r="AU694">
        <v>2019</v>
      </c>
      <c r="AV694">
        <v>423</v>
      </c>
      <c r="AW694" t="s">
        <v>74</v>
      </c>
      <c r="AX694" t="s">
        <v>74</v>
      </c>
      <c r="AY694" t="s">
        <v>74</v>
      </c>
      <c r="AZ694" t="s">
        <v>74</v>
      </c>
      <c r="BA694" t="s">
        <v>74</v>
      </c>
      <c r="BB694">
        <v>349</v>
      </c>
      <c r="BC694">
        <v>357</v>
      </c>
      <c r="BD694" t="s">
        <v>74</v>
      </c>
      <c r="BE694" t="s">
        <v>6081</v>
      </c>
      <c r="BF694" t="str">
        <f>HYPERLINK("http://dx.doi.org/10.1016/j.jpowsour.2019.03.081","http://dx.doi.org/10.1016/j.jpowsour.2019.03.081")</f>
        <v>http://dx.doi.org/10.1016/j.jpowsour.2019.03.081</v>
      </c>
      <c r="BG694" t="s">
        <v>74</v>
      </c>
      <c r="BH694" t="s">
        <v>74</v>
      </c>
      <c r="BI694" t="s">
        <v>74</v>
      </c>
      <c r="BJ694" t="s">
        <v>74</v>
      </c>
      <c r="BK694" t="s">
        <v>74</v>
      </c>
      <c r="BL694" t="s">
        <v>74</v>
      </c>
      <c r="BM694" t="s">
        <v>74</v>
      </c>
      <c r="BN694" t="s">
        <v>74</v>
      </c>
      <c r="BO694" t="s">
        <v>74</v>
      </c>
      <c r="BP694" t="s">
        <v>74</v>
      </c>
      <c r="BQ694" t="s">
        <v>74</v>
      </c>
      <c r="BR694" t="s">
        <v>74</v>
      </c>
      <c r="BS694" t="s">
        <v>6082</v>
      </c>
      <c r="BT694" t="str">
        <f>HYPERLINK("https%3A%2F%2Fwww.webofscience.com%2Fwos%2Fwoscc%2Ffull-record%2FWOS:000466453700042","View Full Record in Web of Science")</f>
        <v>View Full Record in Web of Science</v>
      </c>
    </row>
    <row r="695" spans="1:72" x14ac:dyDescent="0.2">
      <c r="A695" t="s">
        <v>72</v>
      </c>
      <c r="B695" t="s">
        <v>6083</v>
      </c>
      <c r="C695" t="s">
        <v>74</v>
      </c>
      <c r="D695" t="s">
        <v>74</v>
      </c>
      <c r="E695" t="s">
        <v>74</v>
      </c>
      <c r="F695" t="s">
        <v>6084</v>
      </c>
      <c r="G695" t="s">
        <v>74</v>
      </c>
      <c r="H695" t="s">
        <v>74</v>
      </c>
      <c r="I695" t="s">
        <v>6085</v>
      </c>
      <c r="J695" t="s">
        <v>528</v>
      </c>
      <c r="K695" t="s">
        <v>74</v>
      </c>
      <c r="L695" t="s">
        <v>74</v>
      </c>
      <c r="M695" t="s">
        <v>74</v>
      </c>
      <c r="N695" t="s">
        <v>74</v>
      </c>
      <c r="O695" t="s">
        <v>74</v>
      </c>
      <c r="P695" t="s">
        <v>74</v>
      </c>
      <c r="Q695" t="s">
        <v>74</v>
      </c>
      <c r="R695" t="s">
        <v>74</v>
      </c>
      <c r="S695" t="s">
        <v>74</v>
      </c>
      <c r="T695" t="s">
        <v>74</v>
      </c>
      <c r="U695" t="s">
        <v>74</v>
      </c>
      <c r="V695" t="s">
        <v>6086</v>
      </c>
      <c r="W695" t="s">
        <v>74</v>
      </c>
      <c r="X695" t="s">
        <v>74</v>
      </c>
      <c r="Y695" t="s">
        <v>74</v>
      </c>
      <c r="Z695" t="s">
        <v>74</v>
      </c>
      <c r="AA695" t="s">
        <v>6087</v>
      </c>
      <c r="AB695" t="s">
        <v>6088</v>
      </c>
      <c r="AC695" t="s">
        <v>74</v>
      </c>
      <c r="AD695" t="s">
        <v>74</v>
      </c>
      <c r="AE695" t="s">
        <v>74</v>
      </c>
      <c r="AF695" t="s">
        <v>74</v>
      </c>
      <c r="AG695" t="s">
        <v>74</v>
      </c>
      <c r="AH695" t="s">
        <v>74</v>
      </c>
      <c r="AI695" t="s">
        <v>74</v>
      </c>
      <c r="AJ695" t="s">
        <v>74</v>
      </c>
      <c r="AK695" t="s">
        <v>74</v>
      </c>
      <c r="AL695" t="s">
        <v>74</v>
      </c>
      <c r="AM695" t="s">
        <v>74</v>
      </c>
      <c r="AN695" t="s">
        <v>74</v>
      </c>
      <c r="AO695" t="s">
        <v>532</v>
      </c>
      <c r="AP695" t="s">
        <v>533</v>
      </c>
      <c r="AQ695" t="s">
        <v>74</v>
      </c>
      <c r="AR695" t="s">
        <v>74</v>
      </c>
      <c r="AS695" t="s">
        <v>74</v>
      </c>
      <c r="AT695" t="s">
        <v>717</v>
      </c>
      <c r="AU695">
        <v>2019</v>
      </c>
      <c r="AV695">
        <v>11</v>
      </c>
      <c r="AW695">
        <v>19</v>
      </c>
      <c r="AX695" t="s">
        <v>74</v>
      </c>
      <c r="AY695" t="s">
        <v>74</v>
      </c>
      <c r="AZ695" t="s">
        <v>74</v>
      </c>
      <c r="BA695" t="s">
        <v>74</v>
      </c>
      <c r="BB695">
        <v>17435</v>
      </c>
      <c r="BC695">
        <v>17443</v>
      </c>
      <c r="BD695" t="s">
        <v>74</v>
      </c>
      <c r="BE695" t="s">
        <v>6089</v>
      </c>
      <c r="BF695" t="str">
        <f>HYPERLINK("http://dx.doi.org/10.1021/acsami.9b03417","http://dx.doi.org/10.1021/acsami.9b03417")</f>
        <v>http://dx.doi.org/10.1021/acsami.9b03417</v>
      </c>
      <c r="BG695" t="s">
        <v>74</v>
      </c>
      <c r="BH695" t="s">
        <v>74</v>
      </c>
      <c r="BI695" t="s">
        <v>74</v>
      </c>
      <c r="BJ695" t="s">
        <v>74</v>
      </c>
      <c r="BK695" t="s">
        <v>74</v>
      </c>
      <c r="BL695" t="s">
        <v>74</v>
      </c>
      <c r="BM695" t="s">
        <v>74</v>
      </c>
      <c r="BN695">
        <v>31021075</v>
      </c>
      <c r="BO695" t="s">
        <v>74</v>
      </c>
      <c r="BP695" t="s">
        <v>74</v>
      </c>
      <c r="BQ695" t="s">
        <v>74</v>
      </c>
      <c r="BR695" t="s">
        <v>74</v>
      </c>
      <c r="BS695" t="s">
        <v>6090</v>
      </c>
      <c r="BT695" t="str">
        <f>HYPERLINK("https%3A%2F%2Fwww.webofscience.com%2Fwos%2Fwoscc%2Ffull-record%2FWOS:000468364500034","View Full Record in Web of Science")</f>
        <v>View Full Record in Web of Science</v>
      </c>
    </row>
    <row r="696" spans="1:72" x14ac:dyDescent="0.2">
      <c r="A696" t="s">
        <v>72</v>
      </c>
      <c r="B696" t="s">
        <v>6091</v>
      </c>
      <c r="C696" t="s">
        <v>74</v>
      </c>
      <c r="D696" t="s">
        <v>74</v>
      </c>
      <c r="E696" t="s">
        <v>74</v>
      </c>
      <c r="F696" t="s">
        <v>6092</v>
      </c>
      <c r="G696" t="s">
        <v>74</v>
      </c>
      <c r="H696" t="s">
        <v>74</v>
      </c>
      <c r="I696" t="s">
        <v>6093</v>
      </c>
      <c r="J696" t="s">
        <v>6094</v>
      </c>
      <c r="K696" t="s">
        <v>74</v>
      </c>
      <c r="L696" t="s">
        <v>74</v>
      </c>
      <c r="M696" t="s">
        <v>74</v>
      </c>
      <c r="N696" t="s">
        <v>74</v>
      </c>
      <c r="O696" t="s">
        <v>74</v>
      </c>
      <c r="P696" t="s">
        <v>74</v>
      </c>
      <c r="Q696" t="s">
        <v>74</v>
      </c>
      <c r="R696" t="s">
        <v>74</v>
      </c>
      <c r="S696" t="s">
        <v>74</v>
      </c>
      <c r="T696" t="s">
        <v>74</v>
      </c>
      <c r="U696" t="s">
        <v>74</v>
      </c>
      <c r="V696" t="s">
        <v>6095</v>
      </c>
      <c r="W696" t="s">
        <v>74</v>
      </c>
      <c r="X696" t="s">
        <v>74</v>
      </c>
      <c r="Y696" t="s">
        <v>74</v>
      </c>
      <c r="Z696" t="s">
        <v>74</v>
      </c>
      <c r="AA696" t="s">
        <v>6096</v>
      </c>
      <c r="AB696" t="s">
        <v>6097</v>
      </c>
      <c r="AC696" t="s">
        <v>74</v>
      </c>
      <c r="AD696" t="s">
        <v>74</v>
      </c>
      <c r="AE696" t="s">
        <v>74</v>
      </c>
      <c r="AF696" t="s">
        <v>74</v>
      </c>
      <c r="AG696" t="s">
        <v>74</v>
      </c>
      <c r="AH696" t="s">
        <v>74</v>
      </c>
      <c r="AI696" t="s">
        <v>74</v>
      </c>
      <c r="AJ696" t="s">
        <v>74</v>
      </c>
      <c r="AK696" t="s">
        <v>74</v>
      </c>
      <c r="AL696" t="s">
        <v>74</v>
      </c>
      <c r="AM696" t="s">
        <v>74</v>
      </c>
      <c r="AN696" t="s">
        <v>74</v>
      </c>
      <c r="AO696" t="s">
        <v>6098</v>
      </c>
      <c r="AP696" t="s">
        <v>6099</v>
      </c>
      <c r="AQ696" t="s">
        <v>74</v>
      </c>
      <c r="AR696" t="s">
        <v>74</v>
      </c>
      <c r="AS696" t="s">
        <v>74</v>
      </c>
      <c r="AT696" t="s">
        <v>545</v>
      </c>
      <c r="AU696">
        <v>2019</v>
      </c>
      <c r="AV696">
        <v>59</v>
      </c>
      <c r="AW696">
        <v>5</v>
      </c>
      <c r="AX696" t="s">
        <v>74</v>
      </c>
      <c r="AY696" t="s">
        <v>74</v>
      </c>
      <c r="AZ696" t="s">
        <v>2280</v>
      </c>
      <c r="BA696" t="s">
        <v>74</v>
      </c>
      <c r="BB696">
        <v>2159</v>
      </c>
      <c r="BC696">
        <v>2164</v>
      </c>
      <c r="BD696" t="s">
        <v>74</v>
      </c>
      <c r="BE696" t="s">
        <v>6100</v>
      </c>
      <c r="BF696" t="str">
        <f>HYPERLINK("http://dx.doi.org/10.1021/acs.jcim.9b00035","http://dx.doi.org/10.1021/acs.jcim.9b00035")</f>
        <v>http://dx.doi.org/10.1021/acs.jcim.9b00035</v>
      </c>
      <c r="BG696" t="s">
        <v>74</v>
      </c>
      <c r="BH696" t="s">
        <v>74</v>
      </c>
      <c r="BI696" t="s">
        <v>74</v>
      </c>
      <c r="BJ696" t="s">
        <v>74</v>
      </c>
      <c r="BK696" t="s">
        <v>74</v>
      </c>
      <c r="BL696" t="s">
        <v>74</v>
      </c>
      <c r="BM696" t="s">
        <v>74</v>
      </c>
      <c r="BN696">
        <v>30794403</v>
      </c>
      <c r="BO696" t="s">
        <v>74</v>
      </c>
      <c r="BP696" t="s">
        <v>74</v>
      </c>
      <c r="BQ696" t="s">
        <v>74</v>
      </c>
      <c r="BR696" t="s">
        <v>74</v>
      </c>
      <c r="BS696" t="s">
        <v>6101</v>
      </c>
      <c r="BT696" t="str">
        <f>HYPERLINK("https%3A%2F%2Fwww.webofscience.com%2Fwos%2Fwoscc%2Ffull-record%2FWOS:000469884900041","View Full Record in Web of Science")</f>
        <v>View Full Record in Web of Science</v>
      </c>
    </row>
    <row r="697" spans="1:72" x14ac:dyDescent="0.2">
      <c r="A697" t="s">
        <v>72</v>
      </c>
      <c r="B697" t="s">
        <v>6102</v>
      </c>
      <c r="C697" t="s">
        <v>74</v>
      </c>
      <c r="D697" t="s">
        <v>74</v>
      </c>
      <c r="E697" t="s">
        <v>74</v>
      </c>
      <c r="F697" t="s">
        <v>6103</v>
      </c>
      <c r="G697" t="s">
        <v>74</v>
      </c>
      <c r="H697" t="s">
        <v>74</v>
      </c>
      <c r="I697" t="s">
        <v>6104</v>
      </c>
      <c r="J697" t="s">
        <v>352</v>
      </c>
      <c r="K697" t="s">
        <v>74</v>
      </c>
      <c r="L697" t="s">
        <v>74</v>
      </c>
      <c r="M697" t="s">
        <v>74</v>
      </c>
      <c r="N697" t="s">
        <v>74</v>
      </c>
      <c r="O697" t="s">
        <v>74</v>
      </c>
      <c r="P697" t="s">
        <v>74</v>
      </c>
      <c r="Q697" t="s">
        <v>74</v>
      </c>
      <c r="R697" t="s">
        <v>74</v>
      </c>
      <c r="S697" t="s">
        <v>74</v>
      </c>
      <c r="T697" t="s">
        <v>74</v>
      </c>
      <c r="U697" t="s">
        <v>74</v>
      </c>
      <c r="V697" t="s">
        <v>6105</v>
      </c>
      <c r="W697" t="s">
        <v>74</v>
      </c>
      <c r="X697" t="s">
        <v>74</v>
      </c>
      <c r="Y697" t="s">
        <v>74</v>
      </c>
      <c r="Z697" t="s">
        <v>74</v>
      </c>
      <c r="AA697" t="s">
        <v>6106</v>
      </c>
      <c r="AB697" t="s">
        <v>6107</v>
      </c>
      <c r="AC697" t="s">
        <v>74</v>
      </c>
      <c r="AD697" t="s">
        <v>74</v>
      </c>
      <c r="AE697" t="s">
        <v>74</v>
      </c>
      <c r="AF697" t="s">
        <v>74</v>
      </c>
      <c r="AG697" t="s">
        <v>74</v>
      </c>
      <c r="AH697" t="s">
        <v>74</v>
      </c>
      <c r="AI697" t="s">
        <v>74</v>
      </c>
      <c r="AJ697" t="s">
        <v>74</v>
      </c>
      <c r="AK697" t="s">
        <v>74</v>
      </c>
      <c r="AL697" t="s">
        <v>74</v>
      </c>
      <c r="AM697" t="s">
        <v>74</v>
      </c>
      <c r="AN697" t="s">
        <v>74</v>
      </c>
      <c r="AO697" t="s">
        <v>354</v>
      </c>
      <c r="AP697" t="s">
        <v>355</v>
      </c>
      <c r="AQ697" t="s">
        <v>74</v>
      </c>
      <c r="AR697" t="s">
        <v>74</v>
      </c>
      <c r="AS697" t="s">
        <v>74</v>
      </c>
      <c r="AT697" t="s">
        <v>545</v>
      </c>
      <c r="AU697">
        <v>2019</v>
      </c>
      <c r="AV697">
        <v>9</v>
      </c>
      <c r="AW697">
        <v>17</v>
      </c>
      <c r="AX697" t="s">
        <v>74</v>
      </c>
      <c r="AY697" t="s">
        <v>74</v>
      </c>
      <c r="AZ697" t="s">
        <v>74</v>
      </c>
      <c r="BA697" t="s">
        <v>74</v>
      </c>
      <c r="BB697" t="s">
        <v>74</v>
      </c>
      <c r="BC697" t="s">
        <v>74</v>
      </c>
      <c r="BD697">
        <v>1803623</v>
      </c>
      <c r="BE697" t="s">
        <v>6108</v>
      </c>
      <c r="BF697" t="str">
        <f>HYPERLINK("http://dx.doi.org/10.1002/aenm.201803623","http://dx.doi.org/10.1002/aenm.201803623")</f>
        <v>http://dx.doi.org/10.1002/aenm.201803623</v>
      </c>
      <c r="BG697" t="s">
        <v>74</v>
      </c>
      <c r="BH697" t="s">
        <v>74</v>
      </c>
      <c r="BI697" t="s">
        <v>74</v>
      </c>
      <c r="BJ697" t="s">
        <v>74</v>
      </c>
      <c r="BK697" t="s">
        <v>74</v>
      </c>
      <c r="BL697" t="s">
        <v>74</v>
      </c>
      <c r="BM697" t="s">
        <v>74</v>
      </c>
      <c r="BN697" t="s">
        <v>74</v>
      </c>
      <c r="BO697" t="s">
        <v>74</v>
      </c>
      <c r="BP697" t="s">
        <v>74</v>
      </c>
      <c r="BQ697" t="s">
        <v>74</v>
      </c>
      <c r="BR697" t="s">
        <v>74</v>
      </c>
      <c r="BS697" t="s">
        <v>6109</v>
      </c>
      <c r="BT697" t="str">
        <f>HYPERLINK("https%3A%2F%2Fwww.webofscience.com%2Fwos%2Fwoscc%2Ffull-record%2FWOS:000471338400006","View Full Record in Web of Science")</f>
        <v>View Full Record in Web of Science</v>
      </c>
    </row>
    <row r="698" spans="1:72" x14ac:dyDescent="0.2">
      <c r="A698" t="s">
        <v>72</v>
      </c>
      <c r="B698" t="s">
        <v>6110</v>
      </c>
      <c r="C698" t="s">
        <v>74</v>
      </c>
      <c r="D698" t="s">
        <v>74</v>
      </c>
      <c r="E698" t="s">
        <v>74</v>
      </c>
      <c r="F698" t="s">
        <v>6111</v>
      </c>
      <c r="G698" t="s">
        <v>74</v>
      </c>
      <c r="H698" t="s">
        <v>74</v>
      </c>
      <c r="I698" t="s">
        <v>6112</v>
      </c>
      <c r="J698" t="s">
        <v>1457</v>
      </c>
      <c r="K698" t="s">
        <v>74</v>
      </c>
      <c r="L698" t="s">
        <v>74</v>
      </c>
      <c r="M698" t="s">
        <v>74</v>
      </c>
      <c r="N698" t="s">
        <v>74</v>
      </c>
      <c r="O698" t="s">
        <v>6113</v>
      </c>
      <c r="P698" t="s">
        <v>6114</v>
      </c>
      <c r="Q698" t="s">
        <v>6115</v>
      </c>
      <c r="R698" t="s">
        <v>74</v>
      </c>
      <c r="S698" t="s">
        <v>6116</v>
      </c>
      <c r="T698" t="s">
        <v>74</v>
      </c>
      <c r="U698" t="s">
        <v>74</v>
      </c>
      <c r="V698" t="s">
        <v>6117</v>
      </c>
      <c r="W698" t="s">
        <v>74</v>
      </c>
      <c r="X698" t="s">
        <v>74</v>
      </c>
      <c r="Y698" t="s">
        <v>74</v>
      </c>
      <c r="Z698" t="s">
        <v>74</v>
      </c>
      <c r="AA698" t="s">
        <v>6118</v>
      </c>
      <c r="AB698" t="s">
        <v>6119</v>
      </c>
      <c r="AC698" t="s">
        <v>74</v>
      </c>
      <c r="AD698" t="s">
        <v>74</v>
      </c>
      <c r="AE698" t="s">
        <v>74</v>
      </c>
      <c r="AF698" t="s">
        <v>74</v>
      </c>
      <c r="AG698" t="s">
        <v>74</v>
      </c>
      <c r="AH698" t="s">
        <v>74</v>
      </c>
      <c r="AI698" t="s">
        <v>74</v>
      </c>
      <c r="AJ698" t="s">
        <v>74</v>
      </c>
      <c r="AK698" t="s">
        <v>74</v>
      </c>
      <c r="AL698" t="s">
        <v>74</v>
      </c>
      <c r="AM698" t="s">
        <v>74</v>
      </c>
      <c r="AN698" t="s">
        <v>74</v>
      </c>
      <c r="AO698" t="s">
        <v>1461</v>
      </c>
      <c r="AP698" t="s">
        <v>1462</v>
      </c>
      <c r="AQ698" t="s">
        <v>74</v>
      </c>
      <c r="AR698" t="s">
        <v>74</v>
      </c>
      <c r="AS698" t="s">
        <v>74</v>
      </c>
      <c r="AT698" t="s">
        <v>4989</v>
      </c>
      <c r="AU698">
        <v>2019</v>
      </c>
      <c r="AV698">
        <v>474</v>
      </c>
      <c r="AW698" t="s">
        <v>74</v>
      </c>
      <c r="AX698" t="s">
        <v>74</v>
      </c>
      <c r="AY698" t="s">
        <v>74</v>
      </c>
      <c r="AZ698" t="s">
        <v>2280</v>
      </c>
      <c r="BA698" t="s">
        <v>74</v>
      </c>
      <c r="BB698">
        <v>250</v>
      </c>
      <c r="BC698">
        <v>255</v>
      </c>
      <c r="BD698" t="s">
        <v>74</v>
      </c>
      <c r="BE698" t="s">
        <v>6120</v>
      </c>
      <c r="BF698" t="str">
        <f>HYPERLINK("http://dx.doi.org/10.1016/j.apsusc.2018.02.158","http://dx.doi.org/10.1016/j.apsusc.2018.02.158")</f>
        <v>http://dx.doi.org/10.1016/j.apsusc.2018.02.158</v>
      </c>
      <c r="BG698" t="s">
        <v>74</v>
      </c>
      <c r="BH698" t="s">
        <v>74</v>
      </c>
      <c r="BI698" t="s">
        <v>74</v>
      </c>
      <c r="BJ698" t="s">
        <v>74</v>
      </c>
      <c r="BK698" t="s">
        <v>74</v>
      </c>
      <c r="BL698" t="s">
        <v>74</v>
      </c>
      <c r="BM698" t="s">
        <v>74</v>
      </c>
      <c r="BN698" t="s">
        <v>74</v>
      </c>
      <c r="BO698" t="s">
        <v>74</v>
      </c>
      <c r="BP698" t="s">
        <v>74</v>
      </c>
      <c r="BQ698" t="s">
        <v>74</v>
      </c>
      <c r="BR698" t="s">
        <v>74</v>
      </c>
      <c r="BS698" t="s">
        <v>6121</v>
      </c>
      <c r="BT698" t="str">
        <f>HYPERLINK("https%3A%2F%2Fwww.webofscience.com%2Fwos%2Fwoscc%2Ffull-record%2FWOS:000458478700032","View Full Record in Web of Science")</f>
        <v>View Full Record in Web of Science</v>
      </c>
    </row>
    <row r="699" spans="1:72" x14ac:dyDescent="0.2">
      <c r="A699" t="s">
        <v>72</v>
      </c>
      <c r="B699" t="s">
        <v>6122</v>
      </c>
      <c r="C699" t="s">
        <v>74</v>
      </c>
      <c r="D699" t="s">
        <v>74</v>
      </c>
      <c r="E699" t="s">
        <v>74</v>
      </c>
      <c r="F699" t="s">
        <v>6123</v>
      </c>
      <c r="G699" t="s">
        <v>74</v>
      </c>
      <c r="H699" t="s">
        <v>74</v>
      </c>
      <c r="I699" t="s">
        <v>6124</v>
      </c>
      <c r="J699" t="s">
        <v>587</v>
      </c>
      <c r="K699" t="s">
        <v>74</v>
      </c>
      <c r="L699" t="s">
        <v>74</v>
      </c>
      <c r="M699" t="s">
        <v>74</v>
      </c>
      <c r="N699" t="s">
        <v>74</v>
      </c>
      <c r="O699" t="s">
        <v>74</v>
      </c>
      <c r="P699" t="s">
        <v>74</v>
      </c>
      <c r="Q699" t="s">
        <v>74</v>
      </c>
      <c r="R699" t="s">
        <v>74</v>
      </c>
      <c r="S699" t="s">
        <v>74</v>
      </c>
      <c r="T699" t="s">
        <v>74</v>
      </c>
      <c r="U699" t="s">
        <v>74</v>
      </c>
      <c r="V699" t="s">
        <v>6125</v>
      </c>
      <c r="W699" t="s">
        <v>74</v>
      </c>
      <c r="X699" t="s">
        <v>74</v>
      </c>
      <c r="Y699" t="s">
        <v>74</v>
      </c>
      <c r="Z699" t="s">
        <v>74</v>
      </c>
      <c r="AA699" t="s">
        <v>6126</v>
      </c>
      <c r="AB699" t="s">
        <v>6127</v>
      </c>
      <c r="AC699" t="s">
        <v>74</v>
      </c>
      <c r="AD699" t="s">
        <v>74</v>
      </c>
      <c r="AE699" t="s">
        <v>74</v>
      </c>
      <c r="AF699" t="s">
        <v>74</v>
      </c>
      <c r="AG699" t="s">
        <v>74</v>
      </c>
      <c r="AH699" t="s">
        <v>74</v>
      </c>
      <c r="AI699" t="s">
        <v>74</v>
      </c>
      <c r="AJ699" t="s">
        <v>74</v>
      </c>
      <c r="AK699" t="s">
        <v>74</v>
      </c>
      <c r="AL699" t="s">
        <v>74</v>
      </c>
      <c r="AM699" t="s">
        <v>74</v>
      </c>
      <c r="AN699" t="s">
        <v>74</v>
      </c>
      <c r="AO699" t="s">
        <v>591</v>
      </c>
      <c r="AP699" t="s">
        <v>74</v>
      </c>
      <c r="AQ699" t="s">
        <v>74</v>
      </c>
      <c r="AR699" t="s">
        <v>74</v>
      </c>
      <c r="AS699" t="s">
        <v>74</v>
      </c>
      <c r="AT699" t="s">
        <v>798</v>
      </c>
      <c r="AU699">
        <v>2019</v>
      </c>
      <c r="AV699">
        <v>6</v>
      </c>
      <c r="AW699">
        <v>8</v>
      </c>
      <c r="AX699" t="s">
        <v>74</v>
      </c>
      <c r="AY699" t="s">
        <v>74</v>
      </c>
      <c r="AZ699" t="s">
        <v>74</v>
      </c>
      <c r="BA699" t="s">
        <v>74</v>
      </c>
      <c r="BB699">
        <v>2224</v>
      </c>
      <c r="BC699">
        <v>2230</v>
      </c>
      <c r="BD699" t="s">
        <v>74</v>
      </c>
      <c r="BE699" t="s">
        <v>6128</v>
      </c>
      <c r="BF699" t="str">
        <f>HYPERLINK("http://dx.doi.org/10.1002/celc.201900411","http://dx.doi.org/10.1002/celc.201900411")</f>
        <v>http://dx.doi.org/10.1002/celc.201900411</v>
      </c>
      <c r="BG699" t="s">
        <v>74</v>
      </c>
      <c r="BH699" t="s">
        <v>74</v>
      </c>
      <c r="BI699" t="s">
        <v>74</v>
      </c>
      <c r="BJ699" t="s">
        <v>74</v>
      </c>
      <c r="BK699" t="s">
        <v>74</v>
      </c>
      <c r="BL699" t="s">
        <v>74</v>
      </c>
      <c r="BM699" t="s">
        <v>74</v>
      </c>
      <c r="BN699" t="s">
        <v>74</v>
      </c>
      <c r="BO699" t="s">
        <v>74</v>
      </c>
      <c r="BP699" t="s">
        <v>74</v>
      </c>
      <c r="BQ699" t="s">
        <v>74</v>
      </c>
      <c r="BR699" t="s">
        <v>74</v>
      </c>
      <c r="BS699" t="s">
        <v>6129</v>
      </c>
      <c r="BT699" t="str">
        <f>HYPERLINK("https%3A%2F%2Fwww.webofscience.com%2Fwos%2Fwoscc%2Ffull-record%2FWOS:000477022600013","View Full Record in Web of Science")</f>
        <v>View Full Record in Web of Science</v>
      </c>
    </row>
    <row r="700" spans="1:72" x14ac:dyDescent="0.2">
      <c r="A700" t="s">
        <v>72</v>
      </c>
      <c r="B700" t="s">
        <v>6130</v>
      </c>
      <c r="C700" t="s">
        <v>74</v>
      </c>
      <c r="D700" t="s">
        <v>74</v>
      </c>
      <c r="E700" t="s">
        <v>74</v>
      </c>
      <c r="F700" t="s">
        <v>6131</v>
      </c>
      <c r="G700" t="s">
        <v>74</v>
      </c>
      <c r="H700" t="s">
        <v>74</v>
      </c>
      <c r="I700" t="s">
        <v>6132</v>
      </c>
      <c r="J700" t="s">
        <v>278</v>
      </c>
      <c r="K700" t="s">
        <v>74</v>
      </c>
      <c r="L700" t="s">
        <v>74</v>
      </c>
      <c r="M700" t="s">
        <v>74</v>
      </c>
      <c r="N700" t="s">
        <v>74</v>
      </c>
      <c r="O700" t="s">
        <v>74</v>
      </c>
      <c r="P700" t="s">
        <v>74</v>
      </c>
      <c r="Q700" t="s">
        <v>74</v>
      </c>
      <c r="R700" t="s">
        <v>74</v>
      </c>
      <c r="S700" t="s">
        <v>74</v>
      </c>
      <c r="T700" t="s">
        <v>74</v>
      </c>
      <c r="U700" t="s">
        <v>74</v>
      </c>
      <c r="V700" t="s">
        <v>6133</v>
      </c>
      <c r="W700" t="s">
        <v>74</v>
      </c>
      <c r="X700" t="s">
        <v>74</v>
      </c>
      <c r="Y700" t="s">
        <v>74</v>
      </c>
      <c r="Z700" t="s">
        <v>74</v>
      </c>
      <c r="AA700" t="s">
        <v>6134</v>
      </c>
      <c r="AB700" t="s">
        <v>6135</v>
      </c>
      <c r="AC700" t="s">
        <v>74</v>
      </c>
      <c r="AD700" t="s">
        <v>74</v>
      </c>
      <c r="AE700" t="s">
        <v>74</v>
      </c>
      <c r="AF700" t="s">
        <v>74</v>
      </c>
      <c r="AG700" t="s">
        <v>74</v>
      </c>
      <c r="AH700" t="s">
        <v>74</v>
      </c>
      <c r="AI700" t="s">
        <v>74</v>
      </c>
      <c r="AJ700" t="s">
        <v>74</v>
      </c>
      <c r="AK700" t="s">
        <v>74</v>
      </c>
      <c r="AL700" t="s">
        <v>74</v>
      </c>
      <c r="AM700" t="s">
        <v>74</v>
      </c>
      <c r="AN700" t="s">
        <v>74</v>
      </c>
      <c r="AO700" t="s">
        <v>281</v>
      </c>
      <c r="AP700" t="s">
        <v>282</v>
      </c>
      <c r="AQ700" t="s">
        <v>74</v>
      </c>
      <c r="AR700" t="s">
        <v>74</v>
      </c>
      <c r="AS700" t="s">
        <v>74</v>
      </c>
      <c r="AT700" t="s">
        <v>5561</v>
      </c>
      <c r="AU700">
        <v>2019</v>
      </c>
      <c r="AV700">
        <v>7</v>
      </c>
      <c r="AW700">
        <v>14</v>
      </c>
      <c r="AX700" t="s">
        <v>74</v>
      </c>
      <c r="AY700" t="s">
        <v>74</v>
      </c>
      <c r="AZ700" t="s">
        <v>74</v>
      </c>
      <c r="BA700" t="s">
        <v>74</v>
      </c>
      <c r="BB700">
        <v>8144</v>
      </c>
      <c r="BC700">
        <v>8155</v>
      </c>
      <c r="BD700" t="s">
        <v>74</v>
      </c>
      <c r="BE700" t="s">
        <v>6136</v>
      </c>
      <c r="BF700" t="str">
        <f>HYPERLINK("http://dx.doi.org/10.1039/c8ta10498k","http://dx.doi.org/10.1039/c8ta10498k")</f>
        <v>http://dx.doi.org/10.1039/c8ta10498k</v>
      </c>
      <c r="BG700" t="s">
        <v>74</v>
      </c>
      <c r="BH700" t="s">
        <v>74</v>
      </c>
      <c r="BI700" t="s">
        <v>74</v>
      </c>
      <c r="BJ700" t="s">
        <v>74</v>
      </c>
      <c r="BK700" t="s">
        <v>74</v>
      </c>
      <c r="BL700" t="s">
        <v>74</v>
      </c>
      <c r="BM700" t="s">
        <v>74</v>
      </c>
      <c r="BN700" t="s">
        <v>74</v>
      </c>
      <c r="BO700" t="s">
        <v>74</v>
      </c>
      <c r="BP700" t="s">
        <v>74</v>
      </c>
      <c r="BQ700" t="s">
        <v>74</v>
      </c>
      <c r="BR700" t="s">
        <v>74</v>
      </c>
      <c r="BS700" t="s">
        <v>6137</v>
      </c>
      <c r="BT700" t="str">
        <f>HYPERLINK("https%3A%2F%2Fwww.webofscience.com%2Fwos%2Fwoscc%2Ffull-record%2FWOS:000464414200067","View Full Record in Web of Science")</f>
        <v>View Full Record in Web of Science</v>
      </c>
    </row>
    <row r="701" spans="1:72" x14ac:dyDescent="0.2">
      <c r="A701" t="s">
        <v>72</v>
      </c>
      <c r="B701" t="s">
        <v>6138</v>
      </c>
      <c r="C701" t="s">
        <v>74</v>
      </c>
      <c r="D701" t="s">
        <v>74</v>
      </c>
      <c r="E701" t="s">
        <v>74</v>
      </c>
      <c r="F701" t="s">
        <v>6139</v>
      </c>
      <c r="G701" t="s">
        <v>74</v>
      </c>
      <c r="H701" t="s">
        <v>74</v>
      </c>
      <c r="I701" t="s">
        <v>6140</v>
      </c>
      <c r="J701" t="s">
        <v>6141</v>
      </c>
      <c r="K701" t="s">
        <v>74</v>
      </c>
      <c r="L701" t="s">
        <v>74</v>
      </c>
      <c r="M701" t="s">
        <v>74</v>
      </c>
      <c r="N701" t="s">
        <v>74</v>
      </c>
      <c r="O701" t="s">
        <v>74</v>
      </c>
      <c r="P701" t="s">
        <v>74</v>
      </c>
      <c r="Q701" t="s">
        <v>74</v>
      </c>
      <c r="R701" t="s">
        <v>74</v>
      </c>
      <c r="S701" t="s">
        <v>74</v>
      </c>
      <c r="T701" t="s">
        <v>74</v>
      </c>
      <c r="U701" t="s">
        <v>74</v>
      </c>
      <c r="V701" t="s">
        <v>6142</v>
      </c>
      <c r="W701" t="s">
        <v>74</v>
      </c>
      <c r="X701" t="s">
        <v>74</v>
      </c>
      <c r="Y701" t="s">
        <v>74</v>
      </c>
      <c r="Z701" t="s">
        <v>74</v>
      </c>
      <c r="AA701" t="s">
        <v>6143</v>
      </c>
      <c r="AB701" t="s">
        <v>74</v>
      </c>
      <c r="AC701" t="s">
        <v>74</v>
      </c>
      <c r="AD701" t="s">
        <v>74</v>
      </c>
      <c r="AE701" t="s">
        <v>74</v>
      </c>
      <c r="AF701" t="s">
        <v>74</v>
      </c>
      <c r="AG701" t="s">
        <v>74</v>
      </c>
      <c r="AH701" t="s">
        <v>74</v>
      </c>
      <c r="AI701" t="s">
        <v>74</v>
      </c>
      <c r="AJ701" t="s">
        <v>74</v>
      </c>
      <c r="AK701" t="s">
        <v>74</v>
      </c>
      <c r="AL701" t="s">
        <v>74</v>
      </c>
      <c r="AM701" t="s">
        <v>74</v>
      </c>
      <c r="AN701" t="s">
        <v>74</v>
      </c>
      <c r="AO701" t="s">
        <v>6144</v>
      </c>
      <c r="AP701" t="s">
        <v>6145</v>
      </c>
      <c r="AQ701" t="s">
        <v>74</v>
      </c>
      <c r="AR701" t="s">
        <v>74</v>
      </c>
      <c r="AS701" t="s">
        <v>74</v>
      </c>
      <c r="AT701" t="s">
        <v>2154</v>
      </c>
      <c r="AU701">
        <v>2019</v>
      </c>
      <c r="AV701">
        <v>27</v>
      </c>
      <c r="AW701">
        <v>4</v>
      </c>
      <c r="AX701" t="s">
        <v>74</v>
      </c>
      <c r="AY701" t="s">
        <v>74</v>
      </c>
      <c r="AZ701" t="s">
        <v>74</v>
      </c>
      <c r="BA701" t="s">
        <v>74</v>
      </c>
      <c r="BB701">
        <v>299</v>
      </c>
      <c r="BC701">
        <v>304</v>
      </c>
      <c r="BD701" t="s">
        <v>74</v>
      </c>
      <c r="BE701" t="s">
        <v>6146</v>
      </c>
      <c r="BF701" t="str">
        <f>HYPERLINK("http://dx.doi.org/10.1080/1536383X.2018.1562445","http://dx.doi.org/10.1080/1536383X.2018.1562445")</f>
        <v>http://dx.doi.org/10.1080/1536383X.2018.1562445</v>
      </c>
      <c r="BG701" t="s">
        <v>74</v>
      </c>
      <c r="BH701" t="s">
        <v>74</v>
      </c>
      <c r="BI701" t="s">
        <v>74</v>
      </c>
      <c r="BJ701" t="s">
        <v>74</v>
      </c>
      <c r="BK701" t="s">
        <v>74</v>
      </c>
      <c r="BL701" t="s">
        <v>74</v>
      </c>
      <c r="BM701" t="s">
        <v>74</v>
      </c>
      <c r="BN701" t="s">
        <v>74</v>
      </c>
      <c r="BO701" t="s">
        <v>74</v>
      </c>
      <c r="BP701" t="s">
        <v>74</v>
      </c>
      <c r="BQ701" t="s">
        <v>74</v>
      </c>
      <c r="BR701" t="s">
        <v>74</v>
      </c>
      <c r="BS701" t="s">
        <v>6147</v>
      </c>
      <c r="BT701" t="str">
        <f>HYPERLINK("https%3A%2F%2Fwww.webofscience.com%2Fwos%2Fwoscc%2Ffull-record%2FWOS:000467941800003","View Full Record in Web of Science")</f>
        <v>View Full Record in Web of Science</v>
      </c>
    </row>
    <row r="702" spans="1:72" x14ac:dyDescent="0.2">
      <c r="A702" t="s">
        <v>72</v>
      </c>
      <c r="B702" t="s">
        <v>6148</v>
      </c>
      <c r="C702" t="s">
        <v>74</v>
      </c>
      <c r="D702" t="s">
        <v>74</v>
      </c>
      <c r="E702" t="s">
        <v>74</v>
      </c>
      <c r="F702" t="s">
        <v>6149</v>
      </c>
      <c r="G702" t="s">
        <v>74</v>
      </c>
      <c r="H702" t="s">
        <v>74</v>
      </c>
      <c r="I702" t="s">
        <v>6150</v>
      </c>
      <c r="J702" t="s">
        <v>422</v>
      </c>
      <c r="K702" t="s">
        <v>74</v>
      </c>
      <c r="L702" t="s">
        <v>74</v>
      </c>
      <c r="M702" t="s">
        <v>74</v>
      </c>
      <c r="N702" t="s">
        <v>74</v>
      </c>
      <c r="O702" t="s">
        <v>74</v>
      </c>
      <c r="P702" t="s">
        <v>74</v>
      </c>
      <c r="Q702" t="s">
        <v>74</v>
      </c>
      <c r="R702" t="s">
        <v>74</v>
      </c>
      <c r="S702" t="s">
        <v>74</v>
      </c>
      <c r="T702" t="s">
        <v>74</v>
      </c>
      <c r="U702" t="s">
        <v>74</v>
      </c>
      <c r="V702" t="s">
        <v>6151</v>
      </c>
      <c r="W702" t="s">
        <v>74</v>
      </c>
      <c r="X702" t="s">
        <v>74</v>
      </c>
      <c r="Y702" t="s">
        <v>74</v>
      </c>
      <c r="Z702" t="s">
        <v>74</v>
      </c>
      <c r="AA702" t="s">
        <v>6152</v>
      </c>
      <c r="AB702" t="s">
        <v>6153</v>
      </c>
      <c r="AC702" t="s">
        <v>74</v>
      </c>
      <c r="AD702" t="s">
        <v>74</v>
      </c>
      <c r="AE702" t="s">
        <v>74</v>
      </c>
      <c r="AF702" t="s">
        <v>74</v>
      </c>
      <c r="AG702" t="s">
        <v>74</v>
      </c>
      <c r="AH702" t="s">
        <v>74</v>
      </c>
      <c r="AI702" t="s">
        <v>74</v>
      </c>
      <c r="AJ702" t="s">
        <v>74</v>
      </c>
      <c r="AK702" t="s">
        <v>74</v>
      </c>
      <c r="AL702" t="s">
        <v>74</v>
      </c>
      <c r="AM702" t="s">
        <v>74</v>
      </c>
      <c r="AN702" t="s">
        <v>74</v>
      </c>
      <c r="AO702" t="s">
        <v>426</v>
      </c>
      <c r="AP702" t="s">
        <v>74</v>
      </c>
      <c r="AQ702" t="s">
        <v>74</v>
      </c>
      <c r="AR702" t="s">
        <v>74</v>
      </c>
      <c r="AS702" t="s">
        <v>74</v>
      </c>
      <c r="AT702" t="s">
        <v>670</v>
      </c>
      <c r="AU702">
        <v>2019</v>
      </c>
      <c r="AV702">
        <v>2</v>
      </c>
      <c r="AW702">
        <v>4</v>
      </c>
      <c r="AX702" t="s">
        <v>74</v>
      </c>
      <c r="AY702" t="s">
        <v>74</v>
      </c>
      <c r="AZ702" t="s">
        <v>74</v>
      </c>
      <c r="BA702" t="s">
        <v>74</v>
      </c>
      <c r="BB702">
        <v>2620</v>
      </c>
      <c r="BC702">
        <v>2628</v>
      </c>
      <c r="BD702" t="s">
        <v>74</v>
      </c>
      <c r="BE702" t="s">
        <v>6154</v>
      </c>
      <c r="BF702" t="str">
        <f>HYPERLINK("http://dx.doi.org/10.1021/acsaem.8b02205","http://dx.doi.org/10.1021/acsaem.8b02205")</f>
        <v>http://dx.doi.org/10.1021/acsaem.8b02205</v>
      </c>
      <c r="BG702" t="s">
        <v>74</v>
      </c>
      <c r="BH702" t="s">
        <v>74</v>
      </c>
      <c r="BI702" t="s">
        <v>74</v>
      </c>
      <c r="BJ702" t="s">
        <v>74</v>
      </c>
      <c r="BK702" t="s">
        <v>74</v>
      </c>
      <c r="BL702" t="s">
        <v>74</v>
      </c>
      <c r="BM702" t="s">
        <v>74</v>
      </c>
      <c r="BN702" t="s">
        <v>74</v>
      </c>
      <c r="BO702" t="s">
        <v>74</v>
      </c>
      <c r="BP702" t="s">
        <v>74</v>
      </c>
      <c r="BQ702" t="s">
        <v>74</v>
      </c>
      <c r="BR702" t="s">
        <v>74</v>
      </c>
      <c r="BS702" t="s">
        <v>6155</v>
      </c>
      <c r="BT702" t="str">
        <f>HYPERLINK("https%3A%2F%2Fwww.webofscience.com%2Fwos%2Fwoscc%2Ffull-record%2FWOS:000465644600035","View Full Record in Web of Science")</f>
        <v>View Full Record in Web of Science</v>
      </c>
    </row>
    <row r="703" spans="1:72" x14ac:dyDescent="0.2">
      <c r="A703" t="s">
        <v>72</v>
      </c>
      <c r="B703" t="s">
        <v>6156</v>
      </c>
      <c r="C703" t="s">
        <v>74</v>
      </c>
      <c r="D703" t="s">
        <v>74</v>
      </c>
      <c r="E703" t="s">
        <v>74</v>
      </c>
      <c r="F703" t="s">
        <v>6157</v>
      </c>
      <c r="G703" t="s">
        <v>74</v>
      </c>
      <c r="H703" t="s">
        <v>74</v>
      </c>
      <c r="I703" t="s">
        <v>6158</v>
      </c>
      <c r="J703" t="s">
        <v>278</v>
      </c>
      <c r="K703" t="s">
        <v>74</v>
      </c>
      <c r="L703" t="s">
        <v>74</v>
      </c>
      <c r="M703" t="s">
        <v>74</v>
      </c>
      <c r="N703" t="s">
        <v>74</v>
      </c>
      <c r="O703" t="s">
        <v>74</v>
      </c>
      <c r="P703" t="s">
        <v>74</v>
      </c>
      <c r="Q703" t="s">
        <v>74</v>
      </c>
      <c r="R703" t="s">
        <v>74</v>
      </c>
      <c r="S703" t="s">
        <v>74</v>
      </c>
      <c r="T703" t="s">
        <v>74</v>
      </c>
      <c r="U703" t="s">
        <v>74</v>
      </c>
      <c r="V703" t="s">
        <v>6159</v>
      </c>
      <c r="W703" t="s">
        <v>74</v>
      </c>
      <c r="X703" t="s">
        <v>74</v>
      </c>
      <c r="Y703" t="s">
        <v>74</v>
      </c>
      <c r="Z703" t="s">
        <v>74</v>
      </c>
      <c r="AA703" t="s">
        <v>6160</v>
      </c>
      <c r="AB703" t="s">
        <v>6161</v>
      </c>
      <c r="AC703" t="s">
        <v>74</v>
      </c>
      <c r="AD703" t="s">
        <v>74</v>
      </c>
      <c r="AE703" t="s">
        <v>74</v>
      </c>
      <c r="AF703" t="s">
        <v>74</v>
      </c>
      <c r="AG703" t="s">
        <v>74</v>
      </c>
      <c r="AH703" t="s">
        <v>74</v>
      </c>
      <c r="AI703" t="s">
        <v>74</v>
      </c>
      <c r="AJ703" t="s">
        <v>74</v>
      </c>
      <c r="AK703" t="s">
        <v>74</v>
      </c>
      <c r="AL703" t="s">
        <v>74</v>
      </c>
      <c r="AM703" t="s">
        <v>74</v>
      </c>
      <c r="AN703" t="s">
        <v>74</v>
      </c>
      <c r="AO703" t="s">
        <v>281</v>
      </c>
      <c r="AP703" t="s">
        <v>282</v>
      </c>
      <c r="AQ703" t="s">
        <v>74</v>
      </c>
      <c r="AR703" t="s">
        <v>74</v>
      </c>
      <c r="AS703" t="s">
        <v>74</v>
      </c>
      <c r="AT703" t="s">
        <v>775</v>
      </c>
      <c r="AU703">
        <v>2019</v>
      </c>
      <c r="AV703">
        <v>7</v>
      </c>
      <c r="AW703">
        <v>12</v>
      </c>
      <c r="AX703" t="s">
        <v>74</v>
      </c>
      <c r="AY703" t="s">
        <v>74</v>
      </c>
      <c r="AZ703" t="s">
        <v>74</v>
      </c>
      <c r="BA703" t="s">
        <v>74</v>
      </c>
      <c r="BB703">
        <v>7092</v>
      </c>
      <c r="BC703">
        <v>7098</v>
      </c>
      <c r="BD703" t="s">
        <v>74</v>
      </c>
      <c r="BE703" t="s">
        <v>6162</v>
      </c>
      <c r="BF703" t="str">
        <f>HYPERLINK("http://dx.doi.org/10.1039/c8ta12176a","http://dx.doi.org/10.1039/c8ta12176a")</f>
        <v>http://dx.doi.org/10.1039/c8ta12176a</v>
      </c>
      <c r="BG703" t="s">
        <v>74</v>
      </c>
      <c r="BH703" t="s">
        <v>74</v>
      </c>
      <c r="BI703" t="s">
        <v>74</v>
      </c>
      <c r="BJ703" t="s">
        <v>74</v>
      </c>
      <c r="BK703" t="s">
        <v>74</v>
      </c>
      <c r="BL703" t="s">
        <v>74</v>
      </c>
      <c r="BM703" t="s">
        <v>74</v>
      </c>
      <c r="BN703" t="s">
        <v>74</v>
      </c>
      <c r="BO703" t="s">
        <v>74</v>
      </c>
      <c r="BP703" t="s">
        <v>74</v>
      </c>
      <c r="BQ703" t="s">
        <v>74</v>
      </c>
      <c r="BR703" t="s">
        <v>74</v>
      </c>
      <c r="BS703" t="s">
        <v>6163</v>
      </c>
      <c r="BT703" t="str">
        <f>HYPERLINK("https%3A%2F%2Fwww.webofscience.com%2Fwos%2Fwoscc%2Ffull-record%2FWOS:000463814800049","View Full Record in Web of Science")</f>
        <v>View Full Record in Web of Science</v>
      </c>
    </row>
    <row r="704" spans="1:72" x14ac:dyDescent="0.2">
      <c r="A704" t="s">
        <v>72</v>
      </c>
      <c r="B704" t="s">
        <v>5597</v>
      </c>
      <c r="C704" t="s">
        <v>74</v>
      </c>
      <c r="D704" t="s">
        <v>74</v>
      </c>
      <c r="E704" t="s">
        <v>74</v>
      </c>
      <c r="F704" t="s">
        <v>5598</v>
      </c>
      <c r="G704" t="s">
        <v>74</v>
      </c>
      <c r="H704" t="s">
        <v>74</v>
      </c>
      <c r="I704" t="s">
        <v>6164</v>
      </c>
      <c r="J704" t="s">
        <v>3372</v>
      </c>
      <c r="K704" t="s">
        <v>74</v>
      </c>
      <c r="L704" t="s">
        <v>74</v>
      </c>
      <c r="M704" t="s">
        <v>74</v>
      </c>
      <c r="N704" t="s">
        <v>74</v>
      </c>
      <c r="O704" t="s">
        <v>74</v>
      </c>
      <c r="P704" t="s">
        <v>74</v>
      </c>
      <c r="Q704" t="s">
        <v>74</v>
      </c>
      <c r="R704" t="s">
        <v>74</v>
      </c>
      <c r="S704" t="s">
        <v>74</v>
      </c>
      <c r="T704" t="s">
        <v>74</v>
      </c>
      <c r="U704" t="s">
        <v>74</v>
      </c>
      <c r="V704" t="s">
        <v>6165</v>
      </c>
      <c r="W704" t="s">
        <v>74</v>
      </c>
      <c r="X704" t="s">
        <v>74</v>
      </c>
      <c r="Y704" t="s">
        <v>74</v>
      </c>
      <c r="Z704" t="s">
        <v>74</v>
      </c>
      <c r="AA704" t="s">
        <v>74</v>
      </c>
      <c r="AB704" t="s">
        <v>74</v>
      </c>
      <c r="AC704" t="s">
        <v>74</v>
      </c>
      <c r="AD704" t="s">
        <v>74</v>
      </c>
      <c r="AE704" t="s">
        <v>74</v>
      </c>
      <c r="AF704" t="s">
        <v>74</v>
      </c>
      <c r="AG704" t="s">
        <v>74</v>
      </c>
      <c r="AH704" t="s">
        <v>74</v>
      </c>
      <c r="AI704" t="s">
        <v>74</v>
      </c>
      <c r="AJ704" t="s">
        <v>74</v>
      </c>
      <c r="AK704" t="s">
        <v>74</v>
      </c>
      <c r="AL704" t="s">
        <v>74</v>
      </c>
      <c r="AM704" t="s">
        <v>74</v>
      </c>
      <c r="AN704" t="s">
        <v>74</v>
      </c>
      <c r="AO704" t="s">
        <v>3375</v>
      </c>
      <c r="AP704" t="s">
        <v>3376</v>
      </c>
      <c r="AQ704" t="s">
        <v>74</v>
      </c>
      <c r="AR704" t="s">
        <v>74</v>
      </c>
      <c r="AS704" t="s">
        <v>74</v>
      </c>
      <c r="AT704" t="s">
        <v>1073</v>
      </c>
      <c r="AU704">
        <v>2019</v>
      </c>
      <c r="AV704">
        <v>226</v>
      </c>
      <c r="AW704" t="s">
        <v>74</v>
      </c>
      <c r="AX704" t="s">
        <v>74</v>
      </c>
      <c r="AY704" t="s">
        <v>74</v>
      </c>
      <c r="AZ704" t="s">
        <v>74</v>
      </c>
      <c r="BA704" t="s">
        <v>74</v>
      </c>
      <c r="BB704">
        <v>356</v>
      </c>
      <c r="BC704">
        <v>361</v>
      </c>
      <c r="BD704" t="s">
        <v>74</v>
      </c>
      <c r="BE704" t="s">
        <v>6166</v>
      </c>
      <c r="BF704" t="str">
        <f>HYPERLINK("http://dx.doi.org/10.1016/j.matchemphys.2019.01.051","http://dx.doi.org/10.1016/j.matchemphys.2019.01.051")</f>
        <v>http://dx.doi.org/10.1016/j.matchemphys.2019.01.051</v>
      </c>
      <c r="BG704" t="s">
        <v>74</v>
      </c>
      <c r="BH704" t="s">
        <v>74</v>
      </c>
      <c r="BI704" t="s">
        <v>74</v>
      </c>
      <c r="BJ704" t="s">
        <v>74</v>
      </c>
      <c r="BK704" t="s">
        <v>74</v>
      </c>
      <c r="BL704" t="s">
        <v>74</v>
      </c>
      <c r="BM704" t="s">
        <v>74</v>
      </c>
      <c r="BN704" t="s">
        <v>74</v>
      </c>
      <c r="BO704" t="s">
        <v>74</v>
      </c>
      <c r="BP704" t="s">
        <v>74</v>
      </c>
      <c r="BQ704" t="s">
        <v>74</v>
      </c>
      <c r="BR704" t="s">
        <v>74</v>
      </c>
      <c r="BS704" t="s">
        <v>6167</v>
      </c>
      <c r="BT704" t="str">
        <f>HYPERLINK("https%3A%2F%2Fwww.webofscience.com%2Fwos%2Fwoscc%2Ffull-record%2FWOS:000460710500048","View Full Record in Web of Science")</f>
        <v>View Full Record in Web of Science</v>
      </c>
    </row>
    <row r="705" spans="1:72" x14ac:dyDescent="0.2">
      <c r="A705" t="s">
        <v>72</v>
      </c>
      <c r="B705" t="s">
        <v>6168</v>
      </c>
      <c r="C705" t="s">
        <v>74</v>
      </c>
      <c r="D705" t="s">
        <v>74</v>
      </c>
      <c r="E705" t="s">
        <v>74</v>
      </c>
      <c r="F705" t="s">
        <v>6169</v>
      </c>
      <c r="G705" t="s">
        <v>74</v>
      </c>
      <c r="H705" t="s">
        <v>74</v>
      </c>
      <c r="I705" t="s">
        <v>6170</v>
      </c>
      <c r="J705" t="s">
        <v>1256</v>
      </c>
      <c r="K705" t="s">
        <v>74</v>
      </c>
      <c r="L705" t="s">
        <v>74</v>
      </c>
      <c r="M705" t="s">
        <v>74</v>
      </c>
      <c r="N705" t="s">
        <v>74</v>
      </c>
      <c r="O705" t="s">
        <v>74</v>
      </c>
      <c r="P705" t="s">
        <v>74</v>
      </c>
      <c r="Q705" t="s">
        <v>74</v>
      </c>
      <c r="R705" t="s">
        <v>74</v>
      </c>
      <c r="S705" t="s">
        <v>74</v>
      </c>
      <c r="T705" t="s">
        <v>74</v>
      </c>
      <c r="U705" t="s">
        <v>74</v>
      </c>
      <c r="V705" t="s">
        <v>6171</v>
      </c>
      <c r="W705" t="s">
        <v>74</v>
      </c>
      <c r="X705" t="s">
        <v>74</v>
      </c>
      <c r="Y705" t="s">
        <v>74</v>
      </c>
      <c r="Z705" t="s">
        <v>74</v>
      </c>
      <c r="AA705" t="s">
        <v>6172</v>
      </c>
      <c r="AB705" t="s">
        <v>6173</v>
      </c>
      <c r="AC705" t="s">
        <v>74</v>
      </c>
      <c r="AD705" t="s">
        <v>74</v>
      </c>
      <c r="AE705" t="s">
        <v>74</v>
      </c>
      <c r="AF705" t="s">
        <v>74</v>
      </c>
      <c r="AG705" t="s">
        <v>74</v>
      </c>
      <c r="AH705" t="s">
        <v>74</v>
      </c>
      <c r="AI705" t="s">
        <v>74</v>
      </c>
      <c r="AJ705" t="s">
        <v>74</v>
      </c>
      <c r="AK705" t="s">
        <v>74</v>
      </c>
      <c r="AL705" t="s">
        <v>74</v>
      </c>
      <c r="AM705" t="s">
        <v>74</v>
      </c>
      <c r="AN705" t="s">
        <v>74</v>
      </c>
      <c r="AO705" t="s">
        <v>1258</v>
      </c>
      <c r="AP705" t="s">
        <v>1259</v>
      </c>
      <c r="AQ705" t="s">
        <v>74</v>
      </c>
      <c r="AR705" t="s">
        <v>74</v>
      </c>
      <c r="AS705" t="s">
        <v>74</v>
      </c>
      <c r="AT705" t="s">
        <v>889</v>
      </c>
      <c r="AU705">
        <v>2019</v>
      </c>
      <c r="AV705">
        <v>299</v>
      </c>
      <c r="AW705" t="s">
        <v>74</v>
      </c>
      <c r="AX705" t="s">
        <v>74</v>
      </c>
      <c r="AY705" t="s">
        <v>74</v>
      </c>
      <c r="AZ705" t="s">
        <v>74</v>
      </c>
      <c r="BA705" t="s">
        <v>74</v>
      </c>
      <c r="BB705">
        <v>820</v>
      </c>
      <c r="BC705">
        <v>827</v>
      </c>
      <c r="BD705" t="s">
        <v>74</v>
      </c>
      <c r="BE705" t="s">
        <v>6174</v>
      </c>
      <c r="BF705" t="str">
        <f>HYPERLINK("http://dx.doi.org/10.1016/j.electacta.2019.01.039","http://dx.doi.org/10.1016/j.electacta.2019.01.039")</f>
        <v>http://dx.doi.org/10.1016/j.electacta.2019.01.039</v>
      </c>
      <c r="BG705" t="s">
        <v>74</v>
      </c>
      <c r="BH705" t="s">
        <v>74</v>
      </c>
      <c r="BI705" t="s">
        <v>74</v>
      </c>
      <c r="BJ705" t="s">
        <v>74</v>
      </c>
      <c r="BK705" t="s">
        <v>74</v>
      </c>
      <c r="BL705" t="s">
        <v>74</v>
      </c>
      <c r="BM705" t="s">
        <v>74</v>
      </c>
      <c r="BN705" t="s">
        <v>74</v>
      </c>
      <c r="BO705" t="s">
        <v>74</v>
      </c>
      <c r="BP705" t="s">
        <v>74</v>
      </c>
      <c r="BQ705" t="s">
        <v>74</v>
      </c>
      <c r="BR705" t="s">
        <v>74</v>
      </c>
      <c r="BS705" t="s">
        <v>6175</v>
      </c>
      <c r="BT705" t="str">
        <f>HYPERLINK("https%3A%2F%2Fwww.webofscience.com%2Fwos%2Fwoscc%2Ffull-record%2FWOS:000457551900088","View Full Record in Web of Science")</f>
        <v>View Full Record in Web of Science</v>
      </c>
    </row>
    <row r="706" spans="1:72" x14ac:dyDescent="0.2">
      <c r="A706" t="s">
        <v>72</v>
      </c>
      <c r="B706" t="s">
        <v>6176</v>
      </c>
      <c r="C706" t="s">
        <v>74</v>
      </c>
      <c r="D706" t="s">
        <v>74</v>
      </c>
      <c r="E706" t="s">
        <v>74</v>
      </c>
      <c r="F706" t="s">
        <v>6177</v>
      </c>
      <c r="G706" t="s">
        <v>74</v>
      </c>
      <c r="H706" t="s">
        <v>74</v>
      </c>
      <c r="I706" t="s">
        <v>6178</v>
      </c>
      <c r="J706" t="s">
        <v>267</v>
      </c>
      <c r="K706" t="s">
        <v>74</v>
      </c>
      <c r="L706" t="s">
        <v>74</v>
      </c>
      <c r="M706" t="s">
        <v>74</v>
      </c>
      <c r="N706" t="s">
        <v>74</v>
      </c>
      <c r="O706" t="s">
        <v>74</v>
      </c>
      <c r="P706" t="s">
        <v>74</v>
      </c>
      <c r="Q706" t="s">
        <v>74</v>
      </c>
      <c r="R706" t="s">
        <v>74</v>
      </c>
      <c r="S706" t="s">
        <v>74</v>
      </c>
      <c r="T706" t="s">
        <v>74</v>
      </c>
      <c r="U706" t="s">
        <v>74</v>
      </c>
      <c r="V706" t="s">
        <v>6179</v>
      </c>
      <c r="W706" t="s">
        <v>74</v>
      </c>
      <c r="X706" t="s">
        <v>74</v>
      </c>
      <c r="Y706" t="s">
        <v>74</v>
      </c>
      <c r="Z706" t="s">
        <v>74</v>
      </c>
      <c r="AA706" t="s">
        <v>6180</v>
      </c>
      <c r="AB706" t="s">
        <v>6181</v>
      </c>
      <c r="AC706" t="s">
        <v>74</v>
      </c>
      <c r="AD706" t="s">
        <v>74</v>
      </c>
      <c r="AE706" t="s">
        <v>74</v>
      </c>
      <c r="AF706" t="s">
        <v>74</v>
      </c>
      <c r="AG706" t="s">
        <v>74</v>
      </c>
      <c r="AH706" t="s">
        <v>74</v>
      </c>
      <c r="AI706" t="s">
        <v>74</v>
      </c>
      <c r="AJ706" t="s">
        <v>74</v>
      </c>
      <c r="AK706" t="s">
        <v>74</v>
      </c>
      <c r="AL706" t="s">
        <v>74</v>
      </c>
      <c r="AM706" t="s">
        <v>74</v>
      </c>
      <c r="AN706" t="s">
        <v>74</v>
      </c>
      <c r="AO706" t="s">
        <v>270</v>
      </c>
      <c r="AP706" t="s">
        <v>271</v>
      </c>
      <c r="AQ706" t="s">
        <v>74</v>
      </c>
      <c r="AR706" t="s">
        <v>74</v>
      </c>
      <c r="AS706" t="s">
        <v>74</v>
      </c>
      <c r="AT706" t="s">
        <v>6182</v>
      </c>
      <c r="AU706">
        <v>2019</v>
      </c>
      <c r="AV706">
        <v>29</v>
      </c>
      <c r="AW706">
        <v>9</v>
      </c>
      <c r="AX706" t="s">
        <v>74</v>
      </c>
      <c r="AY706" t="s">
        <v>74</v>
      </c>
      <c r="AZ706" t="s">
        <v>74</v>
      </c>
      <c r="BA706" t="s">
        <v>74</v>
      </c>
      <c r="BB706" t="s">
        <v>74</v>
      </c>
      <c r="BC706" t="s">
        <v>74</v>
      </c>
      <c r="BD706">
        <v>1807974</v>
      </c>
      <c r="BE706" t="s">
        <v>6183</v>
      </c>
      <c r="BF706" t="str">
        <f>HYPERLINK("http://dx.doi.org/10.1002/adfm.201807974","http://dx.doi.org/10.1002/adfm.201807974")</f>
        <v>http://dx.doi.org/10.1002/adfm.201807974</v>
      </c>
      <c r="BG706" t="s">
        <v>74</v>
      </c>
      <c r="BH706" t="s">
        <v>74</v>
      </c>
      <c r="BI706" t="s">
        <v>74</v>
      </c>
      <c r="BJ706" t="s">
        <v>74</v>
      </c>
      <c r="BK706" t="s">
        <v>74</v>
      </c>
      <c r="BL706" t="s">
        <v>74</v>
      </c>
      <c r="BM706" t="s">
        <v>74</v>
      </c>
      <c r="BN706" t="s">
        <v>74</v>
      </c>
      <c r="BO706" t="s">
        <v>74</v>
      </c>
      <c r="BP706" t="s">
        <v>74</v>
      </c>
      <c r="BQ706" t="s">
        <v>74</v>
      </c>
      <c r="BR706" t="s">
        <v>74</v>
      </c>
      <c r="BS706" t="s">
        <v>6184</v>
      </c>
      <c r="BT706" t="str">
        <f>HYPERLINK("https%3A%2F%2Fwww.webofscience.com%2Fwos%2Fwoscc%2Ffull-record%2FWOS:000459800400008","View Full Record in Web of Science")</f>
        <v>View Full Record in Web of Science</v>
      </c>
    </row>
    <row r="707" spans="1:72" x14ac:dyDescent="0.2">
      <c r="A707" t="s">
        <v>72</v>
      </c>
      <c r="B707" t="s">
        <v>6185</v>
      </c>
      <c r="C707" t="s">
        <v>74</v>
      </c>
      <c r="D707" t="s">
        <v>74</v>
      </c>
      <c r="E707" t="s">
        <v>74</v>
      </c>
      <c r="F707" t="s">
        <v>6186</v>
      </c>
      <c r="G707" t="s">
        <v>74</v>
      </c>
      <c r="H707" t="s">
        <v>74</v>
      </c>
      <c r="I707" t="s">
        <v>6187</v>
      </c>
      <c r="J707" t="s">
        <v>98</v>
      </c>
      <c r="K707" t="s">
        <v>74</v>
      </c>
      <c r="L707" t="s">
        <v>74</v>
      </c>
      <c r="M707" t="s">
        <v>74</v>
      </c>
      <c r="N707" t="s">
        <v>74</v>
      </c>
      <c r="O707" t="s">
        <v>74</v>
      </c>
      <c r="P707" t="s">
        <v>74</v>
      </c>
      <c r="Q707" t="s">
        <v>74</v>
      </c>
      <c r="R707" t="s">
        <v>74</v>
      </c>
      <c r="S707" t="s">
        <v>74</v>
      </c>
      <c r="T707" t="s">
        <v>74</v>
      </c>
      <c r="U707" t="s">
        <v>74</v>
      </c>
      <c r="V707" t="s">
        <v>6188</v>
      </c>
      <c r="W707" t="s">
        <v>74</v>
      </c>
      <c r="X707" t="s">
        <v>74</v>
      </c>
      <c r="Y707" t="s">
        <v>74</v>
      </c>
      <c r="Z707" t="s">
        <v>74</v>
      </c>
      <c r="AA707" t="s">
        <v>6189</v>
      </c>
      <c r="AB707" t="s">
        <v>6190</v>
      </c>
      <c r="AC707" t="s">
        <v>74</v>
      </c>
      <c r="AD707" t="s">
        <v>74</v>
      </c>
      <c r="AE707" t="s">
        <v>74</v>
      </c>
      <c r="AF707" t="s">
        <v>74</v>
      </c>
      <c r="AG707" t="s">
        <v>74</v>
      </c>
      <c r="AH707" t="s">
        <v>74</v>
      </c>
      <c r="AI707" t="s">
        <v>74</v>
      </c>
      <c r="AJ707" t="s">
        <v>74</v>
      </c>
      <c r="AK707" t="s">
        <v>74</v>
      </c>
      <c r="AL707" t="s">
        <v>74</v>
      </c>
      <c r="AM707" t="s">
        <v>74</v>
      </c>
      <c r="AN707" t="s">
        <v>74</v>
      </c>
      <c r="AO707" t="s">
        <v>101</v>
      </c>
      <c r="AP707" t="s">
        <v>102</v>
      </c>
      <c r="AQ707" t="s">
        <v>74</v>
      </c>
      <c r="AR707" t="s">
        <v>74</v>
      </c>
      <c r="AS707" t="s">
        <v>74</v>
      </c>
      <c r="AT707" t="s">
        <v>6182</v>
      </c>
      <c r="AU707">
        <v>2019</v>
      </c>
      <c r="AV707">
        <v>414</v>
      </c>
      <c r="AW707" t="s">
        <v>74</v>
      </c>
      <c r="AX707" t="s">
        <v>74</v>
      </c>
      <c r="AY707" t="s">
        <v>74</v>
      </c>
      <c r="AZ707" t="s">
        <v>74</v>
      </c>
      <c r="BA707" t="s">
        <v>74</v>
      </c>
      <c r="BB707">
        <v>283</v>
      </c>
      <c r="BC707">
        <v>292</v>
      </c>
      <c r="BD707" t="s">
        <v>74</v>
      </c>
      <c r="BE707" t="s">
        <v>6191</v>
      </c>
      <c r="BF707" t="str">
        <f>HYPERLINK("http://dx.doi.org/10.1016/j.jpowsour.2019.01.004","http://dx.doi.org/10.1016/j.jpowsour.2019.01.004")</f>
        <v>http://dx.doi.org/10.1016/j.jpowsour.2019.01.004</v>
      </c>
      <c r="BG707" t="s">
        <v>74</v>
      </c>
      <c r="BH707" t="s">
        <v>74</v>
      </c>
      <c r="BI707" t="s">
        <v>74</v>
      </c>
      <c r="BJ707" t="s">
        <v>74</v>
      </c>
      <c r="BK707" t="s">
        <v>74</v>
      </c>
      <c r="BL707" t="s">
        <v>74</v>
      </c>
      <c r="BM707" t="s">
        <v>74</v>
      </c>
      <c r="BN707" t="s">
        <v>74</v>
      </c>
      <c r="BO707" t="s">
        <v>74</v>
      </c>
      <c r="BP707" t="s">
        <v>74</v>
      </c>
      <c r="BQ707" t="s">
        <v>74</v>
      </c>
      <c r="BR707" t="s">
        <v>74</v>
      </c>
      <c r="BS707" t="s">
        <v>6192</v>
      </c>
      <c r="BT707" t="str">
        <f>HYPERLINK("https%3A%2F%2Fwww.webofscience.com%2Fwos%2Fwoscc%2Ffull-record%2FWOS:000458709900034","View Full Record in Web of Science")</f>
        <v>View Full Record in Web of Science</v>
      </c>
    </row>
    <row r="708" spans="1:72" x14ac:dyDescent="0.2">
      <c r="A708" t="s">
        <v>72</v>
      </c>
      <c r="B708" t="s">
        <v>6193</v>
      </c>
      <c r="C708" t="s">
        <v>74</v>
      </c>
      <c r="D708" t="s">
        <v>74</v>
      </c>
      <c r="E708" t="s">
        <v>74</v>
      </c>
      <c r="F708" t="s">
        <v>6194</v>
      </c>
      <c r="G708" t="s">
        <v>74</v>
      </c>
      <c r="H708" t="s">
        <v>74</v>
      </c>
      <c r="I708" t="s">
        <v>6195</v>
      </c>
      <c r="J708" t="s">
        <v>278</v>
      </c>
      <c r="K708" t="s">
        <v>74</v>
      </c>
      <c r="L708" t="s">
        <v>74</v>
      </c>
      <c r="M708" t="s">
        <v>74</v>
      </c>
      <c r="N708" t="s">
        <v>74</v>
      </c>
      <c r="O708" t="s">
        <v>74</v>
      </c>
      <c r="P708" t="s">
        <v>74</v>
      </c>
      <c r="Q708" t="s">
        <v>74</v>
      </c>
      <c r="R708" t="s">
        <v>74</v>
      </c>
      <c r="S708" t="s">
        <v>74</v>
      </c>
      <c r="T708" t="s">
        <v>74</v>
      </c>
      <c r="U708" t="s">
        <v>74</v>
      </c>
      <c r="V708" t="s">
        <v>6196</v>
      </c>
      <c r="W708" t="s">
        <v>74</v>
      </c>
      <c r="X708" t="s">
        <v>74</v>
      </c>
      <c r="Y708" t="s">
        <v>74</v>
      </c>
      <c r="Z708" t="s">
        <v>74</v>
      </c>
      <c r="AA708" t="s">
        <v>6197</v>
      </c>
      <c r="AB708" t="s">
        <v>6198</v>
      </c>
      <c r="AC708" t="s">
        <v>74</v>
      </c>
      <c r="AD708" t="s">
        <v>74</v>
      </c>
      <c r="AE708" t="s">
        <v>74</v>
      </c>
      <c r="AF708" t="s">
        <v>74</v>
      </c>
      <c r="AG708" t="s">
        <v>74</v>
      </c>
      <c r="AH708" t="s">
        <v>74</v>
      </c>
      <c r="AI708" t="s">
        <v>74</v>
      </c>
      <c r="AJ708" t="s">
        <v>74</v>
      </c>
      <c r="AK708" t="s">
        <v>74</v>
      </c>
      <c r="AL708" t="s">
        <v>74</v>
      </c>
      <c r="AM708" t="s">
        <v>74</v>
      </c>
      <c r="AN708" t="s">
        <v>74</v>
      </c>
      <c r="AO708" t="s">
        <v>281</v>
      </c>
      <c r="AP708" t="s">
        <v>282</v>
      </c>
      <c r="AQ708" t="s">
        <v>74</v>
      </c>
      <c r="AR708" t="s">
        <v>74</v>
      </c>
      <c r="AS708" t="s">
        <v>74</v>
      </c>
      <c r="AT708" t="s">
        <v>2312</v>
      </c>
      <c r="AU708">
        <v>2019</v>
      </c>
      <c r="AV708">
        <v>7</v>
      </c>
      <c r="AW708">
        <v>7</v>
      </c>
      <c r="AX708" t="s">
        <v>74</v>
      </c>
      <c r="AY708" t="s">
        <v>74</v>
      </c>
      <c r="AZ708" t="s">
        <v>74</v>
      </c>
      <c r="BA708" t="s">
        <v>74</v>
      </c>
      <c r="BB708">
        <v>3375</v>
      </c>
      <c r="BC708">
        <v>3383</v>
      </c>
      <c r="BD708" t="s">
        <v>74</v>
      </c>
      <c r="BE708" t="s">
        <v>6199</v>
      </c>
      <c r="BF708" t="str">
        <f>HYPERLINK("http://dx.doi.org/10.1039/c8ta10786f","http://dx.doi.org/10.1039/c8ta10786f")</f>
        <v>http://dx.doi.org/10.1039/c8ta10786f</v>
      </c>
      <c r="BG708" t="s">
        <v>74</v>
      </c>
      <c r="BH708" t="s">
        <v>74</v>
      </c>
      <c r="BI708" t="s">
        <v>74</v>
      </c>
      <c r="BJ708" t="s">
        <v>74</v>
      </c>
      <c r="BK708" t="s">
        <v>74</v>
      </c>
      <c r="BL708" t="s">
        <v>74</v>
      </c>
      <c r="BM708" t="s">
        <v>74</v>
      </c>
      <c r="BN708" t="s">
        <v>74</v>
      </c>
      <c r="BO708" t="s">
        <v>74</v>
      </c>
      <c r="BP708" t="s">
        <v>74</v>
      </c>
      <c r="BQ708" t="s">
        <v>74</v>
      </c>
      <c r="BR708" t="s">
        <v>74</v>
      </c>
      <c r="BS708" t="s">
        <v>6200</v>
      </c>
      <c r="BT708" t="str">
        <f>HYPERLINK("https%3A%2F%2Fwww.webofscience.com%2Fwos%2Fwoscc%2Ffull-record%2FWOS:000458682100043","View Full Record in Web of Science")</f>
        <v>View Full Record in Web of Science</v>
      </c>
    </row>
    <row r="709" spans="1:72" x14ac:dyDescent="0.2">
      <c r="A709" t="s">
        <v>72</v>
      </c>
      <c r="B709" t="s">
        <v>6201</v>
      </c>
      <c r="C709" t="s">
        <v>74</v>
      </c>
      <c r="D709" t="s">
        <v>74</v>
      </c>
      <c r="E709" t="s">
        <v>74</v>
      </c>
      <c r="F709" t="s">
        <v>6202</v>
      </c>
      <c r="G709" t="s">
        <v>74</v>
      </c>
      <c r="H709" t="s">
        <v>74</v>
      </c>
      <c r="I709" t="s">
        <v>6203</v>
      </c>
      <c r="J709" t="s">
        <v>98</v>
      </c>
      <c r="K709" t="s">
        <v>74</v>
      </c>
      <c r="L709" t="s">
        <v>74</v>
      </c>
      <c r="M709" t="s">
        <v>74</v>
      </c>
      <c r="N709" t="s">
        <v>74</v>
      </c>
      <c r="O709" t="s">
        <v>74</v>
      </c>
      <c r="P709" t="s">
        <v>74</v>
      </c>
      <c r="Q709" t="s">
        <v>74</v>
      </c>
      <c r="R709" t="s">
        <v>74</v>
      </c>
      <c r="S709" t="s">
        <v>74</v>
      </c>
      <c r="T709" t="s">
        <v>74</v>
      </c>
      <c r="U709" t="s">
        <v>74</v>
      </c>
      <c r="V709" t="s">
        <v>6204</v>
      </c>
      <c r="W709" t="s">
        <v>74</v>
      </c>
      <c r="X709" t="s">
        <v>74</v>
      </c>
      <c r="Y709" t="s">
        <v>74</v>
      </c>
      <c r="Z709" t="s">
        <v>74</v>
      </c>
      <c r="AA709" t="s">
        <v>6205</v>
      </c>
      <c r="AB709" t="s">
        <v>6206</v>
      </c>
      <c r="AC709" t="s">
        <v>74</v>
      </c>
      <c r="AD709" t="s">
        <v>74</v>
      </c>
      <c r="AE709" t="s">
        <v>74</v>
      </c>
      <c r="AF709" t="s">
        <v>74</v>
      </c>
      <c r="AG709" t="s">
        <v>74</v>
      </c>
      <c r="AH709" t="s">
        <v>74</v>
      </c>
      <c r="AI709" t="s">
        <v>74</v>
      </c>
      <c r="AJ709" t="s">
        <v>74</v>
      </c>
      <c r="AK709" t="s">
        <v>74</v>
      </c>
      <c r="AL709" t="s">
        <v>74</v>
      </c>
      <c r="AM709" t="s">
        <v>74</v>
      </c>
      <c r="AN709" t="s">
        <v>74</v>
      </c>
      <c r="AO709" t="s">
        <v>101</v>
      </c>
      <c r="AP709" t="s">
        <v>102</v>
      </c>
      <c r="AQ709" t="s">
        <v>74</v>
      </c>
      <c r="AR709" t="s">
        <v>74</v>
      </c>
      <c r="AS709" t="s">
        <v>74</v>
      </c>
      <c r="AT709" t="s">
        <v>1463</v>
      </c>
      <c r="AU709">
        <v>2019</v>
      </c>
      <c r="AV709">
        <v>413</v>
      </c>
      <c r="AW709" t="s">
        <v>74</v>
      </c>
      <c r="AX709" t="s">
        <v>74</v>
      </c>
      <c r="AY709" t="s">
        <v>74</v>
      </c>
      <c r="AZ709" t="s">
        <v>74</v>
      </c>
      <c r="BA709" t="s">
        <v>74</v>
      </c>
      <c r="BB709">
        <v>11</v>
      </c>
      <c r="BC709">
        <v>19</v>
      </c>
      <c r="BD709" t="s">
        <v>74</v>
      </c>
      <c r="BE709" t="s">
        <v>6207</v>
      </c>
      <c r="BF709" t="str">
        <f>HYPERLINK("http://dx.doi.org/10.1016/j.jpowsour.2018.12.016","http://dx.doi.org/10.1016/j.jpowsour.2018.12.016")</f>
        <v>http://dx.doi.org/10.1016/j.jpowsour.2018.12.016</v>
      </c>
      <c r="BG709" t="s">
        <v>74</v>
      </c>
      <c r="BH709" t="s">
        <v>74</v>
      </c>
      <c r="BI709" t="s">
        <v>74</v>
      </c>
      <c r="BJ709" t="s">
        <v>74</v>
      </c>
      <c r="BK709" t="s">
        <v>74</v>
      </c>
      <c r="BL709" t="s">
        <v>74</v>
      </c>
      <c r="BM709" t="s">
        <v>74</v>
      </c>
      <c r="BN709" t="s">
        <v>74</v>
      </c>
      <c r="BO709" t="s">
        <v>74</v>
      </c>
      <c r="BP709" t="s">
        <v>74</v>
      </c>
      <c r="BQ709" t="s">
        <v>74</v>
      </c>
      <c r="BR709" t="s">
        <v>74</v>
      </c>
      <c r="BS709" t="s">
        <v>6208</v>
      </c>
      <c r="BT709" t="str">
        <f>HYPERLINK("https%3A%2F%2Fwww.webofscience.com%2Fwos%2Fwoscc%2Ffull-record%2FWOS:000457512700002","View Full Record in Web of Science")</f>
        <v>View Full Record in Web of Science</v>
      </c>
    </row>
    <row r="710" spans="1:72" x14ac:dyDescent="0.2">
      <c r="A710" t="s">
        <v>72</v>
      </c>
      <c r="B710" t="s">
        <v>6209</v>
      </c>
      <c r="C710" t="s">
        <v>74</v>
      </c>
      <c r="D710" t="s">
        <v>74</v>
      </c>
      <c r="E710" t="s">
        <v>74</v>
      </c>
      <c r="F710" t="s">
        <v>6210</v>
      </c>
      <c r="G710" t="s">
        <v>74</v>
      </c>
      <c r="H710" t="s">
        <v>74</v>
      </c>
      <c r="I710" t="s">
        <v>6211</v>
      </c>
      <c r="J710" t="s">
        <v>587</v>
      </c>
      <c r="K710" t="s">
        <v>74</v>
      </c>
      <c r="L710" t="s">
        <v>74</v>
      </c>
      <c r="M710" t="s">
        <v>74</v>
      </c>
      <c r="N710" t="s">
        <v>74</v>
      </c>
      <c r="O710" t="s">
        <v>74</v>
      </c>
      <c r="P710" t="s">
        <v>74</v>
      </c>
      <c r="Q710" t="s">
        <v>74</v>
      </c>
      <c r="R710" t="s">
        <v>74</v>
      </c>
      <c r="S710" t="s">
        <v>74</v>
      </c>
      <c r="T710" t="s">
        <v>74</v>
      </c>
      <c r="U710" t="s">
        <v>74</v>
      </c>
      <c r="V710" t="s">
        <v>6212</v>
      </c>
      <c r="W710" t="s">
        <v>74</v>
      </c>
      <c r="X710" t="s">
        <v>74</v>
      </c>
      <c r="Y710" t="s">
        <v>74</v>
      </c>
      <c r="Z710" t="s">
        <v>74</v>
      </c>
      <c r="AA710" t="s">
        <v>6213</v>
      </c>
      <c r="AB710" t="s">
        <v>6214</v>
      </c>
      <c r="AC710" t="s">
        <v>74</v>
      </c>
      <c r="AD710" t="s">
        <v>74</v>
      </c>
      <c r="AE710" t="s">
        <v>74</v>
      </c>
      <c r="AF710" t="s">
        <v>74</v>
      </c>
      <c r="AG710" t="s">
        <v>74</v>
      </c>
      <c r="AH710" t="s">
        <v>74</v>
      </c>
      <c r="AI710" t="s">
        <v>74</v>
      </c>
      <c r="AJ710" t="s">
        <v>74</v>
      </c>
      <c r="AK710" t="s">
        <v>74</v>
      </c>
      <c r="AL710" t="s">
        <v>74</v>
      </c>
      <c r="AM710" t="s">
        <v>74</v>
      </c>
      <c r="AN710" t="s">
        <v>74</v>
      </c>
      <c r="AO710" t="s">
        <v>591</v>
      </c>
      <c r="AP710" t="s">
        <v>74</v>
      </c>
      <c r="AQ710" t="s">
        <v>74</v>
      </c>
      <c r="AR710" t="s">
        <v>74</v>
      </c>
      <c r="AS710" t="s">
        <v>74</v>
      </c>
      <c r="AT710" t="s">
        <v>1463</v>
      </c>
      <c r="AU710">
        <v>2019</v>
      </c>
      <c r="AV710">
        <v>6</v>
      </c>
      <c r="AW710">
        <v>4</v>
      </c>
      <c r="AX710" t="s">
        <v>74</v>
      </c>
      <c r="AY710" t="s">
        <v>74</v>
      </c>
      <c r="AZ710" t="s">
        <v>74</v>
      </c>
      <c r="BA710" t="s">
        <v>74</v>
      </c>
      <c r="BB710">
        <v>1088</v>
      </c>
      <c r="BC710">
        <v>1093</v>
      </c>
      <c r="BD710" t="s">
        <v>74</v>
      </c>
      <c r="BE710" t="s">
        <v>6215</v>
      </c>
      <c r="BF710" t="str">
        <f>HYPERLINK("http://dx.doi.org/10.1002/celc.201801543","http://dx.doi.org/10.1002/celc.201801543")</f>
        <v>http://dx.doi.org/10.1002/celc.201801543</v>
      </c>
      <c r="BG710" t="s">
        <v>74</v>
      </c>
      <c r="BH710" t="s">
        <v>74</v>
      </c>
      <c r="BI710" t="s">
        <v>74</v>
      </c>
      <c r="BJ710" t="s">
        <v>74</v>
      </c>
      <c r="BK710" t="s">
        <v>74</v>
      </c>
      <c r="BL710" t="s">
        <v>74</v>
      </c>
      <c r="BM710" t="s">
        <v>74</v>
      </c>
      <c r="BN710" t="s">
        <v>74</v>
      </c>
      <c r="BO710" t="s">
        <v>74</v>
      </c>
      <c r="BP710" t="s">
        <v>74</v>
      </c>
      <c r="BQ710" t="s">
        <v>74</v>
      </c>
      <c r="BR710" t="s">
        <v>74</v>
      </c>
      <c r="BS710" t="s">
        <v>6216</v>
      </c>
      <c r="BT710" t="str">
        <f>HYPERLINK("https%3A%2F%2Fwww.webofscience.com%2Fwos%2Fwoscc%2Ffull-record%2FWOS:000461580800016","View Full Record in Web of Science")</f>
        <v>View Full Record in Web of Science</v>
      </c>
    </row>
    <row r="711" spans="1:72" x14ac:dyDescent="0.2">
      <c r="A711" t="s">
        <v>72</v>
      </c>
      <c r="B711" t="s">
        <v>6217</v>
      </c>
      <c r="C711" t="s">
        <v>74</v>
      </c>
      <c r="D711" t="s">
        <v>74</v>
      </c>
      <c r="E711" t="s">
        <v>74</v>
      </c>
      <c r="F711" t="s">
        <v>6218</v>
      </c>
      <c r="G711" t="s">
        <v>74</v>
      </c>
      <c r="H711" t="s">
        <v>74</v>
      </c>
      <c r="I711" t="s">
        <v>6219</v>
      </c>
      <c r="J711" t="s">
        <v>3581</v>
      </c>
      <c r="K711" t="s">
        <v>74</v>
      </c>
      <c r="L711" t="s">
        <v>74</v>
      </c>
      <c r="M711" t="s">
        <v>74</v>
      </c>
      <c r="N711" t="s">
        <v>74</v>
      </c>
      <c r="O711" t="s">
        <v>74</v>
      </c>
      <c r="P711" t="s">
        <v>74</v>
      </c>
      <c r="Q711" t="s">
        <v>74</v>
      </c>
      <c r="R711" t="s">
        <v>74</v>
      </c>
      <c r="S711" t="s">
        <v>74</v>
      </c>
      <c r="T711" t="s">
        <v>74</v>
      </c>
      <c r="U711" t="s">
        <v>74</v>
      </c>
      <c r="V711" t="s">
        <v>6220</v>
      </c>
      <c r="W711" t="s">
        <v>74</v>
      </c>
      <c r="X711" t="s">
        <v>74</v>
      </c>
      <c r="Y711" t="s">
        <v>74</v>
      </c>
      <c r="Z711" t="s">
        <v>74</v>
      </c>
      <c r="AA711" t="s">
        <v>74</v>
      </c>
      <c r="AB711" t="s">
        <v>6221</v>
      </c>
      <c r="AC711" t="s">
        <v>74</v>
      </c>
      <c r="AD711" t="s">
        <v>74</v>
      </c>
      <c r="AE711" t="s">
        <v>74</v>
      </c>
      <c r="AF711" t="s">
        <v>74</v>
      </c>
      <c r="AG711" t="s">
        <v>74</v>
      </c>
      <c r="AH711" t="s">
        <v>74</v>
      </c>
      <c r="AI711" t="s">
        <v>74</v>
      </c>
      <c r="AJ711" t="s">
        <v>74</v>
      </c>
      <c r="AK711" t="s">
        <v>74</v>
      </c>
      <c r="AL711" t="s">
        <v>74</v>
      </c>
      <c r="AM711" t="s">
        <v>74</v>
      </c>
      <c r="AN711" t="s">
        <v>74</v>
      </c>
      <c r="AO711" t="s">
        <v>3585</v>
      </c>
      <c r="AP711" t="s">
        <v>3586</v>
      </c>
      <c r="AQ711" t="s">
        <v>74</v>
      </c>
      <c r="AR711" t="s">
        <v>74</v>
      </c>
      <c r="AS711" t="s">
        <v>74</v>
      </c>
      <c r="AT711" t="s">
        <v>6222</v>
      </c>
      <c r="AU711">
        <v>2019</v>
      </c>
      <c r="AV711">
        <v>55</v>
      </c>
      <c r="AW711">
        <v>12</v>
      </c>
      <c r="AX711" t="s">
        <v>74</v>
      </c>
      <c r="AY711" t="s">
        <v>74</v>
      </c>
      <c r="AZ711" t="s">
        <v>74</v>
      </c>
      <c r="BA711" t="s">
        <v>74</v>
      </c>
      <c r="BB711">
        <v>1684</v>
      </c>
      <c r="BC711">
        <v>1701</v>
      </c>
      <c r="BD711" t="s">
        <v>74</v>
      </c>
      <c r="BE711" t="s">
        <v>6223</v>
      </c>
      <c r="BF711" t="str">
        <f>HYPERLINK("http://dx.doi.org/10.1039/c8cc09663e","http://dx.doi.org/10.1039/c8cc09663e")</f>
        <v>http://dx.doi.org/10.1039/c8cc09663e</v>
      </c>
      <c r="BG711" t="s">
        <v>74</v>
      </c>
      <c r="BH711" t="s">
        <v>74</v>
      </c>
      <c r="BI711" t="s">
        <v>74</v>
      </c>
      <c r="BJ711" t="s">
        <v>74</v>
      </c>
      <c r="BK711" t="s">
        <v>74</v>
      </c>
      <c r="BL711" t="s">
        <v>74</v>
      </c>
      <c r="BM711" t="s">
        <v>74</v>
      </c>
      <c r="BN711">
        <v>30666325</v>
      </c>
      <c r="BO711" t="s">
        <v>74</v>
      </c>
      <c r="BP711" t="s">
        <v>74</v>
      </c>
      <c r="BQ711" t="s">
        <v>74</v>
      </c>
      <c r="BR711" t="s">
        <v>74</v>
      </c>
      <c r="BS711" t="s">
        <v>6224</v>
      </c>
      <c r="BT711" t="str">
        <f>HYPERLINK("https%3A%2F%2Fwww.webofscience.com%2Fwos%2Fwoscc%2Ffull-record%2FWOS:000457875500001","View Full Record in Web of Science")</f>
        <v>View Full Record in Web of Science</v>
      </c>
    </row>
    <row r="712" spans="1:72" x14ac:dyDescent="0.2">
      <c r="A712" t="s">
        <v>72</v>
      </c>
      <c r="B712" t="s">
        <v>6225</v>
      </c>
      <c r="C712" t="s">
        <v>74</v>
      </c>
      <c r="D712" t="s">
        <v>74</v>
      </c>
      <c r="E712" t="s">
        <v>74</v>
      </c>
      <c r="F712" t="s">
        <v>6226</v>
      </c>
      <c r="G712" t="s">
        <v>74</v>
      </c>
      <c r="H712" t="s">
        <v>74</v>
      </c>
      <c r="I712" t="s">
        <v>6227</v>
      </c>
      <c r="J712" t="s">
        <v>3581</v>
      </c>
      <c r="K712" t="s">
        <v>74</v>
      </c>
      <c r="L712" t="s">
        <v>74</v>
      </c>
      <c r="M712" t="s">
        <v>74</v>
      </c>
      <c r="N712" t="s">
        <v>74</v>
      </c>
      <c r="O712" t="s">
        <v>74</v>
      </c>
      <c r="P712" t="s">
        <v>74</v>
      </c>
      <c r="Q712" t="s">
        <v>74</v>
      </c>
      <c r="R712" t="s">
        <v>74</v>
      </c>
      <c r="S712" t="s">
        <v>74</v>
      </c>
      <c r="T712" t="s">
        <v>74</v>
      </c>
      <c r="U712" t="s">
        <v>74</v>
      </c>
      <c r="V712" t="s">
        <v>6228</v>
      </c>
      <c r="W712" t="s">
        <v>74</v>
      </c>
      <c r="X712" t="s">
        <v>74</v>
      </c>
      <c r="Y712" t="s">
        <v>74</v>
      </c>
      <c r="Z712" t="s">
        <v>74</v>
      </c>
      <c r="AA712" t="s">
        <v>6229</v>
      </c>
      <c r="AB712" t="s">
        <v>6230</v>
      </c>
      <c r="AC712" t="s">
        <v>74</v>
      </c>
      <c r="AD712" t="s">
        <v>74</v>
      </c>
      <c r="AE712" t="s">
        <v>74</v>
      </c>
      <c r="AF712" t="s">
        <v>74</v>
      </c>
      <c r="AG712" t="s">
        <v>74</v>
      </c>
      <c r="AH712" t="s">
        <v>74</v>
      </c>
      <c r="AI712" t="s">
        <v>74</v>
      </c>
      <c r="AJ712" t="s">
        <v>74</v>
      </c>
      <c r="AK712" t="s">
        <v>74</v>
      </c>
      <c r="AL712" t="s">
        <v>74</v>
      </c>
      <c r="AM712" t="s">
        <v>74</v>
      </c>
      <c r="AN712" t="s">
        <v>74</v>
      </c>
      <c r="AO712" t="s">
        <v>3585</v>
      </c>
      <c r="AP712" t="s">
        <v>3586</v>
      </c>
      <c r="AQ712" t="s">
        <v>74</v>
      </c>
      <c r="AR712" t="s">
        <v>74</v>
      </c>
      <c r="AS712" t="s">
        <v>74</v>
      </c>
      <c r="AT712" t="s">
        <v>6231</v>
      </c>
      <c r="AU712">
        <v>2019</v>
      </c>
      <c r="AV712">
        <v>55</v>
      </c>
      <c r="AW712">
        <v>10</v>
      </c>
      <c r="AX712" t="s">
        <v>74</v>
      </c>
      <c r="AY712" t="s">
        <v>74</v>
      </c>
      <c r="AZ712" t="s">
        <v>74</v>
      </c>
      <c r="BA712" t="s">
        <v>74</v>
      </c>
      <c r="BB712">
        <v>1458</v>
      </c>
      <c r="BC712">
        <v>1461</v>
      </c>
      <c r="BD712" t="s">
        <v>74</v>
      </c>
      <c r="BE712" t="s">
        <v>6232</v>
      </c>
      <c r="BF712" t="str">
        <f>HYPERLINK("http://dx.doi.org/10.1039/c8cc08725c","http://dx.doi.org/10.1039/c8cc08725c")</f>
        <v>http://dx.doi.org/10.1039/c8cc08725c</v>
      </c>
      <c r="BG712" t="s">
        <v>74</v>
      </c>
      <c r="BH712" t="s">
        <v>74</v>
      </c>
      <c r="BI712" t="s">
        <v>74</v>
      </c>
      <c r="BJ712" t="s">
        <v>74</v>
      </c>
      <c r="BK712" t="s">
        <v>74</v>
      </c>
      <c r="BL712" t="s">
        <v>74</v>
      </c>
      <c r="BM712" t="s">
        <v>74</v>
      </c>
      <c r="BN712">
        <v>30644467</v>
      </c>
      <c r="BO712" t="s">
        <v>74</v>
      </c>
      <c r="BP712" t="s">
        <v>74</v>
      </c>
      <c r="BQ712" t="s">
        <v>74</v>
      </c>
      <c r="BR712" t="s">
        <v>74</v>
      </c>
      <c r="BS712" t="s">
        <v>6233</v>
      </c>
      <c r="BT712" t="str">
        <f>HYPERLINK("https%3A%2F%2Fwww.webofscience.com%2Fwos%2Fwoscc%2Ffull-record%2FWOS:000458546700019","View Full Record in Web of Science")</f>
        <v>View Full Record in Web of Science</v>
      </c>
    </row>
    <row r="713" spans="1:72" x14ac:dyDescent="0.2">
      <c r="A713" t="s">
        <v>72</v>
      </c>
      <c r="B713" t="s">
        <v>6234</v>
      </c>
      <c r="C713" t="s">
        <v>74</v>
      </c>
      <c r="D713" t="s">
        <v>74</v>
      </c>
      <c r="E713" t="s">
        <v>74</v>
      </c>
      <c r="F713" t="s">
        <v>6235</v>
      </c>
      <c r="G713" t="s">
        <v>74</v>
      </c>
      <c r="H713" t="s">
        <v>74</v>
      </c>
      <c r="I713" t="s">
        <v>6236</v>
      </c>
      <c r="J713" t="s">
        <v>895</v>
      </c>
      <c r="K713" t="s">
        <v>74</v>
      </c>
      <c r="L713" t="s">
        <v>74</v>
      </c>
      <c r="M713" t="s">
        <v>74</v>
      </c>
      <c r="N713" t="s">
        <v>74</v>
      </c>
      <c r="O713" t="s">
        <v>74</v>
      </c>
      <c r="P713" t="s">
        <v>74</v>
      </c>
      <c r="Q713" t="s">
        <v>74</v>
      </c>
      <c r="R713" t="s">
        <v>74</v>
      </c>
      <c r="S713" t="s">
        <v>74</v>
      </c>
      <c r="T713" t="s">
        <v>74</v>
      </c>
      <c r="U713" t="s">
        <v>74</v>
      </c>
      <c r="V713" t="s">
        <v>6237</v>
      </c>
      <c r="W713" t="s">
        <v>74</v>
      </c>
      <c r="X713" t="s">
        <v>74</v>
      </c>
      <c r="Y713" t="s">
        <v>74</v>
      </c>
      <c r="Z713" t="s">
        <v>74</v>
      </c>
      <c r="AA713" t="s">
        <v>6238</v>
      </c>
      <c r="AB713" t="s">
        <v>6239</v>
      </c>
      <c r="AC713" t="s">
        <v>74</v>
      </c>
      <c r="AD713" t="s">
        <v>74</v>
      </c>
      <c r="AE713" t="s">
        <v>74</v>
      </c>
      <c r="AF713" t="s">
        <v>74</v>
      </c>
      <c r="AG713" t="s">
        <v>74</v>
      </c>
      <c r="AH713" t="s">
        <v>74</v>
      </c>
      <c r="AI713" t="s">
        <v>74</v>
      </c>
      <c r="AJ713" t="s">
        <v>74</v>
      </c>
      <c r="AK713" t="s">
        <v>74</v>
      </c>
      <c r="AL713" t="s">
        <v>74</v>
      </c>
      <c r="AM713" t="s">
        <v>74</v>
      </c>
      <c r="AN713" t="s">
        <v>74</v>
      </c>
      <c r="AO713" t="s">
        <v>899</v>
      </c>
      <c r="AP713" t="s">
        <v>900</v>
      </c>
      <c r="AQ713" t="s">
        <v>74</v>
      </c>
      <c r="AR713" t="s">
        <v>74</v>
      </c>
      <c r="AS713" t="s">
        <v>74</v>
      </c>
      <c r="AT713" t="s">
        <v>1154</v>
      </c>
      <c r="AU713">
        <v>2019</v>
      </c>
      <c r="AV713">
        <v>12</v>
      </c>
      <c r="AW713">
        <v>2</v>
      </c>
      <c r="AX713" t="s">
        <v>74</v>
      </c>
      <c r="AY713" t="s">
        <v>74</v>
      </c>
      <c r="AZ713" t="s">
        <v>74</v>
      </c>
      <c r="BA713" t="s">
        <v>74</v>
      </c>
      <c r="BB713">
        <v>566</v>
      </c>
      <c r="BC713">
        <v>571</v>
      </c>
      <c r="BD713" t="s">
        <v>74</v>
      </c>
      <c r="BE713" t="s">
        <v>6240</v>
      </c>
      <c r="BF713" t="str">
        <f>HYPERLINK("http://dx.doi.org/10.1039/c8ee02437e","http://dx.doi.org/10.1039/c8ee02437e")</f>
        <v>http://dx.doi.org/10.1039/c8ee02437e</v>
      </c>
      <c r="BG713" t="s">
        <v>74</v>
      </c>
      <c r="BH713" t="s">
        <v>74</v>
      </c>
      <c r="BI713" t="s">
        <v>74</v>
      </c>
      <c r="BJ713" t="s">
        <v>74</v>
      </c>
      <c r="BK713" t="s">
        <v>74</v>
      </c>
      <c r="BL713" t="s">
        <v>74</v>
      </c>
      <c r="BM713" t="s">
        <v>74</v>
      </c>
      <c r="BN713" t="s">
        <v>74</v>
      </c>
      <c r="BO713" t="s">
        <v>74</v>
      </c>
      <c r="BP713" t="s">
        <v>74</v>
      </c>
      <c r="BQ713" t="s">
        <v>74</v>
      </c>
      <c r="BR713" t="s">
        <v>74</v>
      </c>
      <c r="BS713" t="s">
        <v>6241</v>
      </c>
      <c r="BT713" t="str">
        <f>HYPERLINK("https%3A%2F%2Fwww.webofscience.com%2Fwos%2Fwoscc%2Ffull-record%2FWOS:000459741700029","View Full Record in Web of Science")</f>
        <v>View Full Record in Web of Science</v>
      </c>
    </row>
    <row r="714" spans="1:72" x14ac:dyDescent="0.2">
      <c r="A714" t="s">
        <v>72</v>
      </c>
      <c r="B714" t="s">
        <v>6242</v>
      </c>
      <c r="C714" t="s">
        <v>74</v>
      </c>
      <c r="D714" t="s">
        <v>74</v>
      </c>
      <c r="E714" t="s">
        <v>74</v>
      </c>
      <c r="F714" t="s">
        <v>6243</v>
      </c>
      <c r="G714" t="s">
        <v>74</v>
      </c>
      <c r="H714" t="s">
        <v>74</v>
      </c>
      <c r="I714" t="s">
        <v>6244</v>
      </c>
      <c r="J714" t="s">
        <v>1941</v>
      </c>
      <c r="K714" t="s">
        <v>74</v>
      </c>
      <c r="L714" t="s">
        <v>74</v>
      </c>
      <c r="M714" t="s">
        <v>74</v>
      </c>
      <c r="N714" t="s">
        <v>74</v>
      </c>
      <c r="O714" t="s">
        <v>74</v>
      </c>
      <c r="P714" t="s">
        <v>74</v>
      </c>
      <c r="Q714" t="s">
        <v>74</v>
      </c>
      <c r="R714" t="s">
        <v>74</v>
      </c>
      <c r="S714" t="s">
        <v>74</v>
      </c>
      <c r="T714" t="s">
        <v>74</v>
      </c>
      <c r="U714" t="s">
        <v>74</v>
      </c>
      <c r="V714" t="s">
        <v>6245</v>
      </c>
      <c r="W714" t="s">
        <v>74</v>
      </c>
      <c r="X714" t="s">
        <v>74</v>
      </c>
      <c r="Y714" t="s">
        <v>74</v>
      </c>
      <c r="Z714" t="s">
        <v>74</v>
      </c>
      <c r="AA714" t="s">
        <v>6246</v>
      </c>
      <c r="AB714" t="s">
        <v>6247</v>
      </c>
      <c r="AC714" t="s">
        <v>74</v>
      </c>
      <c r="AD714" t="s">
        <v>74</v>
      </c>
      <c r="AE714" t="s">
        <v>74</v>
      </c>
      <c r="AF714" t="s">
        <v>74</v>
      </c>
      <c r="AG714" t="s">
        <v>74</v>
      </c>
      <c r="AH714" t="s">
        <v>74</v>
      </c>
      <c r="AI714" t="s">
        <v>74</v>
      </c>
      <c r="AJ714" t="s">
        <v>74</v>
      </c>
      <c r="AK714" t="s">
        <v>74</v>
      </c>
      <c r="AL714" t="s">
        <v>74</v>
      </c>
      <c r="AM714" t="s">
        <v>74</v>
      </c>
      <c r="AN714" t="s">
        <v>74</v>
      </c>
      <c r="AO714" t="s">
        <v>1945</v>
      </c>
      <c r="AP714" t="s">
        <v>74</v>
      </c>
      <c r="AQ714" t="s">
        <v>74</v>
      </c>
      <c r="AR714" t="s">
        <v>74</v>
      </c>
      <c r="AS714" t="s">
        <v>74</v>
      </c>
      <c r="AT714" t="s">
        <v>1026</v>
      </c>
      <c r="AU714">
        <v>2019</v>
      </c>
      <c r="AV714">
        <v>2</v>
      </c>
      <c r="AW714">
        <v>2</v>
      </c>
      <c r="AX714" t="s">
        <v>74</v>
      </c>
      <c r="AY714" t="s">
        <v>74</v>
      </c>
      <c r="AZ714" t="s">
        <v>74</v>
      </c>
      <c r="BA714" t="s">
        <v>74</v>
      </c>
      <c r="BB714">
        <v>867</v>
      </c>
      <c r="BC714">
        <v>878</v>
      </c>
      <c r="BD714" t="s">
        <v>74</v>
      </c>
      <c r="BE714" t="s">
        <v>6248</v>
      </c>
      <c r="BF714" t="str">
        <f>HYPERLINK("http://dx.doi.org/10.1021/acsanm.8b02126","http://dx.doi.org/10.1021/acsanm.8b02126")</f>
        <v>http://dx.doi.org/10.1021/acsanm.8b02126</v>
      </c>
      <c r="BG714" t="s">
        <v>74</v>
      </c>
      <c r="BH714" t="s">
        <v>74</v>
      </c>
      <c r="BI714" t="s">
        <v>74</v>
      </c>
      <c r="BJ714" t="s">
        <v>74</v>
      </c>
      <c r="BK714" t="s">
        <v>74</v>
      </c>
      <c r="BL714" t="s">
        <v>74</v>
      </c>
      <c r="BM714" t="s">
        <v>74</v>
      </c>
      <c r="BN714" t="s">
        <v>74</v>
      </c>
      <c r="BO714" t="s">
        <v>74</v>
      </c>
      <c r="BP714" t="s">
        <v>74</v>
      </c>
      <c r="BQ714" t="s">
        <v>74</v>
      </c>
      <c r="BR714" t="s">
        <v>74</v>
      </c>
      <c r="BS714" t="s">
        <v>6249</v>
      </c>
      <c r="BT714" t="str">
        <f>HYPERLINK("https%3A%2F%2Fwww.webofscience.com%2Fwos%2Fwoscc%2Ffull-record%2FWOS:000469409900028","View Full Record in Web of Science")</f>
        <v>View Full Record in Web of Science</v>
      </c>
    </row>
    <row r="715" spans="1:72" x14ac:dyDescent="0.2">
      <c r="A715" t="s">
        <v>72</v>
      </c>
      <c r="B715" t="s">
        <v>6250</v>
      </c>
      <c r="C715" t="s">
        <v>74</v>
      </c>
      <c r="D715" t="s">
        <v>74</v>
      </c>
      <c r="E715" t="s">
        <v>74</v>
      </c>
      <c r="F715" t="s">
        <v>6251</v>
      </c>
      <c r="G715" t="s">
        <v>74</v>
      </c>
      <c r="H715" t="s">
        <v>74</v>
      </c>
      <c r="I715" t="s">
        <v>6252</v>
      </c>
      <c r="J715" t="s">
        <v>278</v>
      </c>
      <c r="K715" t="s">
        <v>74</v>
      </c>
      <c r="L715" t="s">
        <v>74</v>
      </c>
      <c r="M715" t="s">
        <v>74</v>
      </c>
      <c r="N715" t="s">
        <v>74</v>
      </c>
      <c r="O715" t="s">
        <v>74</v>
      </c>
      <c r="P715" t="s">
        <v>74</v>
      </c>
      <c r="Q715" t="s">
        <v>74</v>
      </c>
      <c r="R715" t="s">
        <v>74</v>
      </c>
      <c r="S715" t="s">
        <v>74</v>
      </c>
      <c r="T715" t="s">
        <v>74</v>
      </c>
      <c r="U715" t="s">
        <v>74</v>
      </c>
      <c r="V715" t="s">
        <v>6253</v>
      </c>
      <c r="W715" t="s">
        <v>74</v>
      </c>
      <c r="X715" t="s">
        <v>74</v>
      </c>
      <c r="Y715" t="s">
        <v>74</v>
      </c>
      <c r="Z715" t="s">
        <v>74</v>
      </c>
      <c r="AA715" t="s">
        <v>6254</v>
      </c>
      <c r="AB715" t="s">
        <v>6255</v>
      </c>
      <c r="AC715" t="s">
        <v>74</v>
      </c>
      <c r="AD715" t="s">
        <v>74</v>
      </c>
      <c r="AE715" t="s">
        <v>74</v>
      </c>
      <c r="AF715" t="s">
        <v>74</v>
      </c>
      <c r="AG715" t="s">
        <v>74</v>
      </c>
      <c r="AH715" t="s">
        <v>74</v>
      </c>
      <c r="AI715" t="s">
        <v>74</v>
      </c>
      <c r="AJ715" t="s">
        <v>74</v>
      </c>
      <c r="AK715" t="s">
        <v>74</v>
      </c>
      <c r="AL715" t="s">
        <v>74</v>
      </c>
      <c r="AM715" t="s">
        <v>74</v>
      </c>
      <c r="AN715" t="s">
        <v>74</v>
      </c>
      <c r="AO715" t="s">
        <v>281</v>
      </c>
      <c r="AP715" t="s">
        <v>282</v>
      </c>
      <c r="AQ715" t="s">
        <v>74</v>
      </c>
      <c r="AR715" t="s">
        <v>74</v>
      </c>
      <c r="AS715" t="s">
        <v>74</v>
      </c>
      <c r="AT715" t="s">
        <v>4366</v>
      </c>
      <c r="AU715">
        <v>2019</v>
      </c>
      <c r="AV715">
        <v>7</v>
      </c>
      <c r="AW715">
        <v>2</v>
      </c>
      <c r="AX715" t="s">
        <v>74</v>
      </c>
      <c r="AY715" t="s">
        <v>74</v>
      </c>
      <c r="AZ715" t="s">
        <v>74</v>
      </c>
      <c r="BA715" t="s">
        <v>74</v>
      </c>
      <c r="BB715">
        <v>594</v>
      </c>
      <c r="BC715">
        <v>602</v>
      </c>
      <c r="BD715" t="s">
        <v>74</v>
      </c>
      <c r="BE715" t="s">
        <v>6256</v>
      </c>
      <c r="BF715" t="str">
        <f>HYPERLINK("http://dx.doi.org/10.1039/c8ta09380f","http://dx.doi.org/10.1039/c8ta09380f")</f>
        <v>http://dx.doi.org/10.1039/c8ta09380f</v>
      </c>
      <c r="BG715" t="s">
        <v>74</v>
      </c>
      <c r="BH715" t="s">
        <v>74</v>
      </c>
      <c r="BI715" t="s">
        <v>74</v>
      </c>
      <c r="BJ715" t="s">
        <v>74</v>
      </c>
      <c r="BK715" t="s">
        <v>74</v>
      </c>
      <c r="BL715" t="s">
        <v>74</v>
      </c>
      <c r="BM715" t="s">
        <v>74</v>
      </c>
      <c r="BN715" t="s">
        <v>74</v>
      </c>
      <c r="BO715" t="s">
        <v>74</v>
      </c>
      <c r="BP715" t="s">
        <v>74</v>
      </c>
      <c r="BQ715" t="s">
        <v>74</v>
      </c>
      <c r="BR715" t="s">
        <v>74</v>
      </c>
      <c r="BS715" t="s">
        <v>6257</v>
      </c>
      <c r="BT715" t="str">
        <f>HYPERLINK("https%3A%2F%2Fwww.webofscience.com%2Fwos%2Fwoscc%2Ffull-record%2FWOS:000455124900014","View Full Record in Web of Science")</f>
        <v>View Full Record in Web of Science</v>
      </c>
    </row>
    <row r="716" spans="1:72" x14ac:dyDescent="0.2">
      <c r="A716" t="s">
        <v>72</v>
      </c>
      <c r="B716" t="s">
        <v>6258</v>
      </c>
      <c r="C716" t="s">
        <v>74</v>
      </c>
      <c r="D716" t="s">
        <v>74</v>
      </c>
      <c r="E716" t="s">
        <v>74</v>
      </c>
      <c r="F716" t="s">
        <v>6259</v>
      </c>
      <c r="G716" t="s">
        <v>74</v>
      </c>
      <c r="H716" t="s">
        <v>74</v>
      </c>
      <c r="I716" t="s">
        <v>6260</v>
      </c>
      <c r="J716" t="s">
        <v>2241</v>
      </c>
      <c r="K716" t="s">
        <v>74</v>
      </c>
      <c r="L716" t="s">
        <v>74</v>
      </c>
      <c r="M716" t="s">
        <v>74</v>
      </c>
      <c r="N716" t="s">
        <v>74</v>
      </c>
      <c r="O716" t="s">
        <v>74</v>
      </c>
      <c r="P716" t="s">
        <v>74</v>
      </c>
      <c r="Q716" t="s">
        <v>74</v>
      </c>
      <c r="R716" t="s">
        <v>74</v>
      </c>
      <c r="S716" t="s">
        <v>74</v>
      </c>
      <c r="T716" t="s">
        <v>74</v>
      </c>
      <c r="U716" t="s">
        <v>74</v>
      </c>
      <c r="V716" t="s">
        <v>6261</v>
      </c>
      <c r="W716" t="s">
        <v>74</v>
      </c>
      <c r="X716" t="s">
        <v>74</v>
      </c>
      <c r="Y716" t="s">
        <v>74</v>
      </c>
      <c r="Z716" t="s">
        <v>74</v>
      </c>
      <c r="AA716" t="s">
        <v>6262</v>
      </c>
      <c r="AB716" t="s">
        <v>6263</v>
      </c>
      <c r="AC716" t="s">
        <v>74</v>
      </c>
      <c r="AD716" t="s">
        <v>74</v>
      </c>
      <c r="AE716" t="s">
        <v>74</v>
      </c>
      <c r="AF716" t="s">
        <v>74</v>
      </c>
      <c r="AG716" t="s">
        <v>74</v>
      </c>
      <c r="AH716" t="s">
        <v>74</v>
      </c>
      <c r="AI716" t="s">
        <v>74</v>
      </c>
      <c r="AJ716" t="s">
        <v>74</v>
      </c>
      <c r="AK716" t="s">
        <v>74</v>
      </c>
      <c r="AL716" t="s">
        <v>74</v>
      </c>
      <c r="AM716" t="s">
        <v>74</v>
      </c>
      <c r="AN716" t="s">
        <v>74</v>
      </c>
      <c r="AO716" t="s">
        <v>2245</v>
      </c>
      <c r="AP716" t="s">
        <v>74</v>
      </c>
      <c r="AQ716" t="s">
        <v>74</v>
      </c>
      <c r="AR716" t="s">
        <v>74</v>
      </c>
      <c r="AS716" t="s">
        <v>74</v>
      </c>
      <c r="AT716" t="s">
        <v>5674</v>
      </c>
      <c r="AU716">
        <v>2019</v>
      </c>
      <c r="AV716">
        <v>6</v>
      </c>
      <c r="AW716">
        <v>1</v>
      </c>
      <c r="AX716" t="s">
        <v>74</v>
      </c>
      <c r="AY716" t="s">
        <v>74</v>
      </c>
      <c r="AZ716" t="s">
        <v>74</v>
      </c>
      <c r="BA716" t="s">
        <v>74</v>
      </c>
      <c r="BB716" t="s">
        <v>74</v>
      </c>
      <c r="BC716" t="s">
        <v>74</v>
      </c>
      <c r="BD716">
        <v>1801330</v>
      </c>
      <c r="BE716" t="s">
        <v>6264</v>
      </c>
      <c r="BF716" t="str">
        <f>HYPERLINK("http://dx.doi.org/10.1002/admi.201801330","http://dx.doi.org/10.1002/admi.201801330")</f>
        <v>http://dx.doi.org/10.1002/admi.201801330</v>
      </c>
      <c r="BG716" t="s">
        <v>74</v>
      </c>
      <c r="BH716" t="s">
        <v>74</v>
      </c>
      <c r="BI716" t="s">
        <v>74</v>
      </c>
      <c r="BJ716" t="s">
        <v>74</v>
      </c>
      <c r="BK716" t="s">
        <v>74</v>
      </c>
      <c r="BL716" t="s">
        <v>74</v>
      </c>
      <c r="BM716" t="s">
        <v>74</v>
      </c>
      <c r="BN716" t="s">
        <v>74</v>
      </c>
      <c r="BO716" t="s">
        <v>74</v>
      </c>
      <c r="BP716" t="s">
        <v>74</v>
      </c>
      <c r="BQ716" t="s">
        <v>74</v>
      </c>
      <c r="BR716" t="s">
        <v>74</v>
      </c>
      <c r="BS716" t="s">
        <v>6265</v>
      </c>
      <c r="BT716" t="str">
        <f>HYPERLINK("https%3A%2F%2Fwww.webofscience.com%2Fwos%2Fwoscc%2Ffull-record%2FWOS:000459631900014","View Full Record in Web of Science")</f>
        <v>View Full Record in Web of Science</v>
      </c>
    </row>
    <row r="717" spans="1:72" x14ac:dyDescent="0.2">
      <c r="A717" t="s">
        <v>72</v>
      </c>
      <c r="B717" t="s">
        <v>6266</v>
      </c>
      <c r="C717" t="s">
        <v>74</v>
      </c>
      <c r="D717" t="s">
        <v>74</v>
      </c>
      <c r="E717" t="s">
        <v>74</v>
      </c>
      <c r="F717" t="s">
        <v>6267</v>
      </c>
      <c r="G717" t="s">
        <v>74</v>
      </c>
      <c r="H717" t="s">
        <v>74</v>
      </c>
      <c r="I717" t="s">
        <v>6268</v>
      </c>
      <c r="J717" t="s">
        <v>289</v>
      </c>
      <c r="K717" t="s">
        <v>74</v>
      </c>
      <c r="L717" t="s">
        <v>74</v>
      </c>
      <c r="M717" t="s">
        <v>74</v>
      </c>
      <c r="N717" t="s">
        <v>74</v>
      </c>
      <c r="O717" t="s">
        <v>74</v>
      </c>
      <c r="P717" t="s">
        <v>74</v>
      </c>
      <c r="Q717" t="s">
        <v>74</v>
      </c>
      <c r="R717" t="s">
        <v>74</v>
      </c>
      <c r="S717" t="s">
        <v>74</v>
      </c>
      <c r="T717" t="s">
        <v>74</v>
      </c>
      <c r="U717" t="s">
        <v>74</v>
      </c>
      <c r="V717" t="s">
        <v>6269</v>
      </c>
      <c r="W717" t="s">
        <v>74</v>
      </c>
      <c r="X717" t="s">
        <v>74</v>
      </c>
      <c r="Y717" t="s">
        <v>74</v>
      </c>
      <c r="Z717" t="s">
        <v>74</v>
      </c>
      <c r="AA717" t="s">
        <v>6270</v>
      </c>
      <c r="AB717" t="s">
        <v>6271</v>
      </c>
      <c r="AC717" t="s">
        <v>74</v>
      </c>
      <c r="AD717" t="s">
        <v>74</v>
      </c>
      <c r="AE717" t="s">
        <v>74</v>
      </c>
      <c r="AF717" t="s">
        <v>74</v>
      </c>
      <c r="AG717" t="s">
        <v>74</v>
      </c>
      <c r="AH717" t="s">
        <v>74</v>
      </c>
      <c r="AI717" t="s">
        <v>74</v>
      </c>
      <c r="AJ717" t="s">
        <v>74</v>
      </c>
      <c r="AK717" t="s">
        <v>74</v>
      </c>
      <c r="AL717" t="s">
        <v>74</v>
      </c>
      <c r="AM717" t="s">
        <v>74</v>
      </c>
      <c r="AN717" t="s">
        <v>74</v>
      </c>
      <c r="AO717" t="s">
        <v>292</v>
      </c>
      <c r="AP717" t="s">
        <v>293</v>
      </c>
      <c r="AQ717" t="s">
        <v>74</v>
      </c>
      <c r="AR717" t="s">
        <v>74</v>
      </c>
      <c r="AS717" t="s">
        <v>74</v>
      </c>
      <c r="AT717" t="s">
        <v>4399</v>
      </c>
      <c r="AU717">
        <v>2019</v>
      </c>
      <c r="AV717">
        <v>31</v>
      </c>
      <c r="AW717">
        <v>1</v>
      </c>
      <c r="AX717" t="s">
        <v>74</v>
      </c>
      <c r="AY717" t="s">
        <v>74</v>
      </c>
      <c r="AZ717" t="s">
        <v>74</v>
      </c>
      <c r="BA717" t="s">
        <v>74</v>
      </c>
      <c r="BB717" t="s">
        <v>74</v>
      </c>
      <c r="BC717" t="s">
        <v>74</v>
      </c>
      <c r="BD717">
        <v>1803533</v>
      </c>
      <c r="BE717" t="s">
        <v>6272</v>
      </c>
      <c r="BF717" t="str">
        <f>HYPERLINK("http://dx.doi.org/10.1002/adma.201803533","http://dx.doi.org/10.1002/adma.201803533")</f>
        <v>http://dx.doi.org/10.1002/adma.201803533</v>
      </c>
      <c r="BG717" t="s">
        <v>74</v>
      </c>
      <c r="BH717" t="s">
        <v>74</v>
      </c>
      <c r="BI717" t="s">
        <v>74</v>
      </c>
      <c r="BJ717" t="s">
        <v>74</v>
      </c>
      <c r="BK717" t="s">
        <v>74</v>
      </c>
      <c r="BL717" t="s">
        <v>74</v>
      </c>
      <c r="BM717" t="s">
        <v>74</v>
      </c>
      <c r="BN717">
        <v>30368930</v>
      </c>
      <c r="BO717" t="s">
        <v>74</v>
      </c>
      <c r="BP717" t="s">
        <v>74</v>
      </c>
      <c r="BQ717" t="s">
        <v>74</v>
      </c>
      <c r="BR717" t="s">
        <v>74</v>
      </c>
      <c r="BS717" t="s">
        <v>6273</v>
      </c>
      <c r="BT717" t="str">
        <f>HYPERLINK("https%3A%2F%2Fwww.webofscience.com%2Fwos%2Fwoscc%2Ffull-record%2FWOS:000454786200012","View Full Record in Web of Science")</f>
        <v>View Full Record in Web of Science</v>
      </c>
    </row>
    <row r="718" spans="1:72" x14ac:dyDescent="0.2">
      <c r="A718" t="s">
        <v>72</v>
      </c>
      <c r="B718" t="s">
        <v>6274</v>
      </c>
      <c r="C718" t="s">
        <v>74</v>
      </c>
      <c r="D718" t="s">
        <v>74</v>
      </c>
      <c r="E718" t="s">
        <v>74</v>
      </c>
      <c r="F718" t="s">
        <v>6275</v>
      </c>
      <c r="G718" t="s">
        <v>74</v>
      </c>
      <c r="H718" t="s">
        <v>74</v>
      </c>
      <c r="I718" t="s">
        <v>6276</v>
      </c>
      <c r="J718" t="s">
        <v>6277</v>
      </c>
      <c r="K718" t="s">
        <v>74</v>
      </c>
      <c r="L718" t="s">
        <v>74</v>
      </c>
      <c r="M718" t="s">
        <v>74</v>
      </c>
      <c r="N718" t="s">
        <v>74</v>
      </c>
      <c r="O718" t="s">
        <v>74</v>
      </c>
      <c r="P718" t="s">
        <v>74</v>
      </c>
      <c r="Q718" t="s">
        <v>74</v>
      </c>
      <c r="R718" t="s">
        <v>74</v>
      </c>
      <c r="S718" t="s">
        <v>74</v>
      </c>
      <c r="T718" t="s">
        <v>74</v>
      </c>
      <c r="U718" t="s">
        <v>74</v>
      </c>
      <c r="V718" t="s">
        <v>6278</v>
      </c>
      <c r="W718" t="s">
        <v>74</v>
      </c>
      <c r="X718" t="s">
        <v>74</v>
      </c>
      <c r="Y718" t="s">
        <v>74</v>
      </c>
      <c r="Z718" t="s">
        <v>74</v>
      </c>
      <c r="AA718" t="s">
        <v>74</v>
      </c>
      <c r="AB718" t="s">
        <v>6279</v>
      </c>
      <c r="AC718" t="s">
        <v>74</v>
      </c>
      <c r="AD718" t="s">
        <v>74</v>
      </c>
      <c r="AE718" t="s">
        <v>74</v>
      </c>
      <c r="AF718" t="s">
        <v>74</v>
      </c>
      <c r="AG718" t="s">
        <v>74</v>
      </c>
      <c r="AH718" t="s">
        <v>74</v>
      </c>
      <c r="AI718" t="s">
        <v>74</v>
      </c>
      <c r="AJ718" t="s">
        <v>74</v>
      </c>
      <c r="AK718" t="s">
        <v>74</v>
      </c>
      <c r="AL718" t="s">
        <v>74</v>
      </c>
      <c r="AM718" t="s">
        <v>74</v>
      </c>
      <c r="AN718" t="s">
        <v>74</v>
      </c>
      <c r="AO718" t="s">
        <v>6280</v>
      </c>
      <c r="AP718" t="s">
        <v>6281</v>
      </c>
      <c r="AQ718" t="s">
        <v>74</v>
      </c>
      <c r="AR718" t="s">
        <v>74</v>
      </c>
      <c r="AS718" t="s">
        <v>74</v>
      </c>
      <c r="AT718" t="s">
        <v>74</v>
      </c>
      <c r="AU718">
        <v>2019</v>
      </c>
      <c r="AV718">
        <v>87</v>
      </c>
      <c r="AW718">
        <v>6</v>
      </c>
      <c r="AX718" t="s">
        <v>74</v>
      </c>
      <c r="AY718" t="s">
        <v>74</v>
      </c>
      <c r="AZ718" t="s">
        <v>74</v>
      </c>
      <c r="BA718" t="s">
        <v>74</v>
      </c>
      <c r="BB718">
        <v>357</v>
      </c>
      <c r="BC718">
        <v>364</v>
      </c>
      <c r="BD718" t="s">
        <v>74</v>
      </c>
      <c r="BE718" t="s">
        <v>6282</v>
      </c>
      <c r="BF718" t="str">
        <f>HYPERLINK("http://dx.doi.org/10.5796/electrochemistry.19-00022","http://dx.doi.org/10.5796/electrochemistry.19-00022")</f>
        <v>http://dx.doi.org/10.5796/electrochemistry.19-00022</v>
      </c>
      <c r="BG718" t="s">
        <v>74</v>
      </c>
      <c r="BH718" t="s">
        <v>74</v>
      </c>
      <c r="BI718" t="s">
        <v>74</v>
      </c>
      <c r="BJ718" t="s">
        <v>74</v>
      </c>
      <c r="BK718" t="s">
        <v>74</v>
      </c>
      <c r="BL718" t="s">
        <v>74</v>
      </c>
      <c r="BM718" t="s">
        <v>74</v>
      </c>
      <c r="BN718" t="s">
        <v>74</v>
      </c>
      <c r="BO718" t="s">
        <v>74</v>
      </c>
      <c r="BP718" t="s">
        <v>74</v>
      </c>
      <c r="BQ718" t="s">
        <v>74</v>
      </c>
      <c r="BR718" t="s">
        <v>74</v>
      </c>
      <c r="BS718" t="s">
        <v>6283</v>
      </c>
      <c r="BT718" t="str">
        <f>HYPERLINK("https%3A%2F%2Fwww.webofscience.com%2Fwos%2Fwoscc%2Ffull-record%2FWOS:000494830500009","View Full Record in Web of Science")</f>
        <v>View Full Record in Web of Science</v>
      </c>
    </row>
    <row r="719" spans="1:72" x14ac:dyDescent="0.2">
      <c r="A719" t="s">
        <v>72</v>
      </c>
      <c r="B719" t="s">
        <v>6284</v>
      </c>
      <c r="C719" t="s">
        <v>74</v>
      </c>
      <c r="D719" t="s">
        <v>74</v>
      </c>
      <c r="E719" t="s">
        <v>74</v>
      </c>
      <c r="F719" t="s">
        <v>6285</v>
      </c>
      <c r="G719" t="s">
        <v>74</v>
      </c>
      <c r="H719" t="s">
        <v>74</v>
      </c>
      <c r="I719" t="s">
        <v>6286</v>
      </c>
      <c r="J719" t="s">
        <v>6287</v>
      </c>
      <c r="K719" t="s">
        <v>74</v>
      </c>
      <c r="L719" t="s">
        <v>74</v>
      </c>
      <c r="M719" t="s">
        <v>74</v>
      </c>
      <c r="N719" t="s">
        <v>74</v>
      </c>
      <c r="O719" t="s">
        <v>74</v>
      </c>
      <c r="P719" t="s">
        <v>74</v>
      </c>
      <c r="Q719" t="s">
        <v>74</v>
      </c>
      <c r="R719" t="s">
        <v>74</v>
      </c>
      <c r="S719" t="s">
        <v>74</v>
      </c>
      <c r="T719" t="s">
        <v>74</v>
      </c>
      <c r="U719" t="s">
        <v>74</v>
      </c>
      <c r="V719" t="s">
        <v>6288</v>
      </c>
      <c r="W719" t="s">
        <v>74</v>
      </c>
      <c r="X719" t="s">
        <v>74</v>
      </c>
      <c r="Y719" t="s">
        <v>74</v>
      </c>
      <c r="Z719" t="s">
        <v>74</v>
      </c>
      <c r="AA719" t="s">
        <v>6289</v>
      </c>
      <c r="AB719" t="s">
        <v>74</v>
      </c>
      <c r="AC719" t="s">
        <v>74</v>
      </c>
      <c r="AD719" t="s">
        <v>74</v>
      </c>
      <c r="AE719" t="s">
        <v>74</v>
      </c>
      <c r="AF719" t="s">
        <v>74</v>
      </c>
      <c r="AG719" t="s">
        <v>74</v>
      </c>
      <c r="AH719" t="s">
        <v>74</v>
      </c>
      <c r="AI719" t="s">
        <v>74</v>
      </c>
      <c r="AJ719" t="s">
        <v>74</v>
      </c>
      <c r="AK719" t="s">
        <v>74</v>
      </c>
      <c r="AL719" t="s">
        <v>74</v>
      </c>
      <c r="AM719" t="s">
        <v>74</v>
      </c>
      <c r="AN719" t="s">
        <v>74</v>
      </c>
      <c r="AO719" t="s">
        <v>6290</v>
      </c>
      <c r="AP719" t="s">
        <v>6291</v>
      </c>
      <c r="AQ719" t="s">
        <v>74</v>
      </c>
      <c r="AR719" t="s">
        <v>74</v>
      </c>
      <c r="AS719" t="s">
        <v>74</v>
      </c>
      <c r="AT719" t="s">
        <v>1194</v>
      </c>
      <c r="AU719">
        <v>2019</v>
      </c>
      <c r="AV719">
        <v>21</v>
      </c>
      <c r="AW719">
        <v>1</v>
      </c>
      <c r="AX719" t="s">
        <v>74</v>
      </c>
      <c r="AY719" t="s">
        <v>74</v>
      </c>
      <c r="AZ719" t="s">
        <v>74</v>
      </c>
      <c r="BA719" t="s">
        <v>74</v>
      </c>
      <c r="BB719" t="s">
        <v>74</v>
      </c>
      <c r="BC719" t="s">
        <v>74</v>
      </c>
      <c r="BD719">
        <v>7</v>
      </c>
      <c r="BE719" t="s">
        <v>6292</v>
      </c>
      <c r="BF719" t="str">
        <f>HYPERLINK("http://dx.doi.org/10.1007/s11051-018-4451-8","http://dx.doi.org/10.1007/s11051-018-4451-8")</f>
        <v>http://dx.doi.org/10.1007/s11051-018-4451-8</v>
      </c>
      <c r="BG719" t="s">
        <v>74</v>
      </c>
      <c r="BH719" t="s">
        <v>74</v>
      </c>
      <c r="BI719" t="s">
        <v>74</v>
      </c>
      <c r="BJ719" t="s">
        <v>74</v>
      </c>
      <c r="BK719" t="s">
        <v>74</v>
      </c>
      <c r="BL719" t="s">
        <v>74</v>
      </c>
      <c r="BM719" t="s">
        <v>74</v>
      </c>
      <c r="BN719" t="s">
        <v>74</v>
      </c>
      <c r="BO719" t="s">
        <v>74</v>
      </c>
      <c r="BP719" t="s">
        <v>74</v>
      </c>
      <c r="BQ719" t="s">
        <v>74</v>
      </c>
      <c r="BR719" t="s">
        <v>74</v>
      </c>
      <c r="BS719" t="s">
        <v>6293</v>
      </c>
      <c r="BT719" t="str">
        <f>HYPERLINK("https%3A%2F%2Fwww.webofscience.com%2Fwos%2Fwoscc%2Ffull-record%2FWOS:000454501200001","View Full Record in Web of Science")</f>
        <v>View Full Record in Web of Science</v>
      </c>
    </row>
    <row r="720" spans="1:72" x14ac:dyDescent="0.2">
      <c r="A720" t="s">
        <v>72</v>
      </c>
      <c r="B720" t="s">
        <v>6294</v>
      </c>
      <c r="C720" t="s">
        <v>74</v>
      </c>
      <c r="D720" t="s">
        <v>74</v>
      </c>
      <c r="E720" t="s">
        <v>74</v>
      </c>
      <c r="F720" t="s">
        <v>6295</v>
      </c>
      <c r="G720" t="s">
        <v>74</v>
      </c>
      <c r="H720" t="s">
        <v>74</v>
      </c>
      <c r="I720" t="s">
        <v>6296</v>
      </c>
      <c r="J720" t="s">
        <v>171</v>
      </c>
      <c r="K720" t="s">
        <v>74</v>
      </c>
      <c r="L720" t="s">
        <v>74</v>
      </c>
      <c r="M720" t="s">
        <v>74</v>
      </c>
      <c r="N720" t="s">
        <v>74</v>
      </c>
      <c r="O720" t="s">
        <v>74</v>
      </c>
      <c r="P720" t="s">
        <v>74</v>
      </c>
      <c r="Q720" t="s">
        <v>74</v>
      </c>
      <c r="R720" t="s">
        <v>74</v>
      </c>
      <c r="S720" t="s">
        <v>74</v>
      </c>
      <c r="T720" t="s">
        <v>74</v>
      </c>
      <c r="U720" t="s">
        <v>74</v>
      </c>
      <c r="V720" t="s">
        <v>6297</v>
      </c>
      <c r="W720" t="s">
        <v>74</v>
      </c>
      <c r="X720" t="s">
        <v>74</v>
      </c>
      <c r="Y720" t="s">
        <v>74</v>
      </c>
      <c r="Z720" t="s">
        <v>74</v>
      </c>
      <c r="AA720" t="s">
        <v>6298</v>
      </c>
      <c r="AB720" t="s">
        <v>6299</v>
      </c>
      <c r="AC720" t="s">
        <v>74</v>
      </c>
      <c r="AD720" t="s">
        <v>74</v>
      </c>
      <c r="AE720" t="s">
        <v>74</v>
      </c>
      <c r="AF720" t="s">
        <v>74</v>
      </c>
      <c r="AG720" t="s">
        <v>74</v>
      </c>
      <c r="AH720" t="s">
        <v>74</v>
      </c>
      <c r="AI720" t="s">
        <v>74</v>
      </c>
      <c r="AJ720" t="s">
        <v>74</v>
      </c>
      <c r="AK720" t="s">
        <v>74</v>
      </c>
      <c r="AL720" t="s">
        <v>74</v>
      </c>
      <c r="AM720" t="s">
        <v>74</v>
      </c>
      <c r="AN720" t="s">
        <v>74</v>
      </c>
      <c r="AO720" t="s">
        <v>173</v>
      </c>
      <c r="AP720" t="s">
        <v>174</v>
      </c>
      <c r="AQ720" t="s">
        <v>74</v>
      </c>
      <c r="AR720" t="s">
        <v>74</v>
      </c>
      <c r="AS720" t="s">
        <v>74</v>
      </c>
      <c r="AT720" t="s">
        <v>1165</v>
      </c>
      <c r="AU720">
        <v>2019</v>
      </c>
      <c r="AV720">
        <v>533</v>
      </c>
      <c r="AW720" t="s">
        <v>74</v>
      </c>
      <c r="AX720" t="s">
        <v>74</v>
      </c>
      <c r="AY720" t="s">
        <v>74</v>
      </c>
      <c r="AZ720" t="s">
        <v>74</v>
      </c>
      <c r="BA720" t="s">
        <v>74</v>
      </c>
      <c r="BB720">
        <v>709</v>
      </c>
      <c r="BC720">
        <v>722</v>
      </c>
      <c r="BD720" t="s">
        <v>74</v>
      </c>
      <c r="BE720" t="s">
        <v>6300</v>
      </c>
      <c r="BF720" t="str">
        <f>HYPERLINK("http://dx.doi.org/10.1016/j.jcis.2018.08.087","http://dx.doi.org/10.1016/j.jcis.2018.08.087")</f>
        <v>http://dx.doi.org/10.1016/j.jcis.2018.08.087</v>
      </c>
      <c r="BG720" t="s">
        <v>74</v>
      </c>
      <c r="BH720" t="s">
        <v>74</v>
      </c>
      <c r="BI720" t="s">
        <v>74</v>
      </c>
      <c r="BJ720" t="s">
        <v>74</v>
      </c>
      <c r="BK720" t="s">
        <v>74</v>
      </c>
      <c r="BL720" t="s">
        <v>74</v>
      </c>
      <c r="BM720" t="s">
        <v>74</v>
      </c>
      <c r="BN720">
        <v>30199827</v>
      </c>
      <c r="BO720" t="s">
        <v>74</v>
      </c>
      <c r="BP720" t="s">
        <v>74</v>
      </c>
      <c r="BQ720" t="s">
        <v>74</v>
      </c>
      <c r="BR720" t="s">
        <v>74</v>
      </c>
      <c r="BS720" t="s">
        <v>6301</v>
      </c>
      <c r="BT720" t="str">
        <f>HYPERLINK("https%3A%2F%2Fwww.webofscience.com%2Fwos%2Fwoscc%2Ffull-record%2FWOS:000447815200073","View Full Record in Web of Science")</f>
        <v>View Full Record in Web of Science</v>
      </c>
    </row>
    <row r="721" spans="1:72" x14ac:dyDescent="0.2">
      <c r="A721" t="s">
        <v>72</v>
      </c>
      <c r="B721" t="s">
        <v>6302</v>
      </c>
      <c r="C721" t="s">
        <v>74</v>
      </c>
      <c r="D721" t="s">
        <v>74</v>
      </c>
      <c r="E721" t="s">
        <v>74</v>
      </c>
      <c r="F721" t="s">
        <v>6303</v>
      </c>
      <c r="G721" t="s">
        <v>74</v>
      </c>
      <c r="H721" t="s">
        <v>74</v>
      </c>
      <c r="I721" t="s">
        <v>6304</v>
      </c>
      <c r="J721" t="s">
        <v>422</v>
      </c>
      <c r="K721" t="s">
        <v>74</v>
      </c>
      <c r="L721" t="s">
        <v>74</v>
      </c>
      <c r="M721" t="s">
        <v>74</v>
      </c>
      <c r="N721" t="s">
        <v>74</v>
      </c>
      <c r="O721" t="s">
        <v>74</v>
      </c>
      <c r="P721" t="s">
        <v>74</v>
      </c>
      <c r="Q721" t="s">
        <v>74</v>
      </c>
      <c r="R721" t="s">
        <v>74</v>
      </c>
      <c r="S721" t="s">
        <v>74</v>
      </c>
      <c r="T721" t="s">
        <v>74</v>
      </c>
      <c r="U721" t="s">
        <v>74</v>
      </c>
      <c r="V721" t="s">
        <v>6305</v>
      </c>
      <c r="W721" t="s">
        <v>74</v>
      </c>
      <c r="X721" t="s">
        <v>74</v>
      </c>
      <c r="Y721" t="s">
        <v>74</v>
      </c>
      <c r="Z721" t="s">
        <v>74</v>
      </c>
      <c r="AA721" t="s">
        <v>6306</v>
      </c>
      <c r="AB721" t="s">
        <v>6307</v>
      </c>
      <c r="AC721" t="s">
        <v>74</v>
      </c>
      <c r="AD721" t="s">
        <v>74</v>
      </c>
      <c r="AE721" t="s">
        <v>74</v>
      </c>
      <c r="AF721" t="s">
        <v>74</v>
      </c>
      <c r="AG721" t="s">
        <v>74</v>
      </c>
      <c r="AH721" t="s">
        <v>74</v>
      </c>
      <c r="AI721" t="s">
        <v>74</v>
      </c>
      <c r="AJ721" t="s">
        <v>74</v>
      </c>
      <c r="AK721" t="s">
        <v>74</v>
      </c>
      <c r="AL721" t="s">
        <v>74</v>
      </c>
      <c r="AM721" t="s">
        <v>74</v>
      </c>
      <c r="AN721" t="s">
        <v>74</v>
      </c>
      <c r="AO721" t="s">
        <v>426</v>
      </c>
      <c r="AP721" t="s">
        <v>74</v>
      </c>
      <c r="AQ721" t="s">
        <v>74</v>
      </c>
      <c r="AR721" t="s">
        <v>74</v>
      </c>
      <c r="AS721" t="s">
        <v>74</v>
      </c>
      <c r="AT721" t="s">
        <v>1194</v>
      </c>
      <c r="AU721">
        <v>2019</v>
      </c>
      <c r="AV721">
        <v>2</v>
      </c>
      <c r="AW721">
        <v>1</v>
      </c>
      <c r="AX721" t="s">
        <v>74</v>
      </c>
      <c r="AY721" t="s">
        <v>74</v>
      </c>
      <c r="AZ721" t="s">
        <v>74</v>
      </c>
      <c r="BA721" t="s">
        <v>74</v>
      </c>
      <c r="BB721">
        <v>201</v>
      </c>
      <c r="BC721">
        <v>206</v>
      </c>
      <c r="BD721" t="s">
        <v>74</v>
      </c>
      <c r="BE721" t="s">
        <v>6308</v>
      </c>
      <c r="BF721" t="str">
        <f>HYPERLINK("http://dx.doi.org/10.1021/acsaem.8b01764","http://dx.doi.org/10.1021/acsaem.8b01764")</f>
        <v>http://dx.doi.org/10.1021/acsaem.8b01764</v>
      </c>
      <c r="BG721" t="s">
        <v>74</v>
      </c>
      <c r="BH721" t="s">
        <v>74</v>
      </c>
      <c r="BI721" t="s">
        <v>74</v>
      </c>
      <c r="BJ721" t="s">
        <v>74</v>
      </c>
      <c r="BK721" t="s">
        <v>74</v>
      </c>
      <c r="BL721" t="s">
        <v>74</v>
      </c>
      <c r="BM721" t="s">
        <v>74</v>
      </c>
      <c r="BN721" t="s">
        <v>74</v>
      </c>
      <c r="BO721" t="s">
        <v>74</v>
      </c>
      <c r="BP721" t="s">
        <v>74</v>
      </c>
      <c r="BQ721" t="s">
        <v>74</v>
      </c>
      <c r="BR721" t="s">
        <v>74</v>
      </c>
      <c r="BS721" t="s">
        <v>6309</v>
      </c>
      <c r="BT721" t="str">
        <f>HYPERLINK("https%3A%2F%2Fwww.webofscience.com%2Fwos%2Fwoscc%2Ffull-record%2FWOS:000458706900027","View Full Record in Web of Science")</f>
        <v>View Full Record in Web of Science</v>
      </c>
    </row>
    <row r="722" spans="1:72" x14ac:dyDescent="0.2">
      <c r="A722" t="s">
        <v>72</v>
      </c>
      <c r="B722" t="s">
        <v>6310</v>
      </c>
      <c r="C722" t="s">
        <v>74</v>
      </c>
      <c r="D722" t="s">
        <v>74</v>
      </c>
      <c r="E722" t="s">
        <v>74</v>
      </c>
      <c r="F722" t="s">
        <v>6311</v>
      </c>
      <c r="G722" t="s">
        <v>74</v>
      </c>
      <c r="H722" t="s">
        <v>74</v>
      </c>
      <c r="I722" t="s">
        <v>6312</v>
      </c>
      <c r="J722" t="s">
        <v>498</v>
      </c>
      <c r="K722" t="s">
        <v>74</v>
      </c>
      <c r="L722" t="s">
        <v>74</v>
      </c>
      <c r="M722" t="s">
        <v>74</v>
      </c>
      <c r="N722" t="s">
        <v>74</v>
      </c>
      <c r="O722" t="s">
        <v>74</v>
      </c>
      <c r="P722" t="s">
        <v>74</v>
      </c>
      <c r="Q722" t="s">
        <v>74</v>
      </c>
      <c r="R722" t="s">
        <v>74</v>
      </c>
      <c r="S722" t="s">
        <v>74</v>
      </c>
      <c r="T722" t="s">
        <v>74</v>
      </c>
      <c r="U722" t="s">
        <v>74</v>
      </c>
      <c r="V722" t="s">
        <v>6313</v>
      </c>
      <c r="W722" t="s">
        <v>74</v>
      </c>
      <c r="X722" t="s">
        <v>74</v>
      </c>
      <c r="Y722" t="s">
        <v>74</v>
      </c>
      <c r="Z722" t="s">
        <v>74</v>
      </c>
      <c r="AA722" t="s">
        <v>6314</v>
      </c>
      <c r="AB722" t="s">
        <v>6315</v>
      </c>
      <c r="AC722" t="s">
        <v>74</v>
      </c>
      <c r="AD722" t="s">
        <v>74</v>
      </c>
      <c r="AE722" t="s">
        <v>74</v>
      </c>
      <c r="AF722" t="s">
        <v>74</v>
      </c>
      <c r="AG722" t="s">
        <v>74</v>
      </c>
      <c r="AH722" t="s">
        <v>74</v>
      </c>
      <c r="AI722" t="s">
        <v>74</v>
      </c>
      <c r="AJ722" t="s">
        <v>74</v>
      </c>
      <c r="AK722" t="s">
        <v>74</v>
      </c>
      <c r="AL722" t="s">
        <v>74</v>
      </c>
      <c r="AM722" t="s">
        <v>74</v>
      </c>
      <c r="AN722" t="s">
        <v>74</v>
      </c>
      <c r="AO722" t="s">
        <v>502</v>
      </c>
      <c r="AP722" t="s">
        <v>74</v>
      </c>
      <c r="AQ722" t="s">
        <v>74</v>
      </c>
      <c r="AR722" t="s">
        <v>74</v>
      </c>
      <c r="AS722" t="s">
        <v>74</v>
      </c>
      <c r="AT722" t="s">
        <v>3415</v>
      </c>
      <c r="AU722">
        <v>2018</v>
      </c>
      <c r="AV722">
        <v>122</v>
      </c>
      <c r="AW722">
        <v>49</v>
      </c>
      <c r="AX722" t="s">
        <v>74</v>
      </c>
      <c r="AY722" t="s">
        <v>74</v>
      </c>
      <c r="AZ722" t="s">
        <v>74</v>
      </c>
      <c r="BA722" t="s">
        <v>74</v>
      </c>
      <c r="BB722">
        <v>27947</v>
      </c>
      <c r="BC722">
        <v>27954</v>
      </c>
      <c r="BD722" t="s">
        <v>74</v>
      </c>
      <c r="BE722" t="s">
        <v>6316</v>
      </c>
      <c r="BF722" t="str">
        <f>HYPERLINK("http://dx.doi.org/10.1021/acs.jpcc.8b09850","http://dx.doi.org/10.1021/acs.jpcc.8b09850")</f>
        <v>http://dx.doi.org/10.1021/acs.jpcc.8b09850</v>
      </c>
      <c r="BG722" t="s">
        <v>74</v>
      </c>
      <c r="BH722" t="s">
        <v>74</v>
      </c>
      <c r="BI722" t="s">
        <v>74</v>
      </c>
      <c r="BJ722" t="s">
        <v>74</v>
      </c>
      <c r="BK722" t="s">
        <v>74</v>
      </c>
      <c r="BL722" t="s">
        <v>74</v>
      </c>
      <c r="BM722" t="s">
        <v>74</v>
      </c>
      <c r="BN722" t="s">
        <v>74</v>
      </c>
      <c r="BO722" t="s">
        <v>74</v>
      </c>
      <c r="BP722" t="s">
        <v>74</v>
      </c>
      <c r="BQ722" t="s">
        <v>74</v>
      </c>
      <c r="BR722" t="s">
        <v>74</v>
      </c>
      <c r="BS722" t="s">
        <v>6317</v>
      </c>
      <c r="BT722" t="str">
        <f>HYPERLINK("https%3A%2F%2Fwww.webofscience.com%2Fwos%2Fwoscc%2Ffull-record%2FWOS:000453488300017","View Full Record in Web of Science")</f>
        <v>View Full Record in Web of Science</v>
      </c>
    </row>
    <row r="723" spans="1:72" x14ac:dyDescent="0.2">
      <c r="A723" t="s">
        <v>72</v>
      </c>
      <c r="B723" t="s">
        <v>6318</v>
      </c>
      <c r="C723" t="s">
        <v>74</v>
      </c>
      <c r="D723" t="s">
        <v>74</v>
      </c>
      <c r="E723" t="s">
        <v>74</v>
      </c>
      <c r="F723" t="s">
        <v>6319</v>
      </c>
      <c r="G723" t="s">
        <v>74</v>
      </c>
      <c r="H723" t="s">
        <v>74</v>
      </c>
      <c r="I723" t="s">
        <v>6320</v>
      </c>
      <c r="J723" t="s">
        <v>6321</v>
      </c>
      <c r="K723" t="s">
        <v>74</v>
      </c>
      <c r="L723" t="s">
        <v>74</v>
      </c>
      <c r="M723" t="s">
        <v>74</v>
      </c>
      <c r="N723" t="s">
        <v>74</v>
      </c>
      <c r="O723" t="s">
        <v>74</v>
      </c>
      <c r="P723" t="s">
        <v>74</v>
      </c>
      <c r="Q723" t="s">
        <v>74</v>
      </c>
      <c r="R723" t="s">
        <v>74</v>
      </c>
      <c r="S723" t="s">
        <v>74</v>
      </c>
      <c r="T723" t="s">
        <v>74</v>
      </c>
      <c r="U723" t="s">
        <v>74</v>
      </c>
      <c r="V723" t="s">
        <v>6322</v>
      </c>
      <c r="W723" t="s">
        <v>74</v>
      </c>
      <c r="X723" t="s">
        <v>74</v>
      </c>
      <c r="Y723" t="s">
        <v>74</v>
      </c>
      <c r="Z723" t="s">
        <v>74</v>
      </c>
      <c r="AA723" t="s">
        <v>6323</v>
      </c>
      <c r="AB723" t="s">
        <v>6324</v>
      </c>
      <c r="AC723" t="s">
        <v>74</v>
      </c>
      <c r="AD723" t="s">
        <v>74</v>
      </c>
      <c r="AE723" t="s">
        <v>74</v>
      </c>
      <c r="AF723" t="s">
        <v>74</v>
      </c>
      <c r="AG723" t="s">
        <v>74</v>
      </c>
      <c r="AH723" t="s">
        <v>74</v>
      </c>
      <c r="AI723" t="s">
        <v>74</v>
      </c>
      <c r="AJ723" t="s">
        <v>74</v>
      </c>
      <c r="AK723" t="s">
        <v>74</v>
      </c>
      <c r="AL723" t="s">
        <v>74</v>
      </c>
      <c r="AM723" t="s">
        <v>74</v>
      </c>
      <c r="AN723" t="s">
        <v>74</v>
      </c>
      <c r="AO723" t="s">
        <v>6325</v>
      </c>
      <c r="AP723" t="s">
        <v>74</v>
      </c>
      <c r="AQ723" t="s">
        <v>74</v>
      </c>
      <c r="AR723" t="s">
        <v>74</v>
      </c>
      <c r="AS723" t="s">
        <v>74</v>
      </c>
      <c r="AT723" t="s">
        <v>1318</v>
      </c>
      <c r="AU723">
        <v>2018</v>
      </c>
      <c r="AV723">
        <v>10</v>
      </c>
      <c r="AW723">
        <v>12</v>
      </c>
      <c r="AX723" t="s">
        <v>74</v>
      </c>
      <c r="AY723" t="s">
        <v>74</v>
      </c>
      <c r="AZ723" t="s">
        <v>74</v>
      </c>
      <c r="BA723" t="s">
        <v>74</v>
      </c>
      <c r="BB723" t="s">
        <v>74</v>
      </c>
      <c r="BC723" t="s">
        <v>74</v>
      </c>
      <c r="BD723">
        <v>1350</v>
      </c>
      <c r="BE723" t="s">
        <v>6326</v>
      </c>
      <c r="BF723" t="str">
        <f>HYPERLINK("http://dx.doi.org/10.3390/polym10121350","http://dx.doi.org/10.3390/polym10121350")</f>
        <v>http://dx.doi.org/10.3390/polym10121350</v>
      </c>
      <c r="BG723" t="s">
        <v>74</v>
      </c>
      <c r="BH723" t="s">
        <v>74</v>
      </c>
      <c r="BI723" t="s">
        <v>74</v>
      </c>
      <c r="BJ723" t="s">
        <v>74</v>
      </c>
      <c r="BK723" t="s">
        <v>74</v>
      </c>
      <c r="BL723" t="s">
        <v>74</v>
      </c>
      <c r="BM723" t="s">
        <v>74</v>
      </c>
      <c r="BN723">
        <v>30961275</v>
      </c>
      <c r="BO723" t="s">
        <v>74</v>
      </c>
      <c r="BP723" t="s">
        <v>74</v>
      </c>
      <c r="BQ723" t="s">
        <v>74</v>
      </c>
      <c r="BR723" t="s">
        <v>74</v>
      </c>
      <c r="BS723" t="s">
        <v>6327</v>
      </c>
      <c r="BT723" t="str">
        <f>HYPERLINK("https%3A%2F%2Fwww.webofscience.com%2Fwos%2Fwoscc%2Ffull-record%2FWOS:000454748700058","View Full Record in Web of Science")</f>
        <v>View Full Record in Web of Science</v>
      </c>
    </row>
    <row r="724" spans="1:72" x14ac:dyDescent="0.2">
      <c r="A724" t="s">
        <v>72</v>
      </c>
      <c r="B724" t="s">
        <v>6328</v>
      </c>
      <c r="C724" t="s">
        <v>74</v>
      </c>
      <c r="D724" t="s">
        <v>74</v>
      </c>
      <c r="E724" t="s">
        <v>74</v>
      </c>
      <c r="F724" t="s">
        <v>6329</v>
      </c>
      <c r="G724" t="s">
        <v>74</v>
      </c>
      <c r="H724" t="s">
        <v>74</v>
      </c>
      <c r="I724" t="s">
        <v>6330</v>
      </c>
      <c r="J724" t="s">
        <v>1040</v>
      </c>
      <c r="K724" t="s">
        <v>74</v>
      </c>
      <c r="L724" t="s">
        <v>74</v>
      </c>
      <c r="M724" t="s">
        <v>74</v>
      </c>
      <c r="N724" t="s">
        <v>74</v>
      </c>
      <c r="O724" t="s">
        <v>74</v>
      </c>
      <c r="P724" t="s">
        <v>74</v>
      </c>
      <c r="Q724" t="s">
        <v>74</v>
      </c>
      <c r="R724" t="s">
        <v>74</v>
      </c>
      <c r="S724" t="s">
        <v>74</v>
      </c>
      <c r="T724" t="s">
        <v>74</v>
      </c>
      <c r="U724" t="s">
        <v>74</v>
      </c>
      <c r="V724" t="s">
        <v>6331</v>
      </c>
      <c r="W724" t="s">
        <v>74</v>
      </c>
      <c r="X724" t="s">
        <v>74</v>
      </c>
      <c r="Y724" t="s">
        <v>74</v>
      </c>
      <c r="Z724" t="s">
        <v>74</v>
      </c>
      <c r="AA724" t="s">
        <v>74</v>
      </c>
      <c r="AB724" t="s">
        <v>74</v>
      </c>
      <c r="AC724" t="s">
        <v>74</v>
      </c>
      <c r="AD724" t="s">
        <v>74</v>
      </c>
      <c r="AE724" t="s">
        <v>74</v>
      </c>
      <c r="AF724" t="s">
        <v>74</v>
      </c>
      <c r="AG724" t="s">
        <v>74</v>
      </c>
      <c r="AH724" t="s">
        <v>74</v>
      </c>
      <c r="AI724" t="s">
        <v>74</v>
      </c>
      <c r="AJ724" t="s">
        <v>74</v>
      </c>
      <c r="AK724" t="s">
        <v>74</v>
      </c>
      <c r="AL724" t="s">
        <v>74</v>
      </c>
      <c r="AM724" t="s">
        <v>74</v>
      </c>
      <c r="AN724" t="s">
        <v>74</v>
      </c>
      <c r="AO724" t="s">
        <v>1043</v>
      </c>
      <c r="AP724" t="s">
        <v>1044</v>
      </c>
      <c r="AQ724" t="s">
        <v>74</v>
      </c>
      <c r="AR724" t="s">
        <v>74</v>
      </c>
      <c r="AS724" t="s">
        <v>74</v>
      </c>
      <c r="AT724" t="s">
        <v>6332</v>
      </c>
      <c r="AU724">
        <v>2018</v>
      </c>
      <c r="AV724">
        <v>20</v>
      </c>
      <c r="AW724">
        <v>44</v>
      </c>
      <c r="AX724" t="s">
        <v>74</v>
      </c>
      <c r="AY724" t="s">
        <v>74</v>
      </c>
      <c r="AZ724" t="s">
        <v>74</v>
      </c>
      <c r="BA724" t="s">
        <v>74</v>
      </c>
      <c r="BB724">
        <v>28176</v>
      </c>
      <c r="BC724">
        <v>28184</v>
      </c>
      <c r="BD724" t="s">
        <v>74</v>
      </c>
      <c r="BE724" t="s">
        <v>6333</v>
      </c>
      <c r="BF724" t="str">
        <f>HYPERLINK("http://dx.doi.org/10.1039/c8cp05561k","http://dx.doi.org/10.1039/c8cp05561k")</f>
        <v>http://dx.doi.org/10.1039/c8cp05561k</v>
      </c>
      <c r="BG724" t="s">
        <v>74</v>
      </c>
      <c r="BH724" t="s">
        <v>74</v>
      </c>
      <c r="BI724" t="s">
        <v>74</v>
      </c>
      <c r="BJ724" t="s">
        <v>74</v>
      </c>
      <c r="BK724" t="s">
        <v>74</v>
      </c>
      <c r="BL724" t="s">
        <v>74</v>
      </c>
      <c r="BM724" t="s">
        <v>74</v>
      </c>
      <c r="BN724">
        <v>30394475</v>
      </c>
      <c r="BO724" t="s">
        <v>74</v>
      </c>
      <c r="BP724" t="s">
        <v>74</v>
      </c>
      <c r="BQ724" t="s">
        <v>74</v>
      </c>
      <c r="BR724" t="s">
        <v>74</v>
      </c>
      <c r="BS724" t="s">
        <v>6334</v>
      </c>
      <c r="BT724" t="str">
        <f>HYPERLINK("https%3A%2F%2Fwww.webofscience.com%2Fwos%2Fwoscc%2Ffull-record%2FWOS:000450660400046","View Full Record in Web of Science")</f>
        <v>View Full Record in Web of Science</v>
      </c>
    </row>
    <row r="725" spans="1:72" x14ac:dyDescent="0.2">
      <c r="A725" t="s">
        <v>72</v>
      </c>
      <c r="B725" t="s">
        <v>6335</v>
      </c>
      <c r="C725" t="s">
        <v>74</v>
      </c>
      <c r="D725" t="s">
        <v>74</v>
      </c>
      <c r="E725" t="s">
        <v>74</v>
      </c>
      <c r="F725" t="s">
        <v>6336</v>
      </c>
      <c r="G725" t="s">
        <v>74</v>
      </c>
      <c r="H725" t="s">
        <v>74</v>
      </c>
      <c r="I725" t="s">
        <v>6337</v>
      </c>
      <c r="J725" t="s">
        <v>6338</v>
      </c>
      <c r="K725" t="s">
        <v>74</v>
      </c>
      <c r="L725" t="s">
        <v>74</v>
      </c>
      <c r="M725" t="s">
        <v>74</v>
      </c>
      <c r="N725" t="s">
        <v>74</v>
      </c>
      <c r="O725" t="s">
        <v>74</v>
      </c>
      <c r="P725" t="s">
        <v>74</v>
      </c>
      <c r="Q725" t="s">
        <v>74</v>
      </c>
      <c r="R725" t="s">
        <v>74</v>
      </c>
      <c r="S725" t="s">
        <v>74</v>
      </c>
      <c r="T725" t="s">
        <v>74</v>
      </c>
      <c r="U725" t="s">
        <v>74</v>
      </c>
      <c r="V725" t="s">
        <v>6339</v>
      </c>
      <c r="W725" t="s">
        <v>74</v>
      </c>
      <c r="X725" t="s">
        <v>74</v>
      </c>
      <c r="Y725" t="s">
        <v>74</v>
      </c>
      <c r="Z725" t="s">
        <v>74</v>
      </c>
      <c r="AA725" t="s">
        <v>6340</v>
      </c>
      <c r="AB725" t="s">
        <v>6341</v>
      </c>
      <c r="AC725" t="s">
        <v>74</v>
      </c>
      <c r="AD725" t="s">
        <v>74</v>
      </c>
      <c r="AE725" t="s">
        <v>74</v>
      </c>
      <c r="AF725" t="s">
        <v>74</v>
      </c>
      <c r="AG725" t="s">
        <v>74</v>
      </c>
      <c r="AH725" t="s">
        <v>74</v>
      </c>
      <c r="AI725" t="s">
        <v>74</v>
      </c>
      <c r="AJ725" t="s">
        <v>74</v>
      </c>
      <c r="AK725" t="s">
        <v>74</v>
      </c>
      <c r="AL725" t="s">
        <v>74</v>
      </c>
      <c r="AM725" t="s">
        <v>74</v>
      </c>
      <c r="AN725" t="s">
        <v>74</v>
      </c>
      <c r="AO725" t="s">
        <v>6342</v>
      </c>
      <c r="AP725" t="s">
        <v>6343</v>
      </c>
      <c r="AQ725" t="s">
        <v>74</v>
      </c>
      <c r="AR725" t="s">
        <v>74</v>
      </c>
      <c r="AS725" t="s">
        <v>74</v>
      </c>
      <c r="AT725" t="s">
        <v>4413</v>
      </c>
      <c r="AU725">
        <v>2018</v>
      </c>
      <c r="AV725">
        <v>10</v>
      </c>
      <c r="AW725">
        <v>22</v>
      </c>
      <c r="AX725" t="s">
        <v>74</v>
      </c>
      <c r="AY725" t="s">
        <v>74</v>
      </c>
      <c r="AZ725" t="s">
        <v>74</v>
      </c>
      <c r="BA725" t="s">
        <v>74</v>
      </c>
      <c r="BB725">
        <v>5194</v>
      </c>
      <c r="BC725">
        <v>5200</v>
      </c>
      <c r="BD725" t="s">
        <v>74</v>
      </c>
      <c r="BE725" t="s">
        <v>6344</v>
      </c>
      <c r="BF725" t="str">
        <f>HYPERLINK("http://dx.doi.org/10.1002/cctc.201801455","http://dx.doi.org/10.1002/cctc.201801455")</f>
        <v>http://dx.doi.org/10.1002/cctc.201801455</v>
      </c>
      <c r="BG725" t="s">
        <v>74</v>
      </c>
      <c r="BH725" t="s">
        <v>74</v>
      </c>
      <c r="BI725" t="s">
        <v>74</v>
      </c>
      <c r="BJ725" t="s">
        <v>74</v>
      </c>
      <c r="BK725" t="s">
        <v>74</v>
      </c>
      <c r="BL725" t="s">
        <v>74</v>
      </c>
      <c r="BM725" t="s">
        <v>74</v>
      </c>
      <c r="BN725" t="s">
        <v>74</v>
      </c>
      <c r="BO725" t="s">
        <v>74</v>
      </c>
      <c r="BP725" t="s">
        <v>74</v>
      </c>
      <c r="BQ725" t="s">
        <v>74</v>
      </c>
      <c r="BR725" t="s">
        <v>74</v>
      </c>
      <c r="BS725" t="s">
        <v>6345</v>
      </c>
      <c r="BT725" t="str">
        <f>HYPERLINK("https%3A%2F%2Fwww.webofscience.com%2Fwos%2Fwoscc%2Ffull-record%2FWOS:000451444000014","View Full Record in Web of Science")</f>
        <v>View Full Record in Web of Science</v>
      </c>
    </row>
    <row r="726" spans="1:72" x14ac:dyDescent="0.2">
      <c r="A726" t="s">
        <v>72</v>
      </c>
      <c r="B726" t="s">
        <v>6346</v>
      </c>
      <c r="C726" t="s">
        <v>74</v>
      </c>
      <c r="D726" t="s">
        <v>74</v>
      </c>
      <c r="E726" t="s">
        <v>74</v>
      </c>
      <c r="F726" t="s">
        <v>6347</v>
      </c>
      <c r="G726" t="s">
        <v>74</v>
      </c>
      <c r="H726" t="s">
        <v>74</v>
      </c>
      <c r="I726" t="s">
        <v>6348</v>
      </c>
      <c r="J726" t="s">
        <v>151</v>
      </c>
      <c r="K726" t="s">
        <v>74</v>
      </c>
      <c r="L726" t="s">
        <v>74</v>
      </c>
      <c r="M726" t="s">
        <v>74</v>
      </c>
      <c r="N726" t="s">
        <v>74</v>
      </c>
      <c r="O726" t="s">
        <v>74</v>
      </c>
      <c r="P726" t="s">
        <v>74</v>
      </c>
      <c r="Q726" t="s">
        <v>74</v>
      </c>
      <c r="R726" t="s">
        <v>74</v>
      </c>
      <c r="S726" t="s">
        <v>74</v>
      </c>
      <c r="T726" t="s">
        <v>74</v>
      </c>
      <c r="U726" t="s">
        <v>74</v>
      </c>
      <c r="V726" t="s">
        <v>6349</v>
      </c>
      <c r="W726" t="s">
        <v>74</v>
      </c>
      <c r="X726" t="s">
        <v>74</v>
      </c>
      <c r="Y726" t="s">
        <v>74</v>
      </c>
      <c r="Z726" t="s">
        <v>74</v>
      </c>
      <c r="AA726" t="s">
        <v>6350</v>
      </c>
      <c r="AB726" t="s">
        <v>6351</v>
      </c>
      <c r="AC726" t="s">
        <v>74</v>
      </c>
      <c r="AD726" t="s">
        <v>74</v>
      </c>
      <c r="AE726" t="s">
        <v>74</v>
      </c>
      <c r="AF726" t="s">
        <v>74</v>
      </c>
      <c r="AG726" t="s">
        <v>74</v>
      </c>
      <c r="AH726" t="s">
        <v>74</v>
      </c>
      <c r="AI726" t="s">
        <v>74</v>
      </c>
      <c r="AJ726" t="s">
        <v>74</v>
      </c>
      <c r="AK726" t="s">
        <v>74</v>
      </c>
      <c r="AL726" t="s">
        <v>74</v>
      </c>
      <c r="AM726" t="s">
        <v>74</v>
      </c>
      <c r="AN726" t="s">
        <v>74</v>
      </c>
      <c r="AO726" t="s">
        <v>153</v>
      </c>
      <c r="AP726" t="s">
        <v>154</v>
      </c>
      <c r="AQ726" t="s">
        <v>74</v>
      </c>
      <c r="AR726" t="s">
        <v>74</v>
      </c>
      <c r="AS726" t="s">
        <v>74</v>
      </c>
      <c r="AT726" t="s">
        <v>92</v>
      </c>
      <c r="AU726">
        <v>2018</v>
      </c>
      <c r="AV726">
        <v>15</v>
      </c>
      <c r="AW726" t="s">
        <v>74</v>
      </c>
      <c r="AX726" t="s">
        <v>74</v>
      </c>
      <c r="AY726" t="s">
        <v>74</v>
      </c>
      <c r="AZ726" t="s">
        <v>74</v>
      </c>
      <c r="BA726" t="s">
        <v>74</v>
      </c>
      <c r="BB726">
        <v>226</v>
      </c>
      <c r="BC726">
        <v>233</v>
      </c>
      <c r="BD726" t="s">
        <v>74</v>
      </c>
      <c r="BE726" t="s">
        <v>6352</v>
      </c>
      <c r="BF726" t="str">
        <f>HYPERLINK("http://dx.doi.org/10.1016/j.ensm.2018.04.010","http://dx.doi.org/10.1016/j.ensm.2018.04.010")</f>
        <v>http://dx.doi.org/10.1016/j.ensm.2018.04.010</v>
      </c>
      <c r="BG726" t="s">
        <v>74</v>
      </c>
      <c r="BH726" t="s">
        <v>74</v>
      </c>
      <c r="BI726" t="s">
        <v>74</v>
      </c>
      <c r="BJ726" t="s">
        <v>74</v>
      </c>
      <c r="BK726" t="s">
        <v>74</v>
      </c>
      <c r="BL726" t="s">
        <v>74</v>
      </c>
      <c r="BM726" t="s">
        <v>74</v>
      </c>
      <c r="BN726" t="s">
        <v>74</v>
      </c>
      <c r="BO726" t="s">
        <v>74</v>
      </c>
      <c r="BP726" t="s">
        <v>74</v>
      </c>
      <c r="BQ726" t="s">
        <v>74</v>
      </c>
      <c r="BR726" t="s">
        <v>74</v>
      </c>
      <c r="BS726" t="s">
        <v>6353</v>
      </c>
      <c r="BT726" t="str">
        <f>HYPERLINK("https%3A%2F%2Fwww.webofscience.com%2Fwos%2Fwoscc%2Ffull-record%2FWOS:000449521500024","View Full Record in Web of Science")</f>
        <v>View Full Record in Web of Science</v>
      </c>
    </row>
    <row r="727" spans="1:72" x14ac:dyDescent="0.2">
      <c r="A727" t="s">
        <v>72</v>
      </c>
      <c r="B727" t="s">
        <v>6354</v>
      </c>
      <c r="C727" t="s">
        <v>74</v>
      </c>
      <c r="D727" t="s">
        <v>74</v>
      </c>
      <c r="E727" t="s">
        <v>74</v>
      </c>
      <c r="F727" t="s">
        <v>6355</v>
      </c>
      <c r="G727" t="s">
        <v>74</v>
      </c>
      <c r="H727" t="s">
        <v>74</v>
      </c>
      <c r="I727" t="s">
        <v>6356</v>
      </c>
      <c r="J727" t="s">
        <v>3822</v>
      </c>
      <c r="K727" t="s">
        <v>74</v>
      </c>
      <c r="L727" t="s">
        <v>74</v>
      </c>
      <c r="M727" t="s">
        <v>74</v>
      </c>
      <c r="N727" t="s">
        <v>74</v>
      </c>
      <c r="O727" t="s">
        <v>74</v>
      </c>
      <c r="P727" t="s">
        <v>74</v>
      </c>
      <c r="Q727" t="s">
        <v>74</v>
      </c>
      <c r="R727" t="s">
        <v>74</v>
      </c>
      <c r="S727" t="s">
        <v>74</v>
      </c>
      <c r="T727" t="s">
        <v>74</v>
      </c>
      <c r="U727" t="s">
        <v>74</v>
      </c>
      <c r="V727" t="s">
        <v>6357</v>
      </c>
      <c r="W727" t="s">
        <v>74</v>
      </c>
      <c r="X727" t="s">
        <v>74</v>
      </c>
      <c r="Y727" t="s">
        <v>74</v>
      </c>
      <c r="Z727" t="s">
        <v>74</v>
      </c>
      <c r="AA727" t="s">
        <v>6358</v>
      </c>
      <c r="AB727" t="s">
        <v>6359</v>
      </c>
      <c r="AC727" t="s">
        <v>74</v>
      </c>
      <c r="AD727" t="s">
        <v>74</v>
      </c>
      <c r="AE727" t="s">
        <v>74</v>
      </c>
      <c r="AF727" t="s">
        <v>74</v>
      </c>
      <c r="AG727" t="s">
        <v>74</v>
      </c>
      <c r="AH727" t="s">
        <v>74</v>
      </c>
      <c r="AI727" t="s">
        <v>74</v>
      </c>
      <c r="AJ727" t="s">
        <v>74</v>
      </c>
      <c r="AK727" t="s">
        <v>74</v>
      </c>
      <c r="AL727" t="s">
        <v>74</v>
      </c>
      <c r="AM727" t="s">
        <v>74</v>
      </c>
      <c r="AN727" t="s">
        <v>74</v>
      </c>
      <c r="AO727" t="s">
        <v>3826</v>
      </c>
      <c r="AP727" t="s">
        <v>3827</v>
      </c>
      <c r="AQ727" t="s">
        <v>74</v>
      </c>
      <c r="AR727" t="s">
        <v>74</v>
      </c>
      <c r="AS727" t="s">
        <v>74</v>
      </c>
      <c r="AT727" t="s">
        <v>92</v>
      </c>
      <c r="AU727">
        <v>2018</v>
      </c>
      <c r="AV727">
        <v>139</v>
      </c>
      <c r="AW727" t="s">
        <v>74</v>
      </c>
      <c r="AX727" t="s">
        <v>74</v>
      </c>
      <c r="AY727" t="s">
        <v>74</v>
      </c>
      <c r="AZ727" t="s">
        <v>74</v>
      </c>
      <c r="BA727" t="s">
        <v>74</v>
      </c>
      <c r="BB727">
        <v>67</v>
      </c>
      <c r="BC727">
        <v>75</v>
      </c>
      <c r="BD727" t="s">
        <v>74</v>
      </c>
      <c r="BE727" t="s">
        <v>6360</v>
      </c>
      <c r="BF727" t="str">
        <f>HYPERLINK("http://dx.doi.org/10.1016/j.carbon.2018.06.042","http://dx.doi.org/10.1016/j.carbon.2018.06.042")</f>
        <v>http://dx.doi.org/10.1016/j.carbon.2018.06.042</v>
      </c>
      <c r="BG727" t="s">
        <v>74</v>
      </c>
      <c r="BH727" t="s">
        <v>74</v>
      </c>
      <c r="BI727" t="s">
        <v>74</v>
      </c>
      <c r="BJ727" t="s">
        <v>74</v>
      </c>
      <c r="BK727" t="s">
        <v>74</v>
      </c>
      <c r="BL727" t="s">
        <v>74</v>
      </c>
      <c r="BM727" t="s">
        <v>74</v>
      </c>
      <c r="BN727" t="s">
        <v>74</v>
      </c>
      <c r="BO727" t="s">
        <v>74</v>
      </c>
      <c r="BP727" t="s">
        <v>74</v>
      </c>
      <c r="BQ727" t="s">
        <v>74</v>
      </c>
      <c r="BR727" t="s">
        <v>74</v>
      </c>
      <c r="BS727" t="s">
        <v>6361</v>
      </c>
      <c r="BT727" t="str">
        <f>HYPERLINK("https%3A%2F%2Fwww.webofscience.com%2Fwos%2Fwoscc%2Ffull-record%2FWOS:000446063100009","View Full Record in Web of Science")</f>
        <v>View Full Record in Web of Science</v>
      </c>
    </row>
    <row r="728" spans="1:72" x14ac:dyDescent="0.2">
      <c r="A728" t="s">
        <v>72</v>
      </c>
      <c r="B728" t="s">
        <v>6362</v>
      </c>
      <c r="C728" t="s">
        <v>74</v>
      </c>
      <c r="D728" t="s">
        <v>74</v>
      </c>
      <c r="E728" t="s">
        <v>74</v>
      </c>
      <c r="F728" t="s">
        <v>6363</v>
      </c>
      <c r="G728" t="s">
        <v>74</v>
      </c>
      <c r="H728" t="s">
        <v>74</v>
      </c>
      <c r="I728" t="s">
        <v>6364</v>
      </c>
      <c r="J728" t="s">
        <v>433</v>
      </c>
      <c r="K728" t="s">
        <v>74</v>
      </c>
      <c r="L728" t="s">
        <v>74</v>
      </c>
      <c r="M728" t="s">
        <v>74</v>
      </c>
      <c r="N728" t="s">
        <v>74</v>
      </c>
      <c r="O728" t="s">
        <v>74</v>
      </c>
      <c r="P728" t="s">
        <v>74</v>
      </c>
      <c r="Q728" t="s">
        <v>74</v>
      </c>
      <c r="R728" t="s">
        <v>74</v>
      </c>
      <c r="S728" t="s">
        <v>74</v>
      </c>
      <c r="T728" t="s">
        <v>74</v>
      </c>
      <c r="U728" t="s">
        <v>74</v>
      </c>
      <c r="V728" t="s">
        <v>6365</v>
      </c>
      <c r="W728" t="s">
        <v>74</v>
      </c>
      <c r="X728" t="s">
        <v>74</v>
      </c>
      <c r="Y728" t="s">
        <v>74</v>
      </c>
      <c r="Z728" t="s">
        <v>74</v>
      </c>
      <c r="AA728" t="s">
        <v>6366</v>
      </c>
      <c r="AB728" t="s">
        <v>6367</v>
      </c>
      <c r="AC728" t="s">
        <v>74</v>
      </c>
      <c r="AD728" t="s">
        <v>74</v>
      </c>
      <c r="AE728" t="s">
        <v>74</v>
      </c>
      <c r="AF728" t="s">
        <v>74</v>
      </c>
      <c r="AG728" t="s">
        <v>74</v>
      </c>
      <c r="AH728" t="s">
        <v>74</v>
      </c>
      <c r="AI728" t="s">
        <v>74</v>
      </c>
      <c r="AJ728" t="s">
        <v>74</v>
      </c>
      <c r="AK728" t="s">
        <v>74</v>
      </c>
      <c r="AL728" t="s">
        <v>74</v>
      </c>
      <c r="AM728" t="s">
        <v>74</v>
      </c>
      <c r="AN728" t="s">
        <v>74</v>
      </c>
      <c r="AO728" t="s">
        <v>435</v>
      </c>
      <c r="AP728" t="s">
        <v>436</v>
      </c>
      <c r="AQ728" t="s">
        <v>74</v>
      </c>
      <c r="AR728" t="s">
        <v>74</v>
      </c>
      <c r="AS728" t="s">
        <v>74</v>
      </c>
      <c r="AT728" t="s">
        <v>103</v>
      </c>
      <c r="AU728">
        <v>2018</v>
      </c>
      <c r="AV728">
        <v>765</v>
      </c>
      <c r="AW728" t="s">
        <v>74</v>
      </c>
      <c r="AX728" t="s">
        <v>74</v>
      </c>
      <c r="AY728" t="s">
        <v>74</v>
      </c>
      <c r="AZ728" t="s">
        <v>74</v>
      </c>
      <c r="BA728" t="s">
        <v>74</v>
      </c>
      <c r="BB728">
        <v>841</v>
      </c>
      <c r="BC728">
        <v>847</v>
      </c>
      <c r="BD728" t="s">
        <v>74</v>
      </c>
      <c r="BE728" t="s">
        <v>6368</v>
      </c>
      <c r="BF728" t="str">
        <f>HYPERLINK("http://dx.doi.org/10.1016/j.jallcom.2018.06.154","http://dx.doi.org/10.1016/j.jallcom.2018.06.154")</f>
        <v>http://dx.doi.org/10.1016/j.jallcom.2018.06.154</v>
      </c>
      <c r="BG728" t="s">
        <v>74</v>
      </c>
      <c r="BH728" t="s">
        <v>74</v>
      </c>
      <c r="BI728" t="s">
        <v>74</v>
      </c>
      <c r="BJ728" t="s">
        <v>74</v>
      </c>
      <c r="BK728" t="s">
        <v>74</v>
      </c>
      <c r="BL728" t="s">
        <v>74</v>
      </c>
      <c r="BM728" t="s">
        <v>74</v>
      </c>
      <c r="BN728" t="s">
        <v>74</v>
      </c>
      <c r="BO728" t="s">
        <v>74</v>
      </c>
      <c r="BP728" t="s">
        <v>74</v>
      </c>
      <c r="BQ728" t="s">
        <v>74</v>
      </c>
      <c r="BR728" t="s">
        <v>74</v>
      </c>
      <c r="BS728" t="s">
        <v>6369</v>
      </c>
      <c r="BT728" t="str">
        <f>HYPERLINK("https%3A%2F%2Fwww.webofscience.com%2Fwos%2Fwoscc%2Ffull-record%2FWOS:000444341900102","View Full Record in Web of Science")</f>
        <v>View Full Record in Web of Science</v>
      </c>
    </row>
    <row r="729" spans="1:72" x14ac:dyDescent="0.2">
      <c r="A729" t="s">
        <v>72</v>
      </c>
      <c r="B729" t="s">
        <v>6370</v>
      </c>
      <c r="C729" t="s">
        <v>74</v>
      </c>
      <c r="D729" t="s">
        <v>74</v>
      </c>
      <c r="E729" t="s">
        <v>74</v>
      </c>
      <c r="F729" t="s">
        <v>6371</v>
      </c>
      <c r="G729" t="s">
        <v>74</v>
      </c>
      <c r="H729" t="s">
        <v>74</v>
      </c>
      <c r="I729" t="s">
        <v>6372</v>
      </c>
      <c r="J729" t="s">
        <v>352</v>
      </c>
      <c r="K729" t="s">
        <v>74</v>
      </c>
      <c r="L729" t="s">
        <v>74</v>
      </c>
      <c r="M729" t="s">
        <v>74</v>
      </c>
      <c r="N729" t="s">
        <v>74</v>
      </c>
      <c r="O729" t="s">
        <v>74</v>
      </c>
      <c r="P729" t="s">
        <v>74</v>
      </c>
      <c r="Q729" t="s">
        <v>74</v>
      </c>
      <c r="R729" t="s">
        <v>74</v>
      </c>
      <c r="S729" t="s">
        <v>74</v>
      </c>
      <c r="T729" t="s">
        <v>74</v>
      </c>
      <c r="U729" t="s">
        <v>74</v>
      </c>
      <c r="V729" t="s">
        <v>6373</v>
      </c>
      <c r="W729" t="s">
        <v>74</v>
      </c>
      <c r="X729" t="s">
        <v>74</v>
      </c>
      <c r="Y729" t="s">
        <v>74</v>
      </c>
      <c r="Z729" t="s">
        <v>74</v>
      </c>
      <c r="AA729" t="s">
        <v>6374</v>
      </c>
      <c r="AB729" t="s">
        <v>6375</v>
      </c>
      <c r="AC729" t="s">
        <v>74</v>
      </c>
      <c r="AD729" t="s">
        <v>74</v>
      </c>
      <c r="AE729" t="s">
        <v>74</v>
      </c>
      <c r="AF729" t="s">
        <v>74</v>
      </c>
      <c r="AG729" t="s">
        <v>74</v>
      </c>
      <c r="AH729" t="s">
        <v>74</v>
      </c>
      <c r="AI729" t="s">
        <v>74</v>
      </c>
      <c r="AJ729" t="s">
        <v>74</v>
      </c>
      <c r="AK729" t="s">
        <v>74</v>
      </c>
      <c r="AL729" t="s">
        <v>74</v>
      </c>
      <c r="AM729" t="s">
        <v>74</v>
      </c>
      <c r="AN729" t="s">
        <v>74</v>
      </c>
      <c r="AO729" t="s">
        <v>354</v>
      </c>
      <c r="AP729" t="s">
        <v>355</v>
      </c>
      <c r="AQ729" t="s">
        <v>74</v>
      </c>
      <c r="AR729" t="s">
        <v>74</v>
      </c>
      <c r="AS729" t="s">
        <v>74</v>
      </c>
      <c r="AT729" t="s">
        <v>103</v>
      </c>
      <c r="AU729">
        <v>2018</v>
      </c>
      <c r="AV729">
        <v>8</v>
      </c>
      <c r="AW729">
        <v>29</v>
      </c>
      <c r="AX729" t="s">
        <v>74</v>
      </c>
      <c r="AY729" t="s">
        <v>74</v>
      </c>
      <c r="AZ729" t="s">
        <v>74</v>
      </c>
      <c r="BA729" t="s">
        <v>74</v>
      </c>
      <c r="BB729" t="s">
        <v>74</v>
      </c>
      <c r="BC729" t="s">
        <v>74</v>
      </c>
      <c r="BD729">
        <v>1801957</v>
      </c>
      <c r="BE729" t="s">
        <v>6376</v>
      </c>
      <c r="BF729" t="str">
        <f>HYPERLINK("http://dx.doi.org/10.1002/aenm.201801957","http://dx.doi.org/10.1002/aenm.201801957")</f>
        <v>http://dx.doi.org/10.1002/aenm.201801957</v>
      </c>
      <c r="BG729" t="s">
        <v>74</v>
      </c>
      <c r="BH729" t="s">
        <v>74</v>
      </c>
      <c r="BI729" t="s">
        <v>74</v>
      </c>
      <c r="BJ729" t="s">
        <v>74</v>
      </c>
      <c r="BK729" t="s">
        <v>74</v>
      </c>
      <c r="BL729" t="s">
        <v>74</v>
      </c>
      <c r="BM729" t="s">
        <v>74</v>
      </c>
      <c r="BN729" t="s">
        <v>74</v>
      </c>
      <c r="BO729" t="s">
        <v>74</v>
      </c>
      <c r="BP729" t="s">
        <v>74</v>
      </c>
      <c r="BQ729" t="s">
        <v>74</v>
      </c>
      <c r="BR729" t="s">
        <v>74</v>
      </c>
      <c r="BS729" t="s">
        <v>6377</v>
      </c>
      <c r="BT729" t="str">
        <f>HYPERLINK("https%3A%2F%2Fwww.webofscience.com%2Fwos%2Fwoscc%2Ffull-record%2FWOS:000447257000017","View Full Record in Web of Science")</f>
        <v>View Full Record in Web of Science</v>
      </c>
    </row>
    <row r="730" spans="1:72" x14ac:dyDescent="0.2">
      <c r="A730" t="s">
        <v>72</v>
      </c>
      <c r="B730" t="s">
        <v>6378</v>
      </c>
      <c r="C730" t="s">
        <v>74</v>
      </c>
      <c r="D730" t="s">
        <v>74</v>
      </c>
      <c r="E730" t="s">
        <v>74</v>
      </c>
      <c r="F730" t="s">
        <v>6379</v>
      </c>
      <c r="G730" t="s">
        <v>74</v>
      </c>
      <c r="H730" t="s">
        <v>74</v>
      </c>
      <c r="I730" t="s">
        <v>6380</v>
      </c>
      <c r="J730" t="s">
        <v>1256</v>
      </c>
      <c r="K730" t="s">
        <v>74</v>
      </c>
      <c r="L730" t="s">
        <v>74</v>
      </c>
      <c r="M730" t="s">
        <v>74</v>
      </c>
      <c r="N730" t="s">
        <v>74</v>
      </c>
      <c r="O730" t="s">
        <v>74</v>
      </c>
      <c r="P730" t="s">
        <v>74</v>
      </c>
      <c r="Q730" t="s">
        <v>74</v>
      </c>
      <c r="R730" t="s">
        <v>74</v>
      </c>
      <c r="S730" t="s">
        <v>74</v>
      </c>
      <c r="T730" t="s">
        <v>74</v>
      </c>
      <c r="U730" t="s">
        <v>74</v>
      </c>
      <c r="V730" t="s">
        <v>6381</v>
      </c>
      <c r="W730" t="s">
        <v>74</v>
      </c>
      <c r="X730" t="s">
        <v>74</v>
      </c>
      <c r="Y730" t="s">
        <v>74</v>
      </c>
      <c r="Z730" t="s">
        <v>74</v>
      </c>
      <c r="AA730" t="s">
        <v>6382</v>
      </c>
      <c r="AB730" t="s">
        <v>6383</v>
      </c>
      <c r="AC730" t="s">
        <v>74</v>
      </c>
      <c r="AD730" t="s">
        <v>74</v>
      </c>
      <c r="AE730" t="s">
        <v>74</v>
      </c>
      <c r="AF730" t="s">
        <v>74</v>
      </c>
      <c r="AG730" t="s">
        <v>74</v>
      </c>
      <c r="AH730" t="s">
        <v>74</v>
      </c>
      <c r="AI730" t="s">
        <v>74</v>
      </c>
      <c r="AJ730" t="s">
        <v>74</v>
      </c>
      <c r="AK730" t="s">
        <v>74</v>
      </c>
      <c r="AL730" t="s">
        <v>74</v>
      </c>
      <c r="AM730" t="s">
        <v>74</v>
      </c>
      <c r="AN730" t="s">
        <v>74</v>
      </c>
      <c r="AO730" t="s">
        <v>1258</v>
      </c>
      <c r="AP730" t="s">
        <v>1259</v>
      </c>
      <c r="AQ730" t="s">
        <v>74</v>
      </c>
      <c r="AR730" t="s">
        <v>74</v>
      </c>
      <c r="AS730" t="s">
        <v>74</v>
      </c>
      <c r="AT730" t="s">
        <v>1781</v>
      </c>
      <c r="AU730">
        <v>2018</v>
      </c>
      <c r="AV730">
        <v>285</v>
      </c>
      <c r="AW730" t="s">
        <v>74</v>
      </c>
      <c r="AX730" t="s">
        <v>74</v>
      </c>
      <c r="AY730" t="s">
        <v>74</v>
      </c>
      <c r="AZ730" t="s">
        <v>74</v>
      </c>
      <c r="BA730" t="s">
        <v>74</v>
      </c>
      <c r="BB730">
        <v>326</v>
      </c>
      <c r="BC730">
        <v>335</v>
      </c>
      <c r="BD730" t="s">
        <v>74</v>
      </c>
      <c r="BE730" t="s">
        <v>6384</v>
      </c>
      <c r="BF730" t="str">
        <f>HYPERLINK("http://dx.doi.org/10.1016/j.electacta.2018.08.008","http://dx.doi.org/10.1016/j.electacta.2018.08.008")</f>
        <v>http://dx.doi.org/10.1016/j.electacta.2018.08.008</v>
      </c>
      <c r="BG730" t="s">
        <v>74</v>
      </c>
      <c r="BH730" t="s">
        <v>74</v>
      </c>
      <c r="BI730" t="s">
        <v>74</v>
      </c>
      <c r="BJ730" t="s">
        <v>74</v>
      </c>
      <c r="BK730" t="s">
        <v>74</v>
      </c>
      <c r="BL730" t="s">
        <v>74</v>
      </c>
      <c r="BM730" t="s">
        <v>74</v>
      </c>
      <c r="BN730" t="s">
        <v>74</v>
      </c>
      <c r="BO730" t="s">
        <v>74</v>
      </c>
      <c r="BP730" t="s">
        <v>74</v>
      </c>
      <c r="BQ730" t="s">
        <v>74</v>
      </c>
      <c r="BR730" t="s">
        <v>74</v>
      </c>
      <c r="BS730" t="s">
        <v>6385</v>
      </c>
      <c r="BT730" t="str">
        <f>HYPERLINK("https%3A%2F%2Fwww.webofscience.com%2Fwos%2Fwoscc%2Ffull-record%2FWOS:000445131700035","View Full Record in Web of Science")</f>
        <v>View Full Record in Web of Science</v>
      </c>
    </row>
    <row r="731" spans="1:72" x14ac:dyDescent="0.2">
      <c r="A731" t="s">
        <v>72</v>
      </c>
      <c r="B731" t="s">
        <v>6386</v>
      </c>
      <c r="C731" t="s">
        <v>74</v>
      </c>
      <c r="D731" t="s">
        <v>74</v>
      </c>
      <c r="E731" t="s">
        <v>74</v>
      </c>
      <c r="F731" t="s">
        <v>6387</v>
      </c>
      <c r="G731" t="s">
        <v>74</v>
      </c>
      <c r="H731" t="s">
        <v>74</v>
      </c>
      <c r="I731" t="s">
        <v>6388</v>
      </c>
      <c r="J731" t="s">
        <v>528</v>
      </c>
      <c r="K731" t="s">
        <v>74</v>
      </c>
      <c r="L731" t="s">
        <v>74</v>
      </c>
      <c r="M731" t="s">
        <v>74</v>
      </c>
      <c r="N731" t="s">
        <v>74</v>
      </c>
      <c r="O731" t="s">
        <v>74</v>
      </c>
      <c r="P731" t="s">
        <v>74</v>
      </c>
      <c r="Q731" t="s">
        <v>74</v>
      </c>
      <c r="R731" t="s">
        <v>74</v>
      </c>
      <c r="S731" t="s">
        <v>74</v>
      </c>
      <c r="T731" t="s">
        <v>74</v>
      </c>
      <c r="U731" t="s">
        <v>74</v>
      </c>
      <c r="V731" t="s">
        <v>6389</v>
      </c>
      <c r="W731" t="s">
        <v>74</v>
      </c>
      <c r="X731" t="s">
        <v>74</v>
      </c>
      <c r="Y731" t="s">
        <v>74</v>
      </c>
      <c r="Z731" t="s">
        <v>74</v>
      </c>
      <c r="AA731" t="s">
        <v>74</v>
      </c>
      <c r="AB731" t="s">
        <v>6390</v>
      </c>
      <c r="AC731" t="s">
        <v>74</v>
      </c>
      <c r="AD731" t="s">
        <v>74</v>
      </c>
      <c r="AE731" t="s">
        <v>74</v>
      </c>
      <c r="AF731" t="s">
        <v>74</v>
      </c>
      <c r="AG731" t="s">
        <v>74</v>
      </c>
      <c r="AH731" t="s">
        <v>74</v>
      </c>
      <c r="AI731" t="s">
        <v>74</v>
      </c>
      <c r="AJ731" t="s">
        <v>74</v>
      </c>
      <c r="AK731" t="s">
        <v>74</v>
      </c>
      <c r="AL731" t="s">
        <v>74</v>
      </c>
      <c r="AM731" t="s">
        <v>74</v>
      </c>
      <c r="AN731" t="s">
        <v>74</v>
      </c>
      <c r="AO731" t="s">
        <v>532</v>
      </c>
      <c r="AP731" t="s">
        <v>533</v>
      </c>
      <c r="AQ731" t="s">
        <v>74</v>
      </c>
      <c r="AR731" t="s">
        <v>74</v>
      </c>
      <c r="AS731" t="s">
        <v>74</v>
      </c>
      <c r="AT731" t="s">
        <v>2839</v>
      </c>
      <c r="AU731">
        <v>2018</v>
      </c>
      <c r="AV731">
        <v>10</v>
      </c>
      <c r="AW731">
        <v>36</v>
      </c>
      <c r="AX731" t="s">
        <v>74</v>
      </c>
      <c r="AY731" t="s">
        <v>74</v>
      </c>
      <c r="AZ731" t="s">
        <v>74</v>
      </c>
      <c r="BA731" t="s">
        <v>74</v>
      </c>
      <c r="BB731">
        <v>30247</v>
      </c>
      <c r="BC731">
        <v>30256</v>
      </c>
      <c r="BD731" t="s">
        <v>74</v>
      </c>
      <c r="BE731" t="s">
        <v>6391</v>
      </c>
      <c r="BF731" t="str">
        <f>HYPERLINK("http://dx.doi.org/10.1021/acsami.8b02519","http://dx.doi.org/10.1021/acsami.8b02519")</f>
        <v>http://dx.doi.org/10.1021/acsami.8b02519</v>
      </c>
      <c r="BG731" t="s">
        <v>74</v>
      </c>
      <c r="BH731" t="s">
        <v>74</v>
      </c>
      <c r="BI731" t="s">
        <v>74</v>
      </c>
      <c r="BJ731" t="s">
        <v>74</v>
      </c>
      <c r="BK731" t="s">
        <v>74</v>
      </c>
      <c r="BL731" t="s">
        <v>74</v>
      </c>
      <c r="BM731" t="s">
        <v>74</v>
      </c>
      <c r="BN731">
        <v>30113816</v>
      </c>
      <c r="BO731" t="s">
        <v>74</v>
      </c>
      <c r="BP731" t="s">
        <v>74</v>
      </c>
      <c r="BQ731" t="s">
        <v>74</v>
      </c>
      <c r="BR731" t="s">
        <v>74</v>
      </c>
      <c r="BS731" t="s">
        <v>6392</v>
      </c>
      <c r="BT731" t="str">
        <f>HYPERLINK("https%3A%2F%2Fwww.webofscience.com%2Fwos%2Fwoscc%2Ffull-record%2FWOS:000444793000027","View Full Record in Web of Science")</f>
        <v>View Full Record in Web of Science</v>
      </c>
    </row>
    <row r="732" spans="1:72" x14ac:dyDescent="0.2">
      <c r="A732" t="s">
        <v>72</v>
      </c>
      <c r="B732" t="s">
        <v>6393</v>
      </c>
      <c r="C732" t="s">
        <v>74</v>
      </c>
      <c r="D732" t="s">
        <v>74</v>
      </c>
      <c r="E732" t="s">
        <v>74</v>
      </c>
      <c r="F732" t="s">
        <v>6394</v>
      </c>
      <c r="G732" t="s">
        <v>74</v>
      </c>
      <c r="H732" t="s">
        <v>74</v>
      </c>
      <c r="I732" t="s">
        <v>6395</v>
      </c>
      <c r="J732" t="s">
        <v>1139</v>
      </c>
      <c r="K732" t="s">
        <v>74</v>
      </c>
      <c r="L732" t="s">
        <v>74</v>
      </c>
      <c r="M732" t="s">
        <v>74</v>
      </c>
      <c r="N732" t="s">
        <v>74</v>
      </c>
      <c r="O732" t="s">
        <v>74</v>
      </c>
      <c r="P732" t="s">
        <v>74</v>
      </c>
      <c r="Q732" t="s">
        <v>74</v>
      </c>
      <c r="R732" t="s">
        <v>74</v>
      </c>
      <c r="S732" t="s">
        <v>74</v>
      </c>
      <c r="T732" t="s">
        <v>74</v>
      </c>
      <c r="U732" t="s">
        <v>74</v>
      </c>
      <c r="V732" t="s">
        <v>6396</v>
      </c>
      <c r="W732" t="s">
        <v>74</v>
      </c>
      <c r="X732" t="s">
        <v>74</v>
      </c>
      <c r="Y732" t="s">
        <v>74</v>
      </c>
      <c r="Z732" t="s">
        <v>74</v>
      </c>
      <c r="AA732" t="s">
        <v>6397</v>
      </c>
      <c r="AB732" t="s">
        <v>6398</v>
      </c>
      <c r="AC732" t="s">
        <v>74</v>
      </c>
      <c r="AD732" t="s">
        <v>74</v>
      </c>
      <c r="AE732" t="s">
        <v>74</v>
      </c>
      <c r="AF732" t="s">
        <v>74</v>
      </c>
      <c r="AG732" t="s">
        <v>74</v>
      </c>
      <c r="AH732" t="s">
        <v>74</v>
      </c>
      <c r="AI732" t="s">
        <v>74</v>
      </c>
      <c r="AJ732" t="s">
        <v>74</v>
      </c>
      <c r="AK732" t="s">
        <v>74</v>
      </c>
      <c r="AL732" t="s">
        <v>74</v>
      </c>
      <c r="AM732" t="s">
        <v>74</v>
      </c>
      <c r="AN732" t="s">
        <v>74</v>
      </c>
      <c r="AO732" t="s">
        <v>1143</v>
      </c>
      <c r="AP732" t="s">
        <v>1144</v>
      </c>
      <c r="AQ732" t="s">
        <v>74</v>
      </c>
      <c r="AR732" t="s">
        <v>74</v>
      </c>
      <c r="AS732" t="s">
        <v>74</v>
      </c>
      <c r="AT732" t="s">
        <v>6399</v>
      </c>
      <c r="AU732">
        <v>2018</v>
      </c>
      <c r="AV732">
        <v>42</v>
      </c>
      <c r="AW732">
        <v>17</v>
      </c>
      <c r="AX732" t="s">
        <v>74</v>
      </c>
      <c r="AY732" t="s">
        <v>74</v>
      </c>
      <c r="AZ732" t="s">
        <v>74</v>
      </c>
      <c r="BA732" t="s">
        <v>74</v>
      </c>
      <c r="BB732">
        <v>14410</v>
      </c>
      <c r="BC732">
        <v>14416</v>
      </c>
      <c r="BD732" t="s">
        <v>74</v>
      </c>
      <c r="BE732" t="s">
        <v>6400</v>
      </c>
      <c r="BF732" t="str">
        <f>HYPERLINK("http://dx.doi.org/10.1039/c8nj02394h","http://dx.doi.org/10.1039/c8nj02394h")</f>
        <v>http://dx.doi.org/10.1039/c8nj02394h</v>
      </c>
      <c r="BG732" t="s">
        <v>74</v>
      </c>
      <c r="BH732" t="s">
        <v>74</v>
      </c>
      <c r="BI732" t="s">
        <v>74</v>
      </c>
      <c r="BJ732" t="s">
        <v>74</v>
      </c>
      <c r="BK732" t="s">
        <v>74</v>
      </c>
      <c r="BL732" t="s">
        <v>74</v>
      </c>
      <c r="BM732" t="s">
        <v>74</v>
      </c>
      <c r="BN732" t="s">
        <v>74</v>
      </c>
      <c r="BO732" t="s">
        <v>74</v>
      </c>
      <c r="BP732" t="s">
        <v>74</v>
      </c>
      <c r="BQ732" t="s">
        <v>74</v>
      </c>
      <c r="BR732" t="s">
        <v>74</v>
      </c>
      <c r="BS732" t="s">
        <v>6401</v>
      </c>
      <c r="BT732" t="str">
        <f>HYPERLINK("https%3A%2F%2Fwww.webofscience.com%2Fwos%2Fwoscc%2Ffull-record%2FWOS:000443280200039","View Full Record in Web of Science")</f>
        <v>View Full Record in Web of Science</v>
      </c>
    </row>
    <row r="733" spans="1:72" x14ac:dyDescent="0.2">
      <c r="A733" t="s">
        <v>72</v>
      </c>
      <c r="B733" t="s">
        <v>6402</v>
      </c>
      <c r="C733" t="s">
        <v>74</v>
      </c>
      <c r="D733" t="s">
        <v>74</v>
      </c>
      <c r="E733" t="s">
        <v>74</v>
      </c>
      <c r="F733" t="s">
        <v>6403</v>
      </c>
      <c r="G733" t="s">
        <v>74</v>
      </c>
      <c r="H733" t="s">
        <v>74</v>
      </c>
      <c r="I733" t="s">
        <v>6404</v>
      </c>
      <c r="J733" t="s">
        <v>1256</v>
      </c>
      <c r="K733" t="s">
        <v>74</v>
      </c>
      <c r="L733" t="s">
        <v>74</v>
      </c>
      <c r="M733" t="s">
        <v>74</v>
      </c>
      <c r="N733" t="s">
        <v>74</v>
      </c>
      <c r="O733" t="s">
        <v>74</v>
      </c>
      <c r="P733" t="s">
        <v>74</v>
      </c>
      <c r="Q733" t="s">
        <v>74</v>
      </c>
      <c r="R733" t="s">
        <v>74</v>
      </c>
      <c r="S733" t="s">
        <v>74</v>
      </c>
      <c r="T733" t="s">
        <v>74</v>
      </c>
      <c r="U733" t="s">
        <v>74</v>
      </c>
      <c r="V733" t="s">
        <v>6405</v>
      </c>
      <c r="W733" t="s">
        <v>74</v>
      </c>
      <c r="X733" t="s">
        <v>74</v>
      </c>
      <c r="Y733" t="s">
        <v>74</v>
      </c>
      <c r="Z733" t="s">
        <v>74</v>
      </c>
      <c r="AA733" t="s">
        <v>6406</v>
      </c>
      <c r="AB733" t="s">
        <v>6407</v>
      </c>
      <c r="AC733" t="s">
        <v>74</v>
      </c>
      <c r="AD733" t="s">
        <v>74</v>
      </c>
      <c r="AE733" t="s">
        <v>74</v>
      </c>
      <c r="AF733" t="s">
        <v>74</v>
      </c>
      <c r="AG733" t="s">
        <v>74</v>
      </c>
      <c r="AH733" t="s">
        <v>74</v>
      </c>
      <c r="AI733" t="s">
        <v>74</v>
      </c>
      <c r="AJ733" t="s">
        <v>74</v>
      </c>
      <c r="AK733" t="s">
        <v>74</v>
      </c>
      <c r="AL733" t="s">
        <v>74</v>
      </c>
      <c r="AM733" t="s">
        <v>74</v>
      </c>
      <c r="AN733" t="s">
        <v>74</v>
      </c>
      <c r="AO733" t="s">
        <v>1258</v>
      </c>
      <c r="AP733" t="s">
        <v>1259</v>
      </c>
      <c r="AQ733" t="s">
        <v>74</v>
      </c>
      <c r="AR733" t="s">
        <v>74</v>
      </c>
      <c r="AS733" t="s">
        <v>74</v>
      </c>
      <c r="AT733" t="s">
        <v>1919</v>
      </c>
      <c r="AU733">
        <v>2018</v>
      </c>
      <c r="AV733">
        <v>283</v>
      </c>
      <c r="AW733" t="s">
        <v>74</v>
      </c>
      <c r="AX733" t="s">
        <v>74</v>
      </c>
      <c r="AY733" t="s">
        <v>74</v>
      </c>
      <c r="AZ733" t="s">
        <v>74</v>
      </c>
      <c r="BA733" t="s">
        <v>74</v>
      </c>
      <c r="BB733">
        <v>111</v>
      </c>
      <c r="BC733">
        <v>120</v>
      </c>
      <c r="BD733" t="s">
        <v>74</v>
      </c>
      <c r="BE733" t="s">
        <v>6408</v>
      </c>
      <c r="BF733" t="str">
        <f>HYPERLINK("http://dx.doi.org/10.1016/j.electacta.2018.06.170","http://dx.doi.org/10.1016/j.electacta.2018.06.170")</f>
        <v>http://dx.doi.org/10.1016/j.electacta.2018.06.170</v>
      </c>
      <c r="BG733" t="s">
        <v>74</v>
      </c>
      <c r="BH733" t="s">
        <v>74</v>
      </c>
      <c r="BI733" t="s">
        <v>74</v>
      </c>
      <c r="BJ733" t="s">
        <v>74</v>
      </c>
      <c r="BK733" t="s">
        <v>74</v>
      </c>
      <c r="BL733" t="s">
        <v>74</v>
      </c>
      <c r="BM733" t="s">
        <v>74</v>
      </c>
      <c r="BN733" t="s">
        <v>74</v>
      </c>
      <c r="BO733" t="s">
        <v>74</v>
      </c>
      <c r="BP733" t="s">
        <v>74</v>
      </c>
      <c r="BQ733" t="s">
        <v>74</v>
      </c>
      <c r="BR733" t="s">
        <v>74</v>
      </c>
      <c r="BS733" t="s">
        <v>6409</v>
      </c>
      <c r="BT733" t="str">
        <f>HYPERLINK("https%3A%2F%2Fwww.webofscience.com%2Fwos%2Fwoscc%2Ffull-record%2FWOS:000441077900013","View Full Record in Web of Science")</f>
        <v>View Full Record in Web of Science</v>
      </c>
    </row>
    <row r="734" spans="1:72" x14ac:dyDescent="0.2">
      <c r="A734" t="s">
        <v>72</v>
      </c>
      <c r="B734" t="s">
        <v>6410</v>
      </c>
      <c r="C734" t="s">
        <v>74</v>
      </c>
      <c r="D734" t="s">
        <v>74</v>
      </c>
      <c r="E734" t="s">
        <v>74</v>
      </c>
      <c r="F734" t="s">
        <v>6411</v>
      </c>
      <c r="G734" t="s">
        <v>74</v>
      </c>
      <c r="H734" t="s">
        <v>74</v>
      </c>
      <c r="I734" t="s">
        <v>6412</v>
      </c>
      <c r="J734" t="s">
        <v>5433</v>
      </c>
      <c r="K734" t="s">
        <v>74</v>
      </c>
      <c r="L734" t="s">
        <v>74</v>
      </c>
      <c r="M734" t="s">
        <v>74</v>
      </c>
      <c r="N734" t="s">
        <v>74</v>
      </c>
      <c r="O734" t="s">
        <v>74</v>
      </c>
      <c r="P734" t="s">
        <v>74</v>
      </c>
      <c r="Q734" t="s">
        <v>74</v>
      </c>
      <c r="R734" t="s">
        <v>74</v>
      </c>
      <c r="S734" t="s">
        <v>74</v>
      </c>
      <c r="T734" t="s">
        <v>74</v>
      </c>
      <c r="U734" t="s">
        <v>74</v>
      </c>
      <c r="V734" t="s">
        <v>6413</v>
      </c>
      <c r="W734" t="s">
        <v>74</v>
      </c>
      <c r="X734" t="s">
        <v>74</v>
      </c>
      <c r="Y734" t="s">
        <v>74</v>
      </c>
      <c r="Z734" t="s">
        <v>74</v>
      </c>
      <c r="AA734" t="s">
        <v>6414</v>
      </c>
      <c r="AB734" t="s">
        <v>6415</v>
      </c>
      <c r="AC734" t="s">
        <v>74</v>
      </c>
      <c r="AD734" t="s">
        <v>74</v>
      </c>
      <c r="AE734" t="s">
        <v>74</v>
      </c>
      <c r="AF734" t="s">
        <v>74</v>
      </c>
      <c r="AG734" t="s">
        <v>74</v>
      </c>
      <c r="AH734" t="s">
        <v>74</v>
      </c>
      <c r="AI734" t="s">
        <v>74</v>
      </c>
      <c r="AJ734" t="s">
        <v>74</v>
      </c>
      <c r="AK734" t="s">
        <v>74</v>
      </c>
      <c r="AL734" t="s">
        <v>74</v>
      </c>
      <c r="AM734" t="s">
        <v>74</v>
      </c>
      <c r="AN734" t="s">
        <v>74</v>
      </c>
      <c r="AO734" t="s">
        <v>5437</v>
      </c>
      <c r="AP734" t="s">
        <v>74</v>
      </c>
      <c r="AQ734" t="s">
        <v>74</v>
      </c>
      <c r="AR734" t="s">
        <v>74</v>
      </c>
      <c r="AS734" t="s">
        <v>74</v>
      </c>
      <c r="AT734" t="s">
        <v>6416</v>
      </c>
      <c r="AU734">
        <v>2018</v>
      </c>
      <c r="AV734">
        <v>3</v>
      </c>
      <c r="AW734">
        <v>32</v>
      </c>
      <c r="AX734" t="s">
        <v>74</v>
      </c>
      <c r="AY734" t="s">
        <v>74</v>
      </c>
      <c r="AZ734" t="s">
        <v>74</v>
      </c>
      <c r="BA734" t="s">
        <v>74</v>
      </c>
      <c r="BB734">
        <v>9293</v>
      </c>
      <c r="BC734">
        <v>9300</v>
      </c>
      <c r="BD734" t="s">
        <v>74</v>
      </c>
      <c r="BE734" t="s">
        <v>6417</v>
      </c>
      <c r="BF734" t="str">
        <f>HYPERLINK("http://dx.doi.org/10.1002/slct.201801954","http://dx.doi.org/10.1002/slct.201801954")</f>
        <v>http://dx.doi.org/10.1002/slct.201801954</v>
      </c>
      <c r="BG734" t="s">
        <v>74</v>
      </c>
      <c r="BH734" t="s">
        <v>74</v>
      </c>
      <c r="BI734" t="s">
        <v>74</v>
      </c>
      <c r="BJ734" t="s">
        <v>74</v>
      </c>
      <c r="BK734" t="s">
        <v>74</v>
      </c>
      <c r="BL734" t="s">
        <v>74</v>
      </c>
      <c r="BM734" t="s">
        <v>74</v>
      </c>
      <c r="BN734" t="s">
        <v>74</v>
      </c>
      <c r="BO734" t="s">
        <v>74</v>
      </c>
      <c r="BP734" t="s">
        <v>74</v>
      </c>
      <c r="BQ734" t="s">
        <v>74</v>
      </c>
      <c r="BR734" t="s">
        <v>74</v>
      </c>
      <c r="BS734" t="s">
        <v>6418</v>
      </c>
      <c r="BT734" t="str">
        <f>HYPERLINK("https%3A%2F%2Fwww.webofscience.com%2Fwos%2Fwoscc%2Ffull-record%2FWOS:000443225100016","View Full Record in Web of Science")</f>
        <v>View Full Record in Web of Science</v>
      </c>
    </row>
    <row r="735" spans="1:72" x14ac:dyDescent="0.2">
      <c r="A735" t="s">
        <v>72</v>
      </c>
      <c r="B735" t="s">
        <v>6419</v>
      </c>
      <c r="C735" t="s">
        <v>74</v>
      </c>
      <c r="D735" t="s">
        <v>74</v>
      </c>
      <c r="E735" t="s">
        <v>74</v>
      </c>
      <c r="F735" t="s">
        <v>6420</v>
      </c>
      <c r="G735" t="s">
        <v>74</v>
      </c>
      <c r="H735" t="s">
        <v>74</v>
      </c>
      <c r="I735" t="s">
        <v>6421</v>
      </c>
      <c r="J735" t="s">
        <v>289</v>
      </c>
      <c r="K735" t="s">
        <v>74</v>
      </c>
      <c r="L735" t="s">
        <v>74</v>
      </c>
      <c r="M735" t="s">
        <v>74</v>
      </c>
      <c r="N735" t="s">
        <v>74</v>
      </c>
      <c r="O735" t="s">
        <v>74</v>
      </c>
      <c r="P735" t="s">
        <v>74</v>
      </c>
      <c r="Q735" t="s">
        <v>74</v>
      </c>
      <c r="R735" t="s">
        <v>74</v>
      </c>
      <c r="S735" t="s">
        <v>74</v>
      </c>
      <c r="T735" t="s">
        <v>74</v>
      </c>
      <c r="U735" t="s">
        <v>74</v>
      </c>
      <c r="V735" t="s">
        <v>6422</v>
      </c>
      <c r="W735" t="s">
        <v>74</v>
      </c>
      <c r="X735" t="s">
        <v>74</v>
      </c>
      <c r="Y735" t="s">
        <v>74</v>
      </c>
      <c r="Z735" t="s">
        <v>74</v>
      </c>
      <c r="AA735" t="s">
        <v>6423</v>
      </c>
      <c r="AB735" t="s">
        <v>6424</v>
      </c>
      <c r="AC735" t="s">
        <v>74</v>
      </c>
      <c r="AD735" t="s">
        <v>74</v>
      </c>
      <c r="AE735" t="s">
        <v>74</v>
      </c>
      <c r="AF735" t="s">
        <v>74</v>
      </c>
      <c r="AG735" t="s">
        <v>74</v>
      </c>
      <c r="AH735" t="s">
        <v>74</v>
      </c>
      <c r="AI735" t="s">
        <v>74</v>
      </c>
      <c r="AJ735" t="s">
        <v>74</v>
      </c>
      <c r="AK735" t="s">
        <v>74</v>
      </c>
      <c r="AL735" t="s">
        <v>74</v>
      </c>
      <c r="AM735" t="s">
        <v>74</v>
      </c>
      <c r="AN735" t="s">
        <v>74</v>
      </c>
      <c r="AO735" t="s">
        <v>292</v>
      </c>
      <c r="AP735" t="s">
        <v>293</v>
      </c>
      <c r="AQ735" t="s">
        <v>74</v>
      </c>
      <c r="AR735" t="s">
        <v>74</v>
      </c>
      <c r="AS735" t="s">
        <v>74</v>
      </c>
      <c r="AT735" t="s">
        <v>6425</v>
      </c>
      <c r="AU735">
        <v>2018</v>
      </c>
      <c r="AV735">
        <v>30</v>
      </c>
      <c r="AW735">
        <v>35</v>
      </c>
      <c r="AX735" t="s">
        <v>74</v>
      </c>
      <c r="AY735" t="s">
        <v>74</v>
      </c>
      <c r="AZ735" t="s">
        <v>74</v>
      </c>
      <c r="BA735" t="s">
        <v>74</v>
      </c>
      <c r="BB735" t="s">
        <v>74</v>
      </c>
      <c r="BC735" t="s">
        <v>74</v>
      </c>
      <c r="BD735">
        <v>1801409</v>
      </c>
      <c r="BE735" t="s">
        <v>6426</v>
      </c>
      <c r="BF735" t="str">
        <f>HYPERLINK("http://dx.doi.org/10.1002/adma.201801409","http://dx.doi.org/10.1002/adma.201801409")</f>
        <v>http://dx.doi.org/10.1002/adma.201801409</v>
      </c>
      <c r="BG735" t="s">
        <v>74</v>
      </c>
      <c r="BH735" t="s">
        <v>74</v>
      </c>
      <c r="BI735" t="s">
        <v>74</v>
      </c>
      <c r="BJ735" t="s">
        <v>74</v>
      </c>
      <c r="BK735" t="s">
        <v>74</v>
      </c>
      <c r="BL735" t="s">
        <v>74</v>
      </c>
      <c r="BM735" t="s">
        <v>74</v>
      </c>
      <c r="BN735">
        <v>29995328</v>
      </c>
      <c r="BO735" t="s">
        <v>74</v>
      </c>
      <c r="BP735" t="s">
        <v>74</v>
      </c>
      <c r="BQ735" t="s">
        <v>74</v>
      </c>
      <c r="BR735" t="s">
        <v>74</v>
      </c>
      <c r="BS735" t="s">
        <v>6427</v>
      </c>
      <c r="BT735" t="str">
        <f>HYPERLINK("https%3A%2F%2Fwww.webofscience.com%2Fwos%2Fwoscc%2Ffull-record%2FWOS:000442732400006","View Full Record in Web of Science")</f>
        <v>View Full Record in Web of Science</v>
      </c>
    </row>
    <row r="736" spans="1:72" x14ac:dyDescent="0.2">
      <c r="A736" t="s">
        <v>72</v>
      </c>
      <c r="B736" t="s">
        <v>6428</v>
      </c>
      <c r="C736" t="s">
        <v>74</v>
      </c>
      <c r="D736" t="s">
        <v>74</v>
      </c>
      <c r="E736" t="s">
        <v>74</v>
      </c>
      <c r="F736" t="s">
        <v>6429</v>
      </c>
      <c r="G736" t="s">
        <v>74</v>
      </c>
      <c r="H736" t="s">
        <v>74</v>
      </c>
      <c r="I736" t="s">
        <v>6430</v>
      </c>
      <c r="J736" t="s">
        <v>1040</v>
      </c>
      <c r="K736" t="s">
        <v>74</v>
      </c>
      <c r="L736" t="s">
        <v>74</v>
      </c>
      <c r="M736" t="s">
        <v>74</v>
      </c>
      <c r="N736" t="s">
        <v>74</v>
      </c>
      <c r="O736" t="s">
        <v>74</v>
      </c>
      <c r="P736" t="s">
        <v>74</v>
      </c>
      <c r="Q736" t="s">
        <v>74</v>
      </c>
      <c r="R736" t="s">
        <v>74</v>
      </c>
      <c r="S736" t="s">
        <v>74</v>
      </c>
      <c r="T736" t="s">
        <v>74</v>
      </c>
      <c r="U736" t="s">
        <v>74</v>
      </c>
      <c r="V736" t="s">
        <v>6431</v>
      </c>
      <c r="W736" t="s">
        <v>74</v>
      </c>
      <c r="X736" t="s">
        <v>74</v>
      </c>
      <c r="Y736" t="s">
        <v>74</v>
      </c>
      <c r="Z736" t="s">
        <v>74</v>
      </c>
      <c r="AA736" t="s">
        <v>6432</v>
      </c>
      <c r="AB736" t="s">
        <v>74</v>
      </c>
      <c r="AC736" t="s">
        <v>74</v>
      </c>
      <c r="AD736" t="s">
        <v>74</v>
      </c>
      <c r="AE736" t="s">
        <v>74</v>
      </c>
      <c r="AF736" t="s">
        <v>74</v>
      </c>
      <c r="AG736" t="s">
        <v>74</v>
      </c>
      <c r="AH736" t="s">
        <v>74</v>
      </c>
      <c r="AI736" t="s">
        <v>74</v>
      </c>
      <c r="AJ736" t="s">
        <v>74</v>
      </c>
      <c r="AK736" t="s">
        <v>74</v>
      </c>
      <c r="AL736" t="s">
        <v>74</v>
      </c>
      <c r="AM736" t="s">
        <v>74</v>
      </c>
      <c r="AN736" t="s">
        <v>74</v>
      </c>
      <c r="AO736" t="s">
        <v>1043</v>
      </c>
      <c r="AP736" t="s">
        <v>1044</v>
      </c>
      <c r="AQ736" t="s">
        <v>74</v>
      </c>
      <c r="AR736" t="s">
        <v>74</v>
      </c>
      <c r="AS736" t="s">
        <v>74</v>
      </c>
      <c r="AT736" t="s">
        <v>4648</v>
      </c>
      <c r="AU736">
        <v>2018</v>
      </c>
      <c r="AV736">
        <v>20</v>
      </c>
      <c r="AW736">
        <v>31</v>
      </c>
      <c r="AX736" t="s">
        <v>74</v>
      </c>
      <c r="AY736" t="s">
        <v>74</v>
      </c>
      <c r="AZ736" t="s">
        <v>74</v>
      </c>
      <c r="BA736" t="s">
        <v>74</v>
      </c>
      <c r="BB736">
        <v>20726</v>
      </c>
      <c r="BC736">
        <v>20731</v>
      </c>
      <c r="BD736" t="s">
        <v>74</v>
      </c>
      <c r="BE736" t="s">
        <v>6433</v>
      </c>
      <c r="BF736" t="str">
        <f>HYPERLINK("http://dx.doi.org/10.1039/c8cp03447h","http://dx.doi.org/10.1039/c8cp03447h")</f>
        <v>http://dx.doi.org/10.1039/c8cp03447h</v>
      </c>
      <c r="BG736" t="s">
        <v>74</v>
      </c>
      <c r="BH736" t="s">
        <v>74</v>
      </c>
      <c r="BI736" t="s">
        <v>74</v>
      </c>
      <c r="BJ736" t="s">
        <v>74</v>
      </c>
      <c r="BK736" t="s">
        <v>74</v>
      </c>
      <c r="BL736" t="s">
        <v>74</v>
      </c>
      <c r="BM736" t="s">
        <v>74</v>
      </c>
      <c r="BN736">
        <v>30062327</v>
      </c>
      <c r="BO736" t="s">
        <v>74</v>
      </c>
      <c r="BP736" t="s">
        <v>74</v>
      </c>
      <c r="BQ736" t="s">
        <v>74</v>
      </c>
      <c r="BR736" t="s">
        <v>74</v>
      </c>
      <c r="BS736" t="s">
        <v>6434</v>
      </c>
      <c r="BT736" t="str">
        <f>HYPERLINK("https%3A%2F%2Fwww.webofscience.com%2Fwos%2Fwoscc%2Ffull-record%2FWOS:000442270800040","View Full Record in Web of Science")</f>
        <v>View Full Record in Web of Science</v>
      </c>
    </row>
    <row r="737" spans="1:72" x14ac:dyDescent="0.2">
      <c r="A737" t="s">
        <v>72</v>
      </c>
      <c r="B737" t="s">
        <v>6435</v>
      </c>
      <c r="C737" t="s">
        <v>74</v>
      </c>
      <c r="D737" t="s">
        <v>74</v>
      </c>
      <c r="E737" t="s">
        <v>74</v>
      </c>
      <c r="F737" t="s">
        <v>6436</v>
      </c>
      <c r="G737" t="s">
        <v>74</v>
      </c>
      <c r="H737" t="s">
        <v>74</v>
      </c>
      <c r="I737" t="s">
        <v>6437</v>
      </c>
      <c r="J737" t="s">
        <v>411</v>
      </c>
      <c r="K737" t="s">
        <v>74</v>
      </c>
      <c r="L737" t="s">
        <v>74</v>
      </c>
      <c r="M737" t="s">
        <v>74</v>
      </c>
      <c r="N737" t="s">
        <v>74</v>
      </c>
      <c r="O737" t="s">
        <v>74</v>
      </c>
      <c r="P737" t="s">
        <v>74</v>
      </c>
      <c r="Q737" t="s">
        <v>74</v>
      </c>
      <c r="R737" t="s">
        <v>74</v>
      </c>
      <c r="S737" t="s">
        <v>74</v>
      </c>
      <c r="T737" t="s">
        <v>74</v>
      </c>
      <c r="U737" t="s">
        <v>74</v>
      </c>
      <c r="V737" t="s">
        <v>6438</v>
      </c>
      <c r="W737" t="s">
        <v>74</v>
      </c>
      <c r="X737" t="s">
        <v>74</v>
      </c>
      <c r="Y737" t="s">
        <v>74</v>
      </c>
      <c r="Z737" t="s">
        <v>74</v>
      </c>
      <c r="AA737" t="s">
        <v>6439</v>
      </c>
      <c r="AB737" t="s">
        <v>6440</v>
      </c>
      <c r="AC737" t="s">
        <v>74</v>
      </c>
      <c r="AD737" t="s">
        <v>74</v>
      </c>
      <c r="AE737" t="s">
        <v>74</v>
      </c>
      <c r="AF737" t="s">
        <v>74</v>
      </c>
      <c r="AG737" t="s">
        <v>74</v>
      </c>
      <c r="AH737" t="s">
        <v>74</v>
      </c>
      <c r="AI737" t="s">
        <v>74</v>
      </c>
      <c r="AJ737" t="s">
        <v>74</v>
      </c>
      <c r="AK737" t="s">
        <v>74</v>
      </c>
      <c r="AL737" t="s">
        <v>74</v>
      </c>
      <c r="AM737" t="s">
        <v>74</v>
      </c>
      <c r="AN737" t="s">
        <v>74</v>
      </c>
      <c r="AO737" t="s">
        <v>414</v>
      </c>
      <c r="AP737" t="s">
        <v>415</v>
      </c>
      <c r="AQ737" t="s">
        <v>74</v>
      </c>
      <c r="AR737" t="s">
        <v>74</v>
      </c>
      <c r="AS737" t="s">
        <v>74</v>
      </c>
      <c r="AT737" t="s">
        <v>6441</v>
      </c>
      <c r="AU737">
        <v>2018</v>
      </c>
      <c r="AV737">
        <v>14</v>
      </c>
      <c r="AW737">
        <v>31</v>
      </c>
      <c r="AX737" t="s">
        <v>74</v>
      </c>
      <c r="AY737" t="s">
        <v>74</v>
      </c>
      <c r="AZ737" t="s">
        <v>74</v>
      </c>
      <c r="BA737" t="s">
        <v>74</v>
      </c>
      <c r="BB737" t="s">
        <v>74</v>
      </c>
      <c r="BC737" t="s">
        <v>74</v>
      </c>
      <c r="BD737">
        <v>1801420</v>
      </c>
      <c r="BE737" t="s">
        <v>6442</v>
      </c>
      <c r="BF737" t="str">
        <f>HYPERLINK("http://dx.doi.org/10.1002/smll.201801420","http://dx.doi.org/10.1002/smll.201801420")</f>
        <v>http://dx.doi.org/10.1002/smll.201801420</v>
      </c>
      <c r="BG737" t="s">
        <v>74</v>
      </c>
      <c r="BH737" t="s">
        <v>74</v>
      </c>
      <c r="BI737" t="s">
        <v>74</v>
      </c>
      <c r="BJ737" t="s">
        <v>74</v>
      </c>
      <c r="BK737" t="s">
        <v>74</v>
      </c>
      <c r="BL737" t="s">
        <v>74</v>
      </c>
      <c r="BM737" t="s">
        <v>74</v>
      </c>
      <c r="BN737">
        <v>29971933</v>
      </c>
      <c r="BO737" t="s">
        <v>74</v>
      </c>
      <c r="BP737" t="s">
        <v>74</v>
      </c>
      <c r="BQ737" t="s">
        <v>74</v>
      </c>
      <c r="BR737" t="s">
        <v>74</v>
      </c>
      <c r="BS737" t="s">
        <v>6443</v>
      </c>
      <c r="BT737" t="str">
        <f>HYPERLINK("https%3A%2F%2Fwww.webofscience.com%2Fwos%2Fwoscc%2Ffull-record%2FWOS:000440561400016","View Full Record in Web of Science")</f>
        <v>View Full Record in Web of Science</v>
      </c>
    </row>
    <row r="738" spans="1:72" x14ac:dyDescent="0.2">
      <c r="A738" t="s">
        <v>72</v>
      </c>
      <c r="B738" t="s">
        <v>6444</v>
      </c>
      <c r="C738" t="s">
        <v>74</v>
      </c>
      <c r="D738" t="s">
        <v>74</v>
      </c>
      <c r="E738" t="s">
        <v>74</v>
      </c>
      <c r="F738" t="s">
        <v>6445</v>
      </c>
      <c r="G738" t="s">
        <v>74</v>
      </c>
      <c r="H738" t="s">
        <v>74</v>
      </c>
      <c r="I738" t="s">
        <v>6446</v>
      </c>
      <c r="J738" t="s">
        <v>488</v>
      </c>
      <c r="K738" t="s">
        <v>74</v>
      </c>
      <c r="L738" t="s">
        <v>74</v>
      </c>
      <c r="M738" t="s">
        <v>74</v>
      </c>
      <c r="N738" t="s">
        <v>74</v>
      </c>
      <c r="O738" t="s">
        <v>74</v>
      </c>
      <c r="P738" t="s">
        <v>74</v>
      </c>
      <c r="Q738" t="s">
        <v>74</v>
      </c>
      <c r="R738" t="s">
        <v>74</v>
      </c>
      <c r="S738" t="s">
        <v>74</v>
      </c>
      <c r="T738" t="s">
        <v>74</v>
      </c>
      <c r="U738" t="s">
        <v>74</v>
      </c>
      <c r="V738" t="s">
        <v>6447</v>
      </c>
      <c r="W738" t="s">
        <v>74</v>
      </c>
      <c r="X738" t="s">
        <v>74</v>
      </c>
      <c r="Y738" t="s">
        <v>74</v>
      </c>
      <c r="Z738" t="s">
        <v>74</v>
      </c>
      <c r="AA738" t="s">
        <v>6448</v>
      </c>
      <c r="AB738" t="s">
        <v>6449</v>
      </c>
      <c r="AC738" t="s">
        <v>74</v>
      </c>
      <c r="AD738" t="s">
        <v>74</v>
      </c>
      <c r="AE738" t="s">
        <v>74</v>
      </c>
      <c r="AF738" t="s">
        <v>74</v>
      </c>
      <c r="AG738" t="s">
        <v>74</v>
      </c>
      <c r="AH738" t="s">
        <v>74</v>
      </c>
      <c r="AI738" t="s">
        <v>74</v>
      </c>
      <c r="AJ738" t="s">
        <v>74</v>
      </c>
      <c r="AK738" t="s">
        <v>74</v>
      </c>
      <c r="AL738" t="s">
        <v>74</v>
      </c>
      <c r="AM738" t="s">
        <v>74</v>
      </c>
      <c r="AN738" t="s">
        <v>74</v>
      </c>
      <c r="AO738" t="s">
        <v>491</v>
      </c>
      <c r="AP738" t="s">
        <v>74</v>
      </c>
      <c r="AQ738" t="s">
        <v>74</v>
      </c>
      <c r="AR738" t="s">
        <v>74</v>
      </c>
      <c r="AS738" t="s">
        <v>74</v>
      </c>
      <c r="AT738" t="s">
        <v>629</v>
      </c>
      <c r="AU738">
        <v>2018</v>
      </c>
      <c r="AV738">
        <v>6</v>
      </c>
      <c r="AW738">
        <v>8</v>
      </c>
      <c r="AX738" t="s">
        <v>74</v>
      </c>
      <c r="AY738" t="s">
        <v>74</v>
      </c>
      <c r="AZ738" t="s">
        <v>74</v>
      </c>
      <c r="BA738" t="s">
        <v>74</v>
      </c>
      <c r="BB738">
        <v>9661</v>
      </c>
      <c r="BC738">
        <v>9670</v>
      </c>
      <c r="BD738" t="s">
        <v>74</v>
      </c>
      <c r="BE738" t="s">
        <v>6450</v>
      </c>
      <c r="BF738" t="str">
        <f>HYPERLINK("http://dx.doi.org/10.1021/acssuschemeng.8b00378","http://dx.doi.org/10.1021/acssuschemeng.8b00378")</f>
        <v>http://dx.doi.org/10.1021/acssuschemeng.8b00378</v>
      </c>
      <c r="BG738" t="s">
        <v>74</v>
      </c>
      <c r="BH738" t="s">
        <v>74</v>
      </c>
      <c r="BI738" t="s">
        <v>74</v>
      </c>
      <c r="BJ738" t="s">
        <v>74</v>
      </c>
      <c r="BK738" t="s">
        <v>74</v>
      </c>
      <c r="BL738" t="s">
        <v>74</v>
      </c>
      <c r="BM738" t="s">
        <v>74</v>
      </c>
      <c r="BN738" t="s">
        <v>74</v>
      </c>
      <c r="BO738" t="s">
        <v>74</v>
      </c>
      <c r="BP738" t="s">
        <v>74</v>
      </c>
      <c r="BQ738" t="s">
        <v>74</v>
      </c>
      <c r="BR738" t="s">
        <v>74</v>
      </c>
      <c r="BS738" t="s">
        <v>6451</v>
      </c>
      <c r="BT738" t="str">
        <f>HYPERLINK("https%3A%2F%2Fwww.webofscience.com%2Fwos%2Fwoscc%2Ffull-record%2FWOS:000441475500019","View Full Record in Web of Science")</f>
        <v>View Full Record in Web of Science</v>
      </c>
    </row>
    <row r="739" spans="1:72" x14ac:dyDescent="0.2">
      <c r="A739" t="s">
        <v>72</v>
      </c>
      <c r="B739" t="s">
        <v>6452</v>
      </c>
      <c r="C739" t="s">
        <v>74</v>
      </c>
      <c r="D739" t="s">
        <v>74</v>
      </c>
      <c r="E739" t="s">
        <v>74</v>
      </c>
      <c r="F739" t="s">
        <v>6453</v>
      </c>
      <c r="G739" t="s">
        <v>74</v>
      </c>
      <c r="H739" t="s">
        <v>74</v>
      </c>
      <c r="I739" t="s">
        <v>6454</v>
      </c>
      <c r="J739" t="s">
        <v>278</v>
      </c>
      <c r="K739" t="s">
        <v>74</v>
      </c>
      <c r="L739" t="s">
        <v>74</v>
      </c>
      <c r="M739" t="s">
        <v>74</v>
      </c>
      <c r="N739" t="s">
        <v>74</v>
      </c>
      <c r="O739" t="s">
        <v>74</v>
      </c>
      <c r="P739" t="s">
        <v>74</v>
      </c>
      <c r="Q739" t="s">
        <v>74</v>
      </c>
      <c r="R739" t="s">
        <v>74</v>
      </c>
      <c r="S739" t="s">
        <v>74</v>
      </c>
      <c r="T739" t="s">
        <v>74</v>
      </c>
      <c r="U739" t="s">
        <v>74</v>
      </c>
      <c r="V739" t="s">
        <v>6455</v>
      </c>
      <c r="W739" t="s">
        <v>74</v>
      </c>
      <c r="X739" t="s">
        <v>74</v>
      </c>
      <c r="Y739" t="s">
        <v>74</v>
      </c>
      <c r="Z739" t="s">
        <v>74</v>
      </c>
      <c r="AA739" t="s">
        <v>6456</v>
      </c>
      <c r="AB739" t="s">
        <v>6457</v>
      </c>
      <c r="AC739" t="s">
        <v>74</v>
      </c>
      <c r="AD739" t="s">
        <v>74</v>
      </c>
      <c r="AE739" t="s">
        <v>74</v>
      </c>
      <c r="AF739" t="s">
        <v>74</v>
      </c>
      <c r="AG739" t="s">
        <v>74</v>
      </c>
      <c r="AH739" t="s">
        <v>74</v>
      </c>
      <c r="AI739" t="s">
        <v>74</v>
      </c>
      <c r="AJ739" t="s">
        <v>74</v>
      </c>
      <c r="AK739" t="s">
        <v>74</v>
      </c>
      <c r="AL739" t="s">
        <v>74</v>
      </c>
      <c r="AM739" t="s">
        <v>74</v>
      </c>
      <c r="AN739" t="s">
        <v>74</v>
      </c>
      <c r="AO739" t="s">
        <v>281</v>
      </c>
      <c r="AP739" t="s">
        <v>282</v>
      </c>
      <c r="AQ739" t="s">
        <v>74</v>
      </c>
      <c r="AR739" t="s">
        <v>74</v>
      </c>
      <c r="AS739" t="s">
        <v>74</v>
      </c>
      <c r="AT739" t="s">
        <v>6458</v>
      </c>
      <c r="AU739">
        <v>2018</v>
      </c>
      <c r="AV739">
        <v>6</v>
      </c>
      <c r="AW739">
        <v>27</v>
      </c>
      <c r="AX739" t="s">
        <v>74</v>
      </c>
      <c r="AY739" t="s">
        <v>74</v>
      </c>
      <c r="AZ739" t="s">
        <v>74</v>
      </c>
      <c r="BA739" t="s">
        <v>74</v>
      </c>
      <c r="BB739">
        <v>13244</v>
      </c>
      <c r="BC739">
        <v>13253</v>
      </c>
      <c r="BD739" t="s">
        <v>74</v>
      </c>
      <c r="BE739" t="s">
        <v>6459</v>
      </c>
      <c r="BF739" t="str">
        <f>HYPERLINK("http://dx.doi.org/10.1039/c8ta03388a","http://dx.doi.org/10.1039/c8ta03388a")</f>
        <v>http://dx.doi.org/10.1039/c8ta03388a</v>
      </c>
      <c r="BG739" t="s">
        <v>74</v>
      </c>
      <c r="BH739" t="s">
        <v>74</v>
      </c>
      <c r="BI739" t="s">
        <v>74</v>
      </c>
      <c r="BJ739" t="s">
        <v>74</v>
      </c>
      <c r="BK739" t="s">
        <v>74</v>
      </c>
      <c r="BL739" t="s">
        <v>74</v>
      </c>
      <c r="BM739" t="s">
        <v>74</v>
      </c>
      <c r="BN739" t="s">
        <v>74</v>
      </c>
      <c r="BO739" t="s">
        <v>74</v>
      </c>
      <c r="BP739" t="s">
        <v>74</v>
      </c>
      <c r="BQ739" t="s">
        <v>74</v>
      </c>
      <c r="BR739" t="s">
        <v>74</v>
      </c>
      <c r="BS739" t="s">
        <v>6460</v>
      </c>
      <c r="BT739" t="str">
        <f>HYPERLINK("https%3A%2F%2Fwww.webofscience.com%2Fwos%2Fwoscc%2Ffull-record%2FWOS:000438548800035","View Full Record in Web of Science")</f>
        <v>View Full Record in Web of Science</v>
      </c>
    </row>
    <row r="740" spans="1:72" x14ac:dyDescent="0.2">
      <c r="A740" t="s">
        <v>72</v>
      </c>
      <c r="B740" t="s">
        <v>6461</v>
      </c>
      <c r="C740" t="s">
        <v>74</v>
      </c>
      <c r="D740" t="s">
        <v>74</v>
      </c>
      <c r="E740" t="s">
        <v>74</v>
      </c>
      <c r="F740" t="s">
        <v>6462</v>
      </c>
      <c r="G740" t="s">
        <v>74</v>
      </c>
      <c r="H740" t="s">
        <v>74</v>
      </c>
      <c r="I740" t="s">
        <v>6463</v>
      </c>
      <c r="J740" t="s">
        <v>151</v>
      </c>
      <c r="K740" t="s">
        <v>74</v>
      </c>
      <c r="L740" t="s">
        <v>74</v>
      </c>
      <c r="M740" t="s">
        <v>74</v>
      </c>
      <c r="N740" t="s">
        <v>74</v>
      </c>
      <c r="O740" t="s">
        <v>74</v>
      </c>
      <c r="P740" t="s">
        <v>74</v>
      </c>
      <c r="Q740" t="s">
        <v>74</v>
      </c>
      <c r="R740" t="s">
        <v>74</v>
      </c>
      <c r="S740" t="s">
        <v>74</v>
      </c>
      <c r="T740" t="s">
        <v>74</v>
      </c>
      <c r="U740" t="s">
        <v>74</v>
      </c>
      <c r="V740" t="s">
        <v>6464</v>
      </c>
      <c r="W740" t="s">
        <v>74</v>
      </c>
      <c r="X740" t="s">
        <v>74</v>
      </c>
      <c r="Y740" t="s">
        <v>74</v>
      </c>
      <c r="Z740" t="s">
        <v>74</v>
      </c>
      <c r="AA740" t="s">
        <v>6465</v>
      </c>
      <c r="AB740" t="s">
        <v>6466</v>
      </c>
      <c r="AC740" t="s">
        <v>74</v>
      </c>
      <c r="AD740" t="s">
        <v>74</v>
      </c>
      <c r="AE740" t="s">
        <v>74</v>
      </c>
      <c r="AF740" t="s">
        <v>74</v>
      </c>
      <c r="AG740" t="s">
        <v>74</v>
      </c>
      <c r="AH740" t="s">
        <v>74</v>
      </c>
      <c r="AI740" t="s">
        <v>74</v>
      </c>
      <c r="AJ740" t="s">
        <v>74</v>
      </c>
      <c r="AK740" t="s">
        <v>74</v>
      </c>
      <c r="AL740" t="s">
        <v>74</v>
      </c>
      <c r="AM740" t="s">
        <v>74</v>
      </c>
      <c r="AN740" t="s">
        <v>74</v>
      </c>
      <c r="AO740" t="s">
        <v>153</v>
      </c>
      <c r="AP740" t="s">
        <v>74</v>
      </c>
      <c r="AQ740" t="s">
        <v>74</v>
      </c>
      <c r="AR740" t="s">
        <v>74</v>
      </c>
      <c r="AS740" t="s">
        <v>74</v>
      </c>
      <c r="AT740" t="s">
        <v>368</v>
      </c>
      <c r="AU740">
        <v>2018</v>
      </c>
      <c r="AV740">
        <v>13</v>
      </c>
      <c r="AW740" t="s">
        <v>74</v>
      </c>
      <c r="AX740" t="s">
        <v>74</v>
      </c>
      <c r="AY740" t="s">
        <v>74</v>
      </c>
      <c r="AZ740" t="s">
        <v>74</v>
      </c>
      <c r="BA740" t="s">
        <v>74</v>
      </c>
      <c r="BB740">
        <v>80</v>
      </c>
      <c r="BC740">
        <v>87</v>
      </c>
      <c r="BD740" t="s">
        <v>74</v>
      </c>
      <c r="BE740" t="s">
        <v>6467</v>
      </c>
      <c r="BF740" t="str">
        <f>HYPERLINK("http://dx.doi.org/10.1016/j.ensm.2017.12.024","http://dx.doi.org/10.1016/j.ensm.2017.12.024")</f>
        <v>http://dx.doi.org/10.1016/j.ensm.2017.12.024</v>
      </c>
      <c r="BG740" t="s">
        <v>74</v>
      </c>
      <c r="BH740" t="s">
        <v>74</v>
      </c>
      <c r="BI740" t="s">
        <v>74</v>
      </c>
      <c r="BJ740" t="s">
        <v>74</v>
      </c>
      <c r="BK740" t="s">
        <v>74</v>
      </c>
      <c r="BL740" t="s">
        <v>74</v>
      </c>
      <c r="BM740" t="s">
        <v>74</v>
      </c>
      <c r="BN740" t="s">
        <v>74</v>
      </c>
      <c r="BO740" t="s">
        <v>74</v>
      </c>
      <c r="BP740" t="s">
        <v>74</v>
      </c>
      <c r="BQ740" t="s">
        <v>74</v>
      </c>
      <c r="BR740" t="s">
        <v>74</v>
      </c>
      <c r="BS740" t="s">
        <v>6468</v>
      </c>
      <c r="BT740" t="str">
        <f>HYPERLINK("https%3A%2F%2Fwww.webofscience.com%2Fwos%2Fwoscc%2Ffull-record%2FWOS:000436924800009","View Full Record in Web of Science")</f>
        <v>View Full Record in Web of Science</v>
      </c>
    </row>
    <row r="741" spans="1:72" x14ac:dyDescent="0.2">
      <c r="A741" t="s">
        <v>72</v>
      </c>
      <c r="B741" t="s">
        <v>6469</v>
      </c>
      <c r="C741" t="s">
        <v>74</v>
      </c>
      <c r="D741" t="s">
        <v>74</v>
      </c>
      <c r="E741" t="s">
        <v>74</v>
      </c>
      <c r="F741" t="s">
        <v>6470</v>
      </c>
      <c r="G741" t="s">
        <v>74</v>
      </c>
      <c r="H741" t="s">
        <v>74</v>
      </c>
      <c r="I741" t="s">
        <v>6471</v>
      </c>
      <c r="J741" t="s">
        <v>624</v>
      </c>
      <c r="K741" t="s">
        <v>74</v>
      </c>
      <c r="L741" t="s">
        <v>74</v>
      </c>
      <c r="M741" t="s">
        <v>74</v>
      </c>
      <c r="N741" t="s">
        <v>74</v>
      </c>
      <c r="O741" t="s">
        <v>74</v>
      </c>
      <c r="P741" t="s">
        <v>74</v>
      </c>
      <c r="Q741" t="s">
        <v>74</v>
      </c>
      <c r="R741" t="s">
        <v>74</v>
      </c>
      <c r="S741" t="s">
        <v>74</v>
      </c>
      <c r="T741" t="s">
        <v>74</v>
      </c>
      <c r="U741" t="s">
        <v>74</v>
      </c>
      <c r="V741" t="s">
        <v>6472</v>
      </c>
      <c r="W741" t="s">
        <v>74</v>
      </c>
      <c r="X741" t="s">
        <v>74</v>
      </c>
      <c r="Y741" t="s">
        <v>74</v>
      </c>
      <c r="Z741" t="s">
        <v>74</v>
      </c>
      <c r="AA741" t="s">
        <v>6473</v>
      </c>
      <c r="AB741" t="s">
        <v>6474</v>
      </c>
      <c r="AC741" t="s">
        <v>74</v>
      </c>
      <c r="AD741" t="s">
        <v>74</v>
      </c>
      <c r="AE741" t="s">
        <v>74</v>
      </c>
      <c r="AF741" t="s">
        <v>74</v>
      </c>
      <c r="AG741" t="s">
        <v>74</v>
      </c>
      <c r="AH741" t="s">
        <v>74</v>
      </c>
      <c r="AI741" t="s">
        <v>74</v>
      </c>
      <c r="AJ741" t="s">
        <v>74</v>
      </c>
      <c r="AK741" t="s">
        <v>74</v>
      </c>
      <c r="AL741" t="s">
        <v>74</v>
      </c>
      <c r="AM741" t="s">
        <v>74</v>
      </c>
      <c r="AN741" t="s">
        <v>74</v>
      </c>
      <c r="AO741" t="s">
        <v>627</v>
      </c>
      <c r="AP741" t="s">
        <v>628</v>
      </c>
      <c r="AQ741" t="s">
        <v>74</v>
      </c>
      <c r="AR741" t="s">
        <v>74</v>
      </c>
      <c r="AS741" t="s">
        <v>74</v>
      </c>
      <c r="AT741" t="s">
        <v>368</v>
      </c>
      <c r="AU741">
        <v>2018</v>
      </c>
      <c r="AV741">
        <v>49</v>
      </c>
      <c r="AW741" t="s">
        <v>74</v>
      </c>
      <c r="AX741" t="s">
        <v>74</v>
      </c>
      <c r="AY741" t="s">
        <v>74</v>
      </c>
      <c r="AZ741" t="s">
        <v>74</v>
      </c>
      <c r="BA741" t="s">
        <v>74</v>
      </c>
      <c r="BB741">
        <v>23</v>
      </c>
      <c r="BC741">
        <v>30</v>
      </c>
      <c r="BD741" t="s">
        <v>74</v>
      </c>
      <c r="BE741" t="s">
        <v>6475</v>
      </c>
      <c r="BF741" t="str">
        <f>HYPERLINK("http://dx.doi.org/10.1016/j.nanoen.2018.04.021","http://dx.doi.org/10.1016/j.nanoen.2018.04.021")</f>
        <v>http://dx.doi.org/10.1016/j.nanoen.2018.04.021</v>
      </c>
      <c r="BG741" t="s">
        <v>74</v>
      </c>
      <c r="BH741" t="s">
        <v>74</v>
      </c>
      <c r="BI741" t="s">
        <v>74</v>
      </c>
      <c r="BJ741" t="s">
        <v>74</v>
      </c>
      <c r="BK741" t="s">
        <v>74</v>
      </c>
      <c r="BL741" t="s">
        <v>74</v>
      </c>
      <c r="BM741" t="s">
        <v>74</v>
      </c>
      <c r="BN741" t="s">
        <v>74</v>
      </c>
      <c r="BO741" t="s">
        <v>74</v>
      </c>
      <c r="BP741" t="s">
        <v>74</v>
      </c>
      <c r="BQ741" t="s">
        <v>74</v>
      </c>
      <c r="BR741" t="s">
        <v>74</v>
      </c>
      <c r="BS741" t="s">
        <v>6476</v>
      </c>
      <c r="BT741" t="str">
        <f>HYPERLINK("https%3A%2F%2Fwww.webofscience.com%2Fwos%2Fwoscc%2Ffull-record%2FWOS:000434829500004","View Full Record in Web of Science")</f>
        <v>View Full Record in Web of Science</v>
      </c>
    </row>
    <row r="742" spans="1:72" x14ac:dyDescent="0.2">
      <c r="A742" t="s">
        <v>72</v>
      </c>
      <c r="B742" t="s">
        <v>6477</v>
      </c>
      <c r="C742" t="s">
        <v>74</v>
      </c>
      <c r="D742" t="s">
        <v>74</v>
      </c>
      <c r="E742" t="s">
        <v>74</v>
      </c>
      <c r="F742" t="s">
        <v>6478</v>
      </c>
      <c r="G742" t="s">
        <v>74</v>
      </c>
      <c r="H742" t="s">
        <v>74</v>
      </c>
      <c r="I742" t="s">
        <v>6479</v>
      </c>
      <c r="J742" t="s">
        <v>1209</v>
      </c>
      <c r="K742" t="s">
        <v>74</v>
      </c>
      <c r="L742" t="s">
        <v>74</v>
      </c>
      <c r="M742" t="s">
        <v>74</v>
      </c>
      <c r="N742" t="s">
        <v>74</v>
      </c>
      <c r="O742" t="s">
        <v>74</v>
      </c>
      <c r="P742" t="s">
        <v>74</v>
      </c>
      <c r="Q742" t="s">
        <v>74</v>
      </c>
      <c r="R742" t="s">
        <v>74</v>
      </c>
      <c r="S742" t="s">
        <v>74</v>
      </c>
      <c r="T742" t="s">
        <v>74</v>
      </c>
      <c r="U742" t="s">
        <v>74</v>
      </c>
      <c r="V742" t="s">
        <v>6480</v>
      </c>
      <c r="W742" t="s">
        <v>74</v>
      </c>
      <c r="X742" t="s">
        <v>74</v>
      </c>
      <c r="Y742" t="s">
        <v>74</v>
      </c>
      <c r="Z742" t="s">
        <v>74</v>
      </c>
      <c r="AA742" t="s">
        <v>6481</v>
      </c>
      <c r="AB742" t="s">
        <v>74</v>
      </c>
      <c r="AC742" t="s">
        <v>74</v>
      </c>
      <c r="AD742" t="s">
        <v>74</v>
      </c>
      <c r="AE742" t="s">
        <v>74</v>
      </c>
      <c r="AF742" t="s">
        <v>74</v>
      </c>
      <c r="AG742" t="s">
        <v>74</v>
      </c>
      <c r="AH742" t="s">
        <v>74</v>
      </c>
      <c r="AI742" t="s">
        <v>74</v>
      </c>
      <c r="AJ742" t="s">
        <v>74</v>
      </c>
      <c r="AK742" t="s">
        <v>74</v>
      </c>
      <c r="AL742" t="s">
        <v>74</v>
      </c>
      <c r="AM742" t="s">
        <v>74</v>
      </c>
      <c r="AN742" t="s">
        <v>74</v>
      </c>
      <c r="AO742" t="s">
        <v>1211</v>
      </c>
      <c r="AP742" t="s">
        <v>1212</v>
      </c>
      <c r="AQ742" t="s">
        <v>74</v>
      </c>
      <c r="AR742" t="s">
        <v>74</v>
      </c>
      <c r="AS742" t="s">
        <v>74</v>
      </c>
      <c r="AT742" t="s">
        <v>1972</v>
      </c>
      <c r="AU742">
        <v>2018</v>
      </c>
      <c r="AV742">
        <v>24</v>
      </c>
      <c r="AW742">
        <v>6</v>
      </c>
      <c r="AX742" t="s">
        <v>74</v>
      </c>
      <c r="AY742" t="s">
        <v>74</v>
      </c>
      <c r="AZ742" t="s">
        <v>74</v>
      </c>
      <c r="BA742" t="s">
        <v>74</v>
      </c>
      <c r="BB742">
        <v>1617</v>
      </c>
      <c r="BC742">
        <v>1628</v>
      </c>
      <c r="BD742" t="s">
        <v>74</v>
      </c>
      <c r="BE742" t="s">
        <v>6482</v>
      </c>
      <c r="BF742" t="str">
        <f>HYPERLINK("http://dx.doi.org/10.1007/s11581-017-2350-0","http://dx.doi.org/10.1007/s11581-017-2350-0")</f>
        <v>http://dx.doi.org/10.1007/s11581-017-2350-0</v>
      </c>
      <c r="BG742" t="s">
        <v>74</v>
      </c>
      <c r="BH742" t="s">
        <v>74</v>
      </c>
      <c r="BI742" t="s">
        <v>74</v>
      </c>
      <c r="BJ742" t="s">
        <v>74</v>
      </c>
      <c r="BK742" t="s">
        <v>74</v>
      </c>
      <c r="BL742" t="s">
        <v>74</v>
      </c>
      <c r="BM742" t="s">
        <v>74</v>
      </c>
      <c r="BN742" t="s">
        <v>74</v>
      </c>
      <c r="BO742" t="s">
        <v>74</v>
      </c>
      <c r="BP742" t="s">
        <v>74</v>
      </c>
      <c r="BQ742" t="s">
        <v>74</v>
      </c>
      <c r="BR742" t="s">
        <v>74</v>
      </c>
      <c r="BS742" t="s">
        <v>6483</v>
      </c>
      <c r="BT742" t="str">
        <f>HYPERLINK("https%3A%2F%2Fwww.webofscience.com%2Fwos%2Fwoscc%2Ffull-record%2FWOS:000432348300008","View Full Record in Web of Science")</f>
        <v>View Full Record in Web of Science</v>
      </c>
    </row>
    <row r="743" spans="1:72" x14ac:dyDescent="0.2">
      <c r="A743" t="s">
        <v>72</v>
      </c>
      <c r="B743" t="s">
        <v>6484</v>
      </c>
      <c r="C743" t="s">
        <v>74</v>
      </c>
      <c r="D743" t="s">
        <v>74</v>
      </c>
      <c r="E743" t="s">
        <v>74</v>
      </c>
      <c r="F743" t="s">
        <v>6485</v>
      </c>
      <c r="G743" t="s">
        <v>74</v>
      </c>
      <c r="H743" t="s">
        <v>74</v>
      </c>
      <c r="I743" t="s">
        <v>6486</v>
      </c>
      <c r="J743" t="s">
        <v>151</v>
      </c>
      <c r="K743" t="s">
        <v>74</v>
      </c>
      <c r="L743" t="s">
        <v>74</v>
      </c>
      <c r="M743" t="s">
        <v>74</v>
      </c>
      <c r="N743" t="s">
        <v>74</v>
      </c>
      <c r="O743" t="s">
        <v>74</v>
      </c>
      <c r="P743" t="s">
        <v>74</v>
      </c>
      <c r="Q743" t="s">
        <v>74</v>
      </c>
      <c r="R743" t="s">
        <v>74</v>
      </c>
      <c r="S743" t="s">
        <v>74</v>
      </c>
      <c r="T743" t="s">
        <v>74</v>
      </c>
      <c r="U743" t="s">
        <v>74</v>
      </c>
      <c r="V743" t="s">
        <v>6487</v>
      </c>
      <c r="W743" t="s">
        <v>74</v>
      </c>
      <c r="X743" t="s">
        <v>74</v>
      </c>
      <c r="Y743" t="s">
        <v>74</v>
      </c>
      <c r="Z743" t="s">
        <v>74</v>
      </c>
      <c r="AA743" t="s">
        <v>6488</v>
      </c>
      <c r="AB743" t="s">
        <v>6489</v>
      </c>
      <c r="AC743" t="s">
        <v>74</v>
      </c>
      <c r="AD743" t="s">
        <v>74</v>
      </c>
      <c r="AE743" t="s">
        <v>74</v>
      </c>
      <c r="AF743" t="s">
        <v>74</v>
      </c>
      <c r="AG743" t="s">
        <v>74</v>
      </c>
      <c r="AH743" t="s">
        <v>74</v>
      </c>
      <c r="AI743" t="s">
        <v>74</v>
      </c>
      <c r="AJ743" t="s">
        <v>74</v>
      </c>
      <c r="AK743" t="s">
        <v>74</v>
      </c>
      <c r="AL743" t="s">
        <v>74</v>
      </c>
      <c r="AM743" t="s">
        <v>74</v>
      </c>
      <c r="AN743" t="s">
        <v>74</v>
      </c>
      <c r="AO743" t="s">
        <v>153</v>
      </c>
      <c r="AP743" t="s">
        <v>74</v>
      </c>
      <c r="AQ743" t="s">
        <v>74</v>
      </c>
      <c r="AR743" t="s">
        <v>74</v>
      </c>
      <c r="AS743" t="s">
        <v>74</v>
      </c>
      <c r="AT743" t="s">
        <v>545</v>
      </c>
      <c r="AU743">
        <v>2018</v>
      </c>
      <c r="AV743">
        <v>12</v>
      </c>
      <c r="AW743" t="s">
        <v>74</v>
      </c>
      <c r="AX743" t="s">
        <v>74</v>
      </c>
      <c r="AY743" t="s">
        <v>74</v>
      </c>
      <c r="AZ743" t="s">
        <v>74</v>
      </c>
      <c r="BA743" t="s">
        <v>74</v>
      </c>
      <c r="BB743">
        <v>197</v>
      </c>
      <c r="BC743">
        <v>203</v>
      </c>
      <c r="BD743" t="s">
        <v>74</v>
      </c>
      <c r="BE743" t="s">
        <v>6490</v>
      </c>
      <c r="BF743" t="str">
        <f>HYPERLINK("http://dx.doi.org/10.1016/j.ensm.2017.12.019","http://dx.doi.org/10.1016/j.ensm.2017.12.019")</f>
        <v>http://dx.doi.org/10.1016/j.ensm.2017.12.019</v>
      </c>
      <c r="BG743" t="s">
        <v>74</v>
      </c>
      <c r="BH743" t="s">
        <v>74</v>
      </c>
      <c r="BI743" t="s">
        <v>74</v>
      </c>
      <c r="BJ743" t="s">
        <v>74</v>
      </c>
      <c r="BK743" t="s">
        <v>74</v>
      </c>
      <c r="BL743" t="s">
        <v>74</v>
      </c>
      <c r="BM743" t="s">
        <v>74</v>
      </c>
      <c r="BN743" t="s">
        <v>74</v>
      </c>
      <c r="BO743" t="s">
        <v>74</v>
      </c>
      <c r="BP743" t="s">
        <v>74</v>
      </c>
      <c r="BQ743" t="s">
        <v>74</v>
      </c>
      <c r="BR743" t="s">
        <v>74</v>
      </c>
      <c r="BS743" t="s">
        <v>6491</v>
      </c>
      <c r="BT743" t="str">
        <f>HYPERLINK("https%3A%2F%2Fwww.webofscience.com%2Fwos%2Fwoscc%2Ffull-record%2FWOS:000428083400025","View Full Record in Web of Science")</f>
        <v>View Full Record in Web of Science</v>
      </c>
    </row>
    <row r="744" spans="1:72" x14ac:dyDescent="0.2">
      <c r="A744" t="s">
        <v>72</v>
      </c>
      <c r="B744" t="s">
        <v>6492</v>
      </c>
      <c r="C744" t="s">
        <v>74</v>
      </c>
      <c r="D744" t="s">
        <v>74</v>
      </c>
      <c r="E744" t="s">
        <v>74</v>
      </c>
      <c r="F744" t="s">
        <v>6493</v>
      </c>
      <c r="G744" t="s">
        <v>74</v>
      </c>
      <c r="H744" t="s">
        <v>74</v>
      </c>
      <c r="I744" t="s">
        <v>6494</v>
      </c>
      <c r="J744" t="s">
        <v>352</v>
      </c>
      <c r="K744" t="s">
        <v>74</v>
      </c>
      <c r="L744" t="s">
        <v>74</v>
      </c>
      <c r="M744" t="s">
        <v>74</v>
      </c>
      <c r="N744" t="s">
        <v>74</v>
      </c>
      <c r="O744" t="s">
        <v>74</v>
      </c>
      <c r="P744" t="s">
        <v>74</v>
      </c>
      <c r="Q744" t="s">
        <v>74</v>
      </c>
      <c r="R744" t="s">
        <v>74</v>
      </c>
      <c r="S744" t="s">
        <v>74</v>
      </c>
      <c r="T744" t="s">
        <v>74</v>
      </c>
      <c r="U744" t="s">
        <v>74</v>
      </c>
      <c r="V744" t="s">
        <v>6495</v>
      </c>
      <c r="W744" t="s">
        <v>74</v>
      </c>
      <c r="X744" t="s">
        <v>74</v>
      </c>
      <c r="Y744" t="s">
        <v>74</v>
      </c>
      <c r="Z744" t="s">
        <v>74</v>
      </c>
      <c r="AA744" t="s">
        <v>6496</v>
      </c>
      <c r="AB744" t="s">
        <v>6497</v>
      </c>
      <c r="AC744" t="s">
        <v>74</v>
      </c>
      <c r="AD744" t="s">
        <v>74</v>
      </c>
      <c r="AE744" t="s">
        <v>74</v>
      </c>
      <c r="AF744" t="s">
        <v>74</v>
      </c>
      <c r="AG744" t="s">
        <v>74</v>
      </c>
      <c r="AH744" t="s">
        <v>74</v>
      </c>
      <c r="AI744" t="s">
        <v>74</v>
      </c>
      <c r="AJ744" t="s">
        <v>74</v>
      </c>
      <c r="AK744" t="s">
        <v>74</v>
      </c>
      <c r="AL744" t="s">
        <v>74</v>
      </c>
      <c r="AM744" t="s">
        <v>74</v>
      </c>
      <c r="AN744" t="s">
        <v>74</v>
      </c>
      <c r="AO744" t="s">
        <v>354</v>
      </c>
      <c r="AP744" t="s">
        <v>355</v>
      </c>
      <c r="AQ744" t="s">
        <v>74</v>
      </c>
      <c r="AR744" t="s">
        <v>74</v>
      </c>
      <c r="AS744" t="s">
        <v>74</v>
      </c>
      <c r="AT744" t="s">
        <v>945</v>
      </c>
      <c r="AU744">
        <v>2018</v>
      </c>
      <c r="AV744">
        <v>8</v>
      </c>
      <c r="AW744">
        <v>12</v>
      </c>
      <c r="AX744" t="s">
        <v>74</v>
      </c>
      <c r="AY744" t="s">
        <v>74</v>
      </c>
      <c r="AZ744" t="s">
        <v>74</v>
      </c>
      <c r="BA744" t="s">
        <v>74</v>
      </c>
      <c r="BB744" t="s">
        <v>74</v>
      </c>
      <c r="BC744" t="s">
        <v>74</v>
      </c>
      <c r="BD744">
        <v>1702947</v>
      </c>
      <c r="BE744" t="s">
        <v>6498</v>
      </c>
      <c r="BF744" t="str">
        <f>HYPERLINK("http://dx.doi.org/10.1002/aenm.201702947","http://dx.doi.org/10.1002/aenm.201702947")</f>
        <v>http://dx.doi.org/10.1002/aenm.201702947</v>
      </c>
      <c r="BG744" t="s">
        <v>74</v>
      </c>
      <c r="BH744" t="s">
        <v>74</v>
      </c>
      <c r="BI744" t="s">
        <v>74</v>
      </c>
      <c r="BJ744" t="s">
        <v>74</v>
      </c>
      <c r="BK744" t="s">
        <v>74</v>
      </c>
      <c r="BL744" t="s">
        <v>74</v>
      </c>
      <c r="BM744" t="s">
        <v>74</v>
      </c>
      <c r="BN744" t="s">
        <v>74</v>
      </c>
      <c r="BO744" t="s">
        <v>74</v>
      </c>
      <c r="BP744" t="s">
        <v>74</v>
      </c>
      <c r="BQ744" t="s">
        <v>74</v>
      </c>
      <c r="BR744" t="s">
        <v>74</v>
      </c>
      <c r="BS744" t="s">
        <v>6499</v>
      </c>
      <c r="BT744" t="str">
        <f>HYPERLINK("https%3A%2F%2Fwww.webofscience.com%2Fwos%2Fwoscc%2Ffull-record%2FWOS:000433706700026","View Full Record in Web of Science")</f>
        <v>View Full Record in Web of Science</v>
      </c>
    </row>
    <row r="745" spans="1:72" x14ac:dyDescent="0.2">
      <c r="A745" t="s">
        <v>72</v>
      </c>
      <c r="B745" t="s">
        <v>6500</v>
      </c>
      <c r="C745" t="s">
        <v>74</v>
      </c>
      <c r="D745" t="s">
        <v>74</v>
      </c>
      <c r="E745" t="s">
        <v>74</v>
      </c>
      <c r="F745" t="s">
        <v>6501</v>
      </c>
      <c r="G745" t="s">
        <v>74</v>
      </c>
      <c r="H745" t="s">
        <v>74</v>
      </c>
      <c r="I745" t="s">
        <v>6502</v>
      </c>
      <c r="J745" t="s">
        <v>1256</v>
      </c>
      <c r="K745" t="s">
        <v>74</v>
      </c>
      <c r="L745" t="s">
        <v>74</v>
      </c>
      <c r="M745" t="s">
        <v>74</v>
      </c>
      <c r="N745" t="s">
        <v>74</v>
      </c>
      <c r="O745" t="s">
        <v>74</v>
      </c>
      <c r="P745" t="s">
        <v>74</v>
      </c>
      <c r="Q745" t="s">
        <v>74</v>
      </c>
      <c r="R745" t="s">
        <v>74</v>
      </c>
      <c r="S745" t="s">
        <v>74</v>
      </c>
      <c r="T745" t="s">
        <v>74</v>
      </c>
      <c r="U745" t="s">
        <v>74</v>
      </c>
      <c r="V745" t="s">
        <v>6503</v>
      </c>
      <c r="W745" t="s">
        <v>74</v>
      </c>
      <c r="X745" t="s">
        <v>74</v>
      </c>
      <c r="Y745" t="s">
        <v>74</v>
      </c>
      <c r="Z745" t="s">
        <v>74</v>
      </c>
      <c r="AA745" t="s">
        <v>6504</v>
      </c>
      <c r="AB745" t="s">
        <v>6505</v>
      </c>
      <c r="AC745" t="s">
        <v>74</v>
      </c>
      <c r="AD745" t="s">
        <v>74</v>
      </c>
      <c r="AE745" t="s">
        <v>74</v>
      </c>
      <c r="AF745" t="s">
        <v>74</v>
      </c>
      <c r="AG745" t="s">
        <v>74</v>
      </c>
      <c r="AH745" t="s">
        <v>74</v>
      </c>
      <c r="AI745" t="s">
        <v>74</v>
      </c>
      <c r="AJ745" t="s">
        <v>74</v>
      </c>
      <c r="AK745" t="s">
        <v>74</v>
      </c>
      <c r="AL745" t="s">
        <v>74</v>
      </c>
      <c r="AM745" t="s">
        <v>74</v>
      </c>
      <c r="AN745" t="s">
        <v>74</v>
      </c>
      <c r="AO745" t="s">
        <v>1258</v>
      </c>
      <c r="AP745" t="s">
        <v>1259</v>
      </c>
      <c r="AQ745" t="s">
        <v>74</v>
      </c>
      <c r="AR745" t="s">
        <v>74</v>
      </c>
      <c r="AS745" t="s">
        <v>74</v>
      </c>
      <c r="AT745" t="s">
        <v>2321</v>
      </c>
      <c r="AU745">
        <v>2018</v>
      </c>
      <c r="AV745">
        <v>270</v>
      </c>
      <c r="AW745" t="s">
        <v>74</v>
      </c>
      <c r="AX745" t="s">
        <v>74</v>
      </c>
      <c r="AY745" t="s">
        <v>74</v>
      </c>
      <c r="AZ745" t="s">
        <v>74</v>
      </c>
      <c r="BA745" t="s">
        <v>74</v>
      </c>
      <c r="BB745">
        <v>236</v>
      </c>
      <c r="BC745">
        <v>244</v>
      </c>
      <c r="BD745" t="s">
        <v>74</v>
      </c>
      <c r="BE745" t="s">
        <v>6506</v>
      </c>
      <c r="BF745" t="str">
        <f>HYPERLINK("http://dx.doi.org/10.1016/j.electacta.2018.03.084","http://dx.doi.org/10.1016/j.electacta.2018.03.084")</f>
        <v>http://dx.doi.org/10.1016/j.electacta.2018.03.084</v>
      </c>
      <c r="BG745" t="s">
        <v>74</v>
      </c>
      <c r="BH745" t="s">
        <v>74</v>
      </c>
      <c r="BI745" t="s">
        <v>74</v>
      </c>
      <c r="BJ745" t="s">
        <v>74</v>
      </c>
      <c r="BK745" t="s">
        <v>74</v>
      </c>
      <c r="BL745" t="s">
        <v>74</v>
      </c>
      <c r="BM745" t="s">
        <v>74</v>
      </c>
      <c r="BN745" t="s">
        <v>74</v>
      </c>
      <c r="BO745" t="s">
        <v>74</v>
      </c>
      <c r="BP745" t="s">
        <v>74</v>
      </c>
      <c r="BQ745" t="s">
        <v>74</v>
      </c>
      <c r="BR745" t="s">
        <v>74</v>
      </c>
      <c r="BS745" t="s">
        <v>6507</v>
      </c>
      <c r="BT745" t="str">
        <f>HYPERLINK("https%3A%2F%2Fwww.webofscience.com%2Fwos%2Fwoscc%2Ffull-record%2FWOS:000429262900028","View Full Record in Web of Science")</f>
        <v>View Full Record in Web of Science</v>
      </c>
    </row>
    <row r="746" spans="1:72" x14ac:dyDescent="0.2">
      <c r="A746" t="s">
        <v>72</v>
      </c>
      <c r="B746" t="s">
        <v>6508</v>
      </c>
      <c r="C746" t="s">
        <v>74</v>
      </c>
      <c r="D746" t="s">
        <v>74</v>
      </c>
      <c r="E746" t="s">
        <v>74</v>
      </c>
      <c r="F746" t="s">
        <v>6509</v>
      </c>
      <c r="G746" t="s">
        <v>74</v>
      </c>
      <c r="H746" t="s">
        <v>74</v>
      </c>
      <c r="I746" t="s">
        <v>6510</v>
      </c>
      <c r="J746" t="s">
        <v>1719</v>
      </c>
      <c r="K746" t="s">
        <v>74</v>
      </c>
      <c r="L746" t="s">
        <v>74</v>
      </c>
      <c r="M746" t="s">
        <v>74</v>
      </c>
      <c r="N746" t="s">
        <v>74</v>
      </c>
      <c r="O746" t="s">
        <v>74</v>
      </c>
      <c r="P746" t="s">
        <v>74</v>
      </c>
      <c r="Q746" t="s">
        <v>74</v>
      </c>
      <c r="R746" t="s">
        <v>74</v>
      </c>
      <c r="S746" t="s">
        <v>74</v>
      </c>
      <c r="T746" t="s">
        <v>74</v>
      </c>
      <c r="U746" t="s">
        <v>74</v>
      </c>
      <c r="V746" t="s">
        <v>6511</v>
      </c>
      <c r="W746" t="s">
        <v>74</v>
      </c>
      <c r="X746" t="s">
        <v>74</v>
      </c>
      <c r="Y746" t="s">
        <v>74</v>
      </c>
      <c r="Z746" t="s">
        <v>74</v>
      </c>
      <c r="AA746" t="s">
        <v>74</v>
      </c>
      <c r="AB746" t="s">
        <v>74</v>
      </c>
      <c r="AC746" t="s">
        <v>74</v>
      </c>
      <c r="AD746" t="s">
        <v>74</v>
      </c>
      <c r="AE746" t="s">
        <v>74</v>
      </c>
      <c r="AF746" t="s">
        <v>74</v>
      </c>
      <c r="AG746" t="s">
        <v>74</v>
      </c>
      <c r="AH746" t="s">
        <v>74</v>
      </c>
      <c r="AI746" t="s">
        <v>74</v>
      </c>
      <c r="AJ746" t="s">
        <v>74</v>
      </c>
      <c r="AK746" t="s">
        <v>74</v>
      </c>
      <c r="AL746" t="s">
        <v>74</v>
      </c>
      <c r="AM746" t="s">
        <v>74</v>
      </c>
      <c r="AN746" t="s">
        <v>74</v>
      </c>
      <c r="AO746" t="s">
        <v>1722</v>
      </c>
      <c r="AP746" t="s">
        <v>74</v>
      </c>
      <c r="AQ746" t="s">
        <v>74</v>
      </c>
      <c r="AR746" t="s">
        <v>74</v>
      </c>
      <c r="AS746" t="s">
        <v>74</v>
      </c>
      <c r="AT746" t="s">
        <v>798</v>
      </c>
      <c r="AU746">
        <v>2018</v>
      </c>
      <c r="AV746">
        <v>76</v>
      </c>
      <c r="AW746">
        <v>4</v>
      </c>
      <c r="AX746" t="s">
        <v>74</v>
      </c>
      <c r="AY746" t="s">
        <v>74</v>
      </c>
      <c r="AZ746" t="s">
        <v>74</v>
      </c>
      <c r="BA746" t="s">
        <v>74</v>
      </c>
      <c r="BB746">
        <v>259</v>
      </c>
      <c r="BC746">
        <v>277</v>
      </c>
      <c r="BD746" t="s">
        <v>74</v>
      </c>
      <c r="BE746" t="s">
        <v>6512</v>
      </c>
      <c r="BF746" t="str">
        <f>HYPERLINK("http://dx.doi.org/10.6023/A17110517","http://dx.doi.org/10.6023/A17110517")</f>
        <v>http://dx.doi.org/10.6023/A17110517</v>
      </c>
      <c r="BG746" t="s">
        <v>74</v>
      </c>
      <c r="BH746" t="s">
        <v>74</v>
      </c>
      <c r="BI746" t="s">
        <v>74</v>
      </c>
      <c r="BJ746" t="s">
        <v>74</v>
      </c>
      <c r="BK746" t="s">
        <v>74</v>
      </c>
      <c r="BL746" t="s">
        <v>74</v>
      </c>
      <c r="BM746" t="s">
        <v>74</v>
      </c>
      <c r="BN746" t="s">
        <v>74</v>
      </c>
      <c r="BO746" t="s">
        <v>74</v>
      </c>
      <c r="BP746" t="s">
        <v>74</v>
      </c>
      <c r="BQ746" t="s">
        <v>74</v>
      </c>
      <c r="BR746" t="s">
        <v>74</v>
      </c>
      <c r="BS746" t="s">
        <v>6513</v>
      </c>
      <c r="BT746" t="str">
        <f>HYPERLINK("https%3A%2F%2Fwww.webofscience.com%2Fwos%2Fwoscc%2Ffull-record%2FWOS:000442405200003","View Full Record in Web of Science")</f>
        <v>View Full Record in Web of Science</v>
      </c>
    </row>
    <row r="747" spans="1:72" x14ac:dyDescent="0.2">
      <c r="A747" t="s">
        <v>72</v>
      </c>
      <c r="B747" t="s">
        <v>6514</v>
      </c>
      <c r="C747" t="s">
        <v>74</v>
      </c>
      <c r="D747" t="s">
        <v>74</v>
      </c>
      <c r="E747" t="s">
        <v>74</v>
      </c>
      <c r="F747" t="s">
        <v>6515</v>
      </c>
      <c r="G747" t="s">
        <v>74</v>
      </c>
      <c r="H747" t="s">
        <v>74</v>
      </c>
      <c r="I747" t="s">
        <v>6516</v>
      </c>
      <c r="J747" t="s">
        <v>4663</v>
      </c>
      <c r="K747" t="s">
        <v>74</v>
      </c>
      <c r="L747" t="s">
        <v>74</v>
      </c>
      <c r="M747" t="s">
        <v>74</v>
      </c>
      <c r="N747" t="s">
        <v>74</v>
      </c>
      <c r="O747" t="s">
        <v>74</v>
      </c>
      <c r="P747" t="s">
        <v>74</v>
      </c>
      <c r="Q747" t="s">
        <v>74</v>
      </c>
      <c r="R747" t="s">
        <v>74</v>
      </c>
      <c r="S747" t="s">
        <v>74</v>
      </c>
      <c r="T747" t="s">
        <v>74</v>
      </c>
      <c r="U747" t="s">
        <v>74</v>
      </c>
      <c r="V747" t="s">
        <v>6517</v>
      </c>
      <c r="W747" t="s">
        <v>74</v>
      </c>
      <c r="X747" t="s">
        <v>74</v>
      </c>
      <c r="Y747" t="s">
        <v>74</v>
      </c>
      <c r="Z747" t="s">
        <v>74</v>
      </c>
      <c r="AA747" t="s">
        <v>6518</v>
      </c>
      <c r="AB747" t="s">
        <v>6519</v>
      </c>
      <c r="AC747" t="s">
        <v>74</v>
      </c>
      <c r="AD747" t="s">
        <v>74</v>
      </c>
      <c r="AE747" t="s">
        <v>74</v>
      </c>
      <c r="AF747" t="s">
        <v>74</v>
      </c>
      <c r="AG747" t="s">
        <v>74</v>
      </c>
      <c r="AH747" t="s">
        <v>74</v>
      </c>
      <c r="AI747" t="s">
        <v>74</v>
      </c>
      <c r="AJ747" t="s">
        <v>74</v>
      </c>
      <c r="AK747" t="s">
        <v>74</v>
      </c>
      <c r="AL747" t="s">
        <v>74</v>
      </c>
      <c r="AM747" t="s">
        <v>74</v>
      </c>
      <c r="AN747" t="s">
        <v>74</v>
      </c>
      <c r="AO747" t="s">
        <v>4667</v>
      </c>
      <c r="AP747" t="s">
        <v>4668</v>
      </c>
      <c r="AQ747" t="s">
        <v>74</v>
      </c>
      <c r="AR747" t="s">
        <v>74</v>
      </c>
      <c r="AS747" t="s">
        <v>74</v>
      </c>
      <c r="AT747" t="s">
        <v>798</v>
      </c>
      <c r="AU747">
        <v>2018</v>
      </c>
      <c r="AV747">
        <v>552</v>
      </c>
      <c r="AW747" t="s">
        <v>74</v>
      </c>
      <c r="AX747" t="s">
        <v>74</v>
      </c>
      <c r="AY747" t="s">
        <v>74</v>
      </c>
      <c r="AZ747" t="s">
        <v>74</v>
      </c>
      <c r="BA747" t="s">
        <v>74</v>
      </c>
      <c r="BB747">
        <v>107</v>
      </c>
      <c r="BC747">
        <v>114</v>
      </c>
      <c r="BD747" t="s">
        <v>74</v>
      </c>
      <c r="BE747" t="s">
        <v>6520</v>
      </c>
      <c r="BF747" t="str">
        <f>HYPERLINK("http://dx.doi.org/10.1016/j.memsci.2018.01.063","http://dx.doi.org/10.1016/j.memsci.2018.01.063")</f>
        <v>http://dx.doi.org/10.1016/j.memsci.2018.01.063</v>
      </c>
      <c r="BG747" t="s">
        <v>74</v>
      </c>
      <c r="BH747" t="s">
        <v>74</v>
      </c>
      <c r="BI747" t="s">
        <v>74</v>
      </c>
      <c r="BJ747" t="s">
        <v>74</v>
      </c>
      <c r="BK747" t="s">
        <v>74</v>
      </c>
      <c r="BL747" t="s">
        <v>74</v>
      </c>
      <c r="BM747" t="s">
        <v>74</v>
      </c>
      <c r="BN747" t="s">
        <v>74</v>
      </c>
      <c r="BO747" t="s">
        <v>74</v>
      </c>
      <c r="BP747" t="s">
        <v>74</v>
      </c>
      <c r="BQ747" t="s">
        <v>74</v>
      </c>
      <c r="BR747" t="s">
        <v>74</v>
      </c>
      <c r="BS747" t="s">
        <v>6521</v>
      </c>
      <c r="BT747" t="str">
        <f>HYPERLINK("https%3A%2F%2Fwww.webofscience.com%2Fwos%2Fwoscc%2Ffull-record%2FWOS:000427491600012","View Full Record in Web of Science")</f>
        <v>View Full Record in Web of Science</v>
      </c>
    </row>
    <row r="748" spans="1:72" x14ac:dyDescent="0.2">
      <c r="A748" t="s">
        <v>72</v>
      </c>
      <c r="B748" t="s">
        <v>6522</v>
      </c>
      <c r="C748" t="s">
        <v>74</v>
      </c>
      <c r="D748" t="s">
        <v>74</v>
      </c>
      <c r="E748" t="s">
        <v>74</v>
      </c>
      <c r="F748" t="s">
        <v>6523</v>
      </c>
      <c r="G748" t="s">
        <v>74</v>
      </c>
      <c r="H748" t="s">
        <v>74</v>
      </c>
      <c r="I748" t="s">
        <v>6524</v>
      </c>
      <c r="J748" t="s">
        <v>624</v>
      </c>
      <c r="K748" t="s">
        <v>74</v>
      </c>
      <c r="L748" t="s">
        <v>74</v>
      </c>
      <c r="M748" t="s">
        <v>74</v>
      </c>
      <c r="N748" t="s">
        <v>74</v>
      </c>
      <c r="O748" t="s">
        <v>74</v>
      </c>
      <c r="P748" t="s">
        <v>74</v>
      </c>
      <c r="Q748" t="s">
        <v>74</v>
      </c>
      <c r="R748" t="s">
        <v>74</v>
      </c>
      <c r="S748" t="s">
        <v>74</v>
      </c>
      <c r="T748" t="s">
        <v>74</v>
      </c>
      <c r="U748" t="s">
        <v>74</v>
      </c>
      <c r="V748" t="s">
        <v>6525</v>
      </c>
      <c r="W748" t="s">
        <v>74</v>
      </c>
      <c r="X748" t="s">
        <v>74</v>
      </c>
      <c r="Y748" t="s">
        <v>74</v>
      </c>
      <c r="Z748" t="s">
        <v>74</v>
      </c>
      <c r="AA748" t="s">
        <v>6526</v>
      </c>
      <c r="AB748" t="s">
        <v>6527</v>
      </c>
      <c r="AC748" t="s">
        <v>74</v>
      </c>
      <c r="AD748" t="s">
        <v>74</v>
      </c>
      <c r="AE748" t="s">
        <v>74</v>
      </c>
      <c r="AF748" t="s">
        <v>74</v>
      </c>
      <c r="AG748" t="s">
        <v>74</v>
      </c>
      <c r="AH748" t="s">
        <v>74</v>
      </c>
      <c r="AI748" t="s">
        <v>74</v>
      </c>
      <c r="AJ748" t="s">
        <v>74</v>
      </c>
      <c r="AK748" t="s">
        <v>74</v>
      </c>
      <c r="AL748" t="s">
        <v>74</v>
      </c>
      <c r="AM748" t="s">
        <v>74</v>
      </c>
      <c r="AN748" t="s">
        <v>74</v>
      </c>
      <c r="AO748" t="s">
        <v>627</v>
      </c>
      <c r="AP748" t="s">
        <v>628</v>
      </c>
      <c r="AQ748" t="s">
        <v>74</v>
      </c>
      <c r="AR748" t="s">
        <v>74</v>
      </c>
      <c r="AS748" t="s">
        <v>74</v>
      </c>
      <c r="AT748" t="s">
        <v>670</v>
      </c>
      <c r="AU748">
        <v>2018</v>
      </c>
      <c r="AV748">
        <v>46</v>
      </c>
      <c r="AW748" t="s">
        <v>74</v>
      </c>
      <c r="AX748" t="s">
        <v>74</v>
      </c>
      <c r="AY748" t="s">
        <v>74</v>
      </c>
      <c r="AZ748" t="s">
        <v>74</v>
      </c>
      <c r="BA748" t="s">
        <v>74</v>
      </c>
      <c r="BB748">
        <v>266</v>
      </c>
      <c r="BC748">
        <v>276</v>
      </c>
      <c r="BD748" t="s">
        <v>74</v>
      </c>
      <c r="BE748" t="s">
        <v>6528</v>
      </c>
      <c r="BF748" t="str">
        <f>HYPERLINK("http://dx.doi.org/10.1016/j.nanoen.2018.02.007","http://dx.doi.org/10.1016/j.nanoen.2018.02.007")</f>
        <v>http://dx.doi.org/10.1016/j.nanoen.2018.02.007</v>
      </c>
      <c r="BG748" t="s">
        <v>74</v>
      </c>
      <c r="BH748" t="s">
        <v>74</v>
      </c>
      <c r="BI748" t="s">
        <v>74</v>
      </c>
      <c r="BJ748" t="s">
        <v>74</v>
      </c>
      <c r="BK748" t="s">
        <v>74</v>
      </c>
      <c r="BL748" t="s">
        <v>74</v>
      </c>
      <c r="BM748" t="s">
        <v>74</v>
      </c>
      <c r="BN748" t="s">
        <v>74</v>
      </c>
      <c r="BO748" t="s">
        <v>74</v>
      </c>
      <c r="BP748" t="s">
        <v>74</v>
      </c>
      <c r="BQ748" t="s">
        <v>74</v>
      </c>
      <c r="BR748" t="s">
        <v>74</v>
      </c>
      <c r="BS748" t="s">
        <v>6529</v>
      </c>
      <c r="BT748" t="str">
        <f>HYPERLINK("https%3A%2F%2Fwww.webofscience.com%2Fwos%2Fwoscc%2Ffull-record%2FWOS:000427924000032","View Full Record in Web of Science")</f>
        <v>View Full Record in Web of Science</v>
      </c>
    </row>
    <row r="749" spans="1:72" x14ac:dyDescent="0.2">
      <c r="A749" t="s">
        <v>72</v>
      </c>
      <c r="B749" t="s">
        <v>6530</v>
      </c>
      <c r="C749" t="s">
        <v>74</v>
      </c>
      <c r="D749" t="s">
        <v>74</v>
      </c>
      <c r="E749" t="s">
        <v>74</v>
      </c>
      <c r="F749" t="s">
        <v>6531</v>
      </c>
      <c r="G749" t="s">
        <v>74</v>
      </c>
      <c r="H749" t="s">
        <v>74</v>
      </c>
      <c r="I749" t="s">
        <v>6532</v>
      </c>
      <c r="J749" t="s">
        <v>341</v>
      </c>
      <c r="K749" t="s">
        <v>74</v>
      </c>
      <c r="L749" t="s">
        <v>74</v>
      </c>
      <c r="M749" t="s">
        <v>74</v>
      </c>
      <c r="N749" t="s">
        <v>74</v>
      </c>
      <c r="O749" t="s">
        <v>74</v>
      </c>
      <c r="P749" t="s">
        <v>74</v>
      </c>
      <c r="Q749" t="s">
        <v>74</v>
      </c>
      <c r="R749" t="s">
        <v>74</v>
      </c>
      <c r="S749" t="s">
        <v>74</v>
      </c>
      <c r="T749" t="s">
        <v>74</v>
      </c>
      <c r="U749" t="s">
        <v>74</v>
      </c>
      <c r="V749" t="s">
        <v>6533</v>
      </c>
      <c r="W749" t="s">
        <v>74</v>
      </c>
      <c r="X749" t="s">
        <v>74</v>
      </c>
      <c r="Y749" t="s">
        <v>74</v>
      </c>
      <c r="Z749" t="s">
        <v>74</v>
      </c>
      <c r="AA749" t="s">
        <v>6534</v>
      </c>
      <c r="AB749" t="s">
        <v>6535</v>
      </c>
      <c r="AC749" t="s">
        <v>74</v>
      </c>
      <c r="AD749" t="s">
        <v>74</v>
      </c>
      <c r="AE749" t="s">
        <v>74</v>
      </c>
      <c r="AF749" t="s">
        <v>74</v>
      </c>
      <c r="AG749" t="s">
        <v>74</v>
      </c>
      <c r="AH749" t="s">
        <v>74</v>
      </c>
      <c r="AI749" t="s">
        <v>74</v>
      </c>
      <c r="AJ749" t="s">
        <v>74</v>
      </c>
      <c r="AK749" t="s">
        <v>74</v>
      </c>
      <c r="AL749" t="s">
        <v>74</v>
      </c>
      <c r="AM749" t="s">
        <v>74</v>
      </c>
      <c r="AN749" t="s">
        <v>74</v>
      </c>
      <c r="AO749" t="s">
        <v>344</v>
      </c>
      <c r="AP749" t="s">
        <v>345</v>
      </c>
      <c r="AQ749" t="s">
        <v>74</v>
      </c>
      <c r="AR749" t="s">
        <v>74</v>
      </c>
      <c r="AS749" t="s">
        <v>74</v>
      </c>
      <c r="AT749" t="s">
        <v>1026</v>
      </c>
      <c r="AU749">
        <v>2018</v>
      </c>
      <c r="AV749">
        <v>6</v>
      </c>
      <c r="AW749">
        <v>2</v>
      </c>
      <c r="AX749" t="s">
        <v>74</v>
      </c>
      <c r="AY749" t="s">
        <v>74</v>
      </c>
      <c r="AZ749" t="s">
        <v>74</v>
      </c>
      <c r="BA749" t="s">
        <v>74</v>
      </c>
      <c r="BB749">
        <v>289</v>
      </c>
      <c r="BC749">
        <v>295</v>
      </c>
      <c r="BD749" t="s">
        <v>74</v>
      </c>
      <c r="BE749" t="s">
        <v>6536</v>
      </c>
      <c r="BF749" t="str">
        <f>HYPERLINK("http://dx.doi.org/10.1002/ente.201700410","http://dx.doi.org/10.1002/ente.201700410")</f>
        <v>http://dx.doi.org/10.1002/ente.201700410</v>
      </c>
      <c r="BG749" t="s">
        <v>74</v>
      </c>
      <c r="BH749" t="s">
        <v>74</v>
      </c>
      <c r="BI749" t="s">
        <v>74</v>
      </c>
      <c r="BJ749" t="s">
        <v>74</v>
      </c>
      <c r="BK749" t="s">
        <v>74</v>
      </c>
      <c r="BL749" t="s">
        <v>74</v>
      </c>
      <c r="BM749" t="s">
        <v>74</v>
      </c>
      <c r="BN749" t="s">
        <v>74</v>
      </c>
      <c r="BO749" t="s">
        <v>74</v>
      </c>
      <c r="BP749" t="s">
        <v>74</v>
      </c>
      <c r="BQ749" t="s">
        <v>74</v>
      </c>
      <c r="BR749" t="s">
        <v>74</v>
      </c>
      <c r="BS749" t="s">
        <v>6537</v>
      </c>
      <c r="BT749" t="str">
        <f>HYPERLINK("https%3A%2F%2Fwww.webofscience.com%2Fwos%2Fwoscc%2Ffull-record%2FWOS:000424795100012","View Full Record in Web of Science")</f>
        <v>View Full Record in Web of Science</v>
      </c>
    </row>
    <row r="750" spans="1:72" x14ac:dyDescent="0.2">
      <c r="A750" t="s">
        <v>72</v>
      </c>
      <c r="B750" t="s">
        <v>6538</v>
      </c>
      <c r="C750" t="s">
        <v>74</v>
      </c>
      <c r="D750" t="s">
        <v>74</v>
      </c>
      <c r="E750" t="s">
        <v>74</v>
      </c>
      <c r="F750" t="s">
        <v>6539</v>
      </c>
      <c r="G750" t="s">
        <v>74</v>
      </c>
      <c r="H750" t="s">
        <v>74</v>
      </c>
      <c r="I750" t="s">
        <v>6540</v>
      </c>
      <c r="J750" t="s">
        <v>278</v>
      </c>
      <c r="K750" t="s">
        <v>74</v>
      </c>
      <c r="L750" t="s">
        <v>74</v>
      </c>
      <c r="M750" t="s">
        <v>74</v>
      </c>
      <c r="N750" t="s">
        <v>74</v>
      </c>
      <c r="O750" t="s">
        <v>74</v>
      </c>
      <c r="P750" t="s">
        <v>74</v>
      </c>
      <c r="Q750" t="s">
        <v>74</v>
      </c>
      <c r="R750" t="s">
        <v>74</v>
      </c>
      <c r="S750" t="s">
        <v>74</v>
      </c>
      <c r="T750" t="s">
        <v>74</v>
      </c>
      <c r="U750" t="s">
        <v>74</v>
      </c>
      <c r="V750" t="s">
        <v>6541</v>
      </c>
      <c r="W750" t="s">
        <v>74</v>
      </c>
      <c r="X750" t="s">
        <v>74</v>
      </c>
      <c r="Y750" t="s">
        <v>74</v>
      </c>
      <c r="Z750" t="s">
        <v>74</v>
      </c>
      <c r="AA750" t="s">
        <v>74</v>
      </c>
      <c r="AB750" t="s">
        <v>6542</v>
      </c>
      <c r="AC750" t="s">
        <v>74</v>
      </c>
      <c r="AD750" t="s">
        <v>74</v>
      </c>
      <c r="AE750" t="s">
        <v>74</v>
      </c>
      <c r="AF750" t="s">
        <v>74</v>
      </c>
      <c r="AG750" t="s">
        <v>74</v>
      </c>
      <c r="AH750" t="s">
        <v>74</v>
      </c>
      <c r="AI750" t="s">
        <v>74</v>
      </c>
      <c r="AJ750" t="s">
        <v>74</v>
      </c>
      <c r="AK750" t="s">
        <v>74</v>
      </c>
      <c r="AL750" t="s">
        <v>74</v>
      </c>
      <c r="AM750" t="s">
        <v>74</v>
      </c>
      <c r="AN750" t="s">
        <v>74</v>
      </c>
      <c r="AO750" t="s">
        <v>281</v>
      </c>
      <c r="AP750" t="s">
        <v>282</v>
      </c>
      <c r="AQ750" t="s">
        <v>74</v>
      </c>
      <c r="AR750" t="s">
        <v>74</v>
      </c>
      <c r="AS750" t="s">
        <v>74</v>
      </c>
      <c r="AT750" t="s">
        <v>1267</v>
      </c>
      <c r="AU750">
        <v>2018</v>
      </c>
      <c r="AV750">
        <v>6</v>
      </c>
      <c r="AW750">
        <v>3</v>
      </c>
      <c r="AX750" t="s">
        <v>74</v>
      </c>
      <c r="AY750" t="s">
        <v>74</v>
      </c>
      <c r="AZ750" t="s">
        <v>74</v>
      </c>
      <c r="BA750" t="s">
        <v>74</v>
      </c>
      <c r="BB750">
        <v>1244</v>
      </c>
      <c r="BC750">
        <v>1254</v>
      </c>
      <c r="BD750" t="s">
        <v>74</v>
      </c>
      <c r="BE750" t="s">
        <v>6543</v>
      </c>
      <c r="BF750" t="str">
        <f>HYPERLINK("http://dx.doi.org/10.1039/c7ta07579k","http://dx.doi.org/10.1039/c7ta07579k")</f>
        <v>http://dx.doi.org/10.1039/c7ta07579k</v>
      </c>
      <c r="BG750" t="s">
        <v>74</v>
      </c>
      <c r="BH750" t="s">
        <v>74</v>
      </c>
      <c r="BI750" t="s">
        <v>74</v>
      </c>
      <c r="BJ750" t="s">
        <v>74</v>
      </c>
      <c r="BK750" t="s">
        <v>74</v>
      </c>
      <c r="BL750" t="s">
        <v>74</v>
      </c>
      <c r="BM750" t="s">
        <v>74</v>
      </c>
      <c r="BN750" t="s">
        <v>74</v>
      </c>
      <c r="BO750" t="s">
        <v>74</v>
      </c>
      <c r="BP750" t="s">
        <v>74</v>
      </c>
      <c r="BQ750" t="s">
        <v>74</v>
      </c>
      <c r="BR750" t="s">
        <v>74</v>
      </c>
      <c r="BS750" t="s">
        <v>6544</v>
      </c>
      <c r="BT750" t="str">
        <f>HYPERLINK("https%3A%2F%2Fwww.webofscience.com%2Fwos%2Fwoscc%2Ffull-record%2FWOS:000422949700056","View Full Record in Web of Science")</f>
        <v>View Full Record in Web of Science</v>
      </c>
    </row>
    <row r="751" spans="1:72" x14ac:dyDescent="0.2">
      <c r="A751" t="s">
        <v>72</v>
      </c>
      <c r="B751" t="s">
        <v>6545</v>
      </c>
      <c r="C751" t="s">
        <v>74</v>
      </c>
      <c r="D751" t="s">
        <v>74</v>
      </c>
      <c r="E751" t="s">
        <v>74</v>
      </c>
      <c r="F751" t="s">
        <v>6546</v>
      </c>
      <c r="G751" t="s">
        <v>74</v>
      </c>
      <c r="H751" t="s">
        <v>74</v>
      </c>
      <c r="I751" t="s">
        <v>6547</v>
      </c>
      <c r="J751" t="s">
        <v>5460</v>
      </c>
      <c r="K751" t="s">
        <v>74</v>
      </c>
      <c r="L751" t="s">
        <v>74</v>
      </c>
      <c r="M751" t="s">
        <v>74</v>
      </c>
      <c r="N751" t="s">
        <v>74</v>
      </c>
      <c r="O751" t="s">
        <v>74</v>
      </c>
      <c r="P751" t="s">
        <v>74</v>
      </c>
      <c r="Q751" t="s">
        <v>74</v>
      </c>
      <c r="R751" t="s">
        <v>74</v>
      </c>
      <c r="S751" t="s">
        <v>74</v>
      </c>
      <c r="T751" t="s">
        <v>74</v>
      </c>
      <c r="U751" t="s">
        <v>74</v>
      </c>
      <c r="V751" t="s">
        <v>6548</v>
      </c>
      <c r="W751" t="s">
        <v>74</v>
      </c>
      <c r="X751" t="s">
        <v>74</v>
      </c>
      <c r="Y751" t="s">
        <v>74</v>
      </c>
      <c r="Z751" t="s">
        <v>74</v>
      </c>
      <c r="AA751" t="s">
        <v>6549</v>
      </c>
      <c r="AB751" t="s">
        <v>6550</v>
      </c>
      <c r="AC751" t="s">
        <v>74</v>
      </c>
      <c r="AD751" t="s">
        <v>74</v>
      </c>
      <c r="AE751" t="s">
        <v>74</v>
      </c>
      <c r="AF751" t="s">
        <v>74</v>
      </c>
      <c r="AG751" t="s">
        <v>74</v>
      </c>
      <c r="AH751" t="s">
        <v>74</v>
      </c>
      <c r="AI751" t="s">
        <v>74</v>
      </c>
      <c r="AJ751" t="s">
        <v>74</v>
      </c>
      <c r="AK751" t="s">
        <v>74</v>
      </c>
      <c r="AL751" t="s">
        <v>74</v>
      </c>
      <c r="AM751" t="s">
        <v>74</v>
      </c>
      <c r="AN751" t="s">
        <v>74</v>
      </c>
      <c r="AO751" t="s">
        <v>5464</v>
      </c>
      <c r="AP751" t="s">
        <v>74</v>
      </c>
      <c r="AQ751" t="s">
        <v>74</v>
      </c>
      <c r="AR751" t="s">
        <v>74</v>
      </c>
      <c r="AS751" t="s">
        <v>74</v>
      </c>
      <c r="AT751" t="s">
        <v>74</v>
      </c>
      <c r="AU751">
        <v>2018</v>
      </c>
      <c r="AV751">
        <v>8</v>
      </c>
      <c r="AW751">
        <v>26</v>
      </c>
      <c r="AX751" t="s">
        <v>74</v>
      </c>
      <c r="AY751" t="s">
        <v>74</v>
      </c>
      <c r="AZ751" t="s">
        <v>74</v>
      </c>
      <c r="BA751" t="s">
        <v>74</v>
      </c>
      <c r="BB751">
        <v>14422</v>
      </c>
      <c r="BC751">
        <v>14433</v>
      </c>
      <c r="BD751" t="s">
        <v>74</v>
      </c>
      <c r="BE751" t="s">
        <v>6551</v>
      </c>
      <c r="BF751" t="str">
        <f>HYPERLINK("http://dx.doi.org/10.1039/c8ra01676c","http://dx.doi.org/10.1039/c8ra01676c")</f>
        <v>http://dx.doi.org/10.1039/c8ra01676c</v>
      </c>
      <c r="BG751" t="s">
        <v>74</v>
      </c>
      <c r="BH751" t="s">
        <v>74</v>
      </c>
      <c r="BI751" t="s">
        <v>74</v>
      </c>
      <c r="BJ751" t="s">
        <v>74</v>
      </c>
      <c r="BK751" t="s">
        <v>74</v>
      </c>
      <c r="BL751" t="s">
        <v>74</v>
      </c>
      <c r="BM751" t="s">
        <v>74</v>
      </c>
      <c r="BN751">
        <v>35540738</v>
      </c>
      <c r="BO751" t="s">
        <v>74</v>
      </c>
      <c r="BP751" t="s">
        <v>74</v>
      </c>
      <c r="BQ751" t="s">
        <v>74</v>
      </c>
      <c r="BR751" t="s">
        <v>74</v>
      </c>
      <c r="BS751" t="s">
        <v>6552</v>
      </c>
      <c r="BT751" t="str">
        <f>HYPERLINK("https%3A%2F%2Fwww.webofscience.com%2Fwos%2Fwoscc%2Ffull-record%2FWOS:000430536600031","View Full Record in Web of Science")</f>
        <v>View Full Record in Web of Science</v>
      </c>
    </row>
    <row r="752" spans="1:72" x14ac:dyDescent="0.2">
      <c r="A752" t="s">
        <v>72</v>
      </c>
      <c r="B752" t="s">
        <v>6553</v>
      </c>
      <c r="C752" t="s">
        <v>74</v>
      </c>
      <c r="D752" t="s">
        <v>74</v>
      </c>
      <c r="E752" t="s">
        <v>74</v>
      </c>
      <c r="F752" t="s">
        <v>6554</v>
      </c>
      <c r="G752" t="s">
        <v>74</v>
      </c>
      <c r="H752" t="s">
        <v>74</v>
      </c>
      <c r="I752" t="s">
        <v>6555</v>
      </c>
      <c r="J752" t="s">
        <v>3351</v>
      </c>
      <c r="K752" t="s">
        <v>74</v>
      </c>
      <c r="L752" t="s">
        <v>74</v>
      </c>
      <c r="M752" t="s">
        <v>74</v>
      </c>
      <c r="N752" t="s">
        <v>74</v>
      </c>
      <c r="O752" t="s">
        <v>74</v>
      </c>
      <c r="P752" t="s">
        <v>74</v>
      </c>
      <c r="Q752" t="s">
        <v>74</v>
      </c>
      <c r="R752" t="s">
        <v>74</v>
      </c>
      <c r="S752" t="s">
        <v>74</v>
      </c>
      <c r="T752" t="s">
        <v>74</v>
      </c>
      <c r="U752" t="s">
        <v>74</v>
      </c>
      <c r="V752" t="s">
        <v>6556</v>
      </c>
      <c r="W752" t="s">
        <v>74</v>
      </c>
      <c r="X752" t="s">
        <v>74</v>
      </c>
      <c r="Y752" t="s">
        <v>74</v>
      </c>
      <c r="Z752" t="s">
        <v>74</v>
      </c>
      <c r="AA752" t="s">
        <v>6557</v>
      </c>
      <c r="AB752" t="s">
        <v>6558</v>
      </c>
      <c r="AC752" t="s">
        <v>74</v>
      </c>
      <c r="AD752" t="s">
        <v>74</v>
      </c>
      <c r="AE752" t="s">
        <v>74</v>
      </c>
      <c r="AF752" t="s">
        <v>74</v>
      </c>
      <c r="AG752" t="s">
        <v>74</v>
      </c>
      <c r="AH752" t="s">
        <v>74</v>
      </c>
      <c r="AI752" t="s">
        <v>74</v>
      </c>
      <c r="AJ752" t="s">
        <v>74</v>
      </c>
      <c r="AK752" t="s">
        <v>74</v>
      </c>
      <c r="AL752" t="s">
        <v>74</v>
      </c>
      <c r="AM752" t="s">
        <v>74</v>
      </c>
      <c r="AN752" t="s">
        <v>74</v>
      </c>
      <c r="AO752" t="s">
        <v>3355</v>
      </c>
      <c r="AP752" t="s">
        <v>74</v>
      </c>
      <c r="AQ752" t="s">
        <v>74</v>
      </c>
      <c r="AR752" t="s">
        <v>74</v>
      </c>
      <c r="AS752" t="s">
        <v>74</v>
      </c>
      <c r="AT752" t="s">
        <v>74</v>
      </c>
      <c r="AU752">
        <v>2018</v>
      </c>
      <c r="AV752">
        <v>42</v>
      </c>
      <c r="AW752">
        <v>2</v>
      </c>
      <c r="AX752" t="s">
        <v>74</v>
      </c>
      <c r="AY752" t="s">
        <v>74</v>
      </c>
      <c r="AZ752" t="s">
        <v>74</v>
      </c>
      <c r="BA752" t="s">
        <v>74</v>
      </c>
      <c r="BB752">
        <v>193</v>
      </c>
      <c r="BC752">
        <v>220</v>
      </c>
      <c r="BD752" t="s">
        <v>74</v>
      </c>
      <c r="BE752" t="s">
        <v>6559</v>
      </c>
      <c r="BF752" t="str">
        <f>HYPERLINK("http://dx.doi.org/10.3906/kim-1712-6","http://dx.doi.org/10.3906/kim-1712-6")</f>
        <v>http://dx.doi.org/10.3906/kim-1712-6</v>
      </c>
      <c r="BG752" t="s">
        <v>74</v>
      </c>
      <c r="BH752" t="s">
        <v>74</v>
      </c>
      <c r="BI752" t="s">
        <v>74</v>
      </c>
      <c r="BJ752" t="s">
        <v>74</v>
      </c>
      <c r="BK752" t="s">
        <v>74</v>
      </c>
      <c r="BL752" t="s">
        <v>74</v>
      </c>
      <c r="BM752" t="s">
        <v>74</v>
      </c>
      <c r="BN752" t="s">
        <v>74</v>
      </c>
      <c r="BO752" t="s">
        <v>74</v>
      </c>
      <c r="BP752" t="s">
        <v>74</v>
      </c>
      <c r="BQ752" t="s">
        <v>74</v>
      </c>
      <c r="BR752" t="s">
        <v>74</v>
      </c>
      <c r="BS752" t="s">
        <v>6560</v>
      </c>
      <c r="BT752" t="str">
        <f>HYPERLINK("https%3A%2F%2Fwww.webofscience.com%2Fwos%2Fwoscc%2Ffull-record%2FWOS:000431245300001","View Full Record in Web of Science")</f>
        <v>View Full Record in Web of Science</v>
      </c>
    </row>
    <row r="753" spans="1:72" x14ac:dyDescent="0.2">
      <c r="A753" t="s">
        <v>72</v>
      </c>
      <c r="B753" t="s">
        <v>6561</v>
      </c>
      <c r="C753" t="s">
        <v>74</v>
      </c>
      <c r="D753" t="s">
        <v>74</v>
      </c>
      <c r="E753" t="s">
        <v>74</v>
      </c>
      <c r="F753" t="s">
        <v>6562</v>
      </c>
      <c r="G753" t="s">
        <v>74</v>
      </c>
      <c r="H753" t="s">
        <v>74</v>
      </c>
      <c r="I753" t="s">
        <v>6563</v>
      </c>
      <c r="J753" t="s">
        <v>1293</v>
      </c>
      <c r="K753" t="s">
        <v>74</v>
      </c>
      <c r="L753" t="s">
        <v>74</v>
      </c>
      <c r="M753" t="s">
        <v>74</v>
      </c>
      <c r="N753" t="s">
        <v>74</v>
      </c>
      <c r="O753" t="s">
        <v>74</v>
      </c>
      <c r="P753" t="s">
        <v>74</v>
      </c>
      <c r="Q753" t="s">
        <v>74</v>
      </c>
      <c r="R753" t="s">
        <v>74</v>
      </c>
      <c r="S753" t="s">
        <v>74</v>
      </c>
      <c r="T753" t="s">
        <v>74</v>
      </c>
      <c r="U753" t="s">
        <v>74</v>
      </c>
      <c r="V753" t="s">
        <v>6564</v>
      </c>
      <c r="W753" t="s">
        <v>74</v>
      </c>
      <c r="X753" t="s">
        <v>74</v>
      </c>
      <c r="Y753" t="s">
        <v>74</v>
      </c>
      <c r="Z753" t="s">
        <v>74</v>
      </c>
      <c r="AA753" t="s">
        <v>6565</v>
      </c>
      <c r="AB753" t="s">
        <v>6566</v>
      </c>
      <c r="AC753" t="s">
        <v>74</v>
      </c>
      <c r="AD753" t="s">
        <v>74</v>
      </c>
      <c r="AE753" t="s">
        <v>74</v>
      </c>
      <c r="AF753" t="s">
        <v>74</v>
      </c>
      <c r="AG753" t="s">
        <v>74</v>
      </c>
      <c r="AH753" t="s">
        <v>74</v>
      </c>
      <c r="AI753" t="s">
        <v>74</v>
      </c>
      <c r="AJ753" t="s">
        <v>74</v>
      </c>
      <c r="AK753" t="s">
        <v>74</v>
      </c>
      <c r="AL753" t="s">
        <v>74</v>
      </c>
      <c r="AM753" t="s">
        <v>74</v>
      </c>
      <c r="AN753" t="s">
        <v>74</v>
      </c>
      <c r="AO753" t="s">
        <v>1297</v>
      </c>
      <c r="AP753" t="s">
        <v>1298</v>
      </c>
      <c r="AQ753" t="s">
        <v>74</v>
      </c>
      <c r="AR753" t="s">
        <v>74</v>
      </c>
      <c r="AS753" t="s">
        <v>74</v>
      </c>
      <c r="AT753" t="s">
        <v>74</v>
      </c>
      <c r="AU753">
        <v>2018</v>
      </c>
      <c r="AV753">
        <v>165</v>
      </c>
      <c r="AW753">
        <v>3</v>
      </c>
      <c r="AX753" t="s">
        <v>74</v>
      </c>
      <c r="AY753" t="s">
        <v>74</v>
      </c>
      <c r="AZ753" t="s">
        <v>74</v>
      </c>
      <c r="BA753" t="s">
        <v>74</v>
      </c>
      <c r="BB753" t="s">
        <v>6567</v>
      </c>
      <c r="BC753" t="s">
        <v>6568</v>
      </c>
      <c r="BD753" t="s">
        <v>74</v>
      </c>
      <c r="BE753" t="s">
        <v>6569</v>
      </c>
      <c r="BF753" t="str">
        <f>HYPERLINK("http://dx.doi.org/10.1149/2.0141803jes","http://dx.doi.org/10.1149/2.0141803jes")</f>
        <v>http://dx.doi.org/10.1149/2.0141803jes</v>
      </c>
      <c r="BG753" t="s">
        <v>74</v>
      </c>
      <c r="BH753" t="s">
        <v>74</v>
      </c>
      <c r="BI753" t="s">
        <v>74</v>
      </c>
      <c r="BJ753" t="s">
        <v>74</v>
      </c>
      <c r="BK753" t="s">
        <v>74</v>
      </c>
      <c r="BL753" t="s">
        <v>74</v>
      </c>
      <c r="BM753" t="s">
        <v>74</v>
      </c>
      <c r="BN753" t="s">
        <v>74</v>
      </c>
      <c r="BO753" t="s">
        <v>74</v>
      </c>
      <c r="BP753" t="s">
        <v>74</v>
      </c>
      <c r="BQ753" t="s">
        <v>74</v>
      </c>
      <c r="BR753" t="s">
        <v>74</v>
      </c>
      <c r="BS753" t="s">
        <v>6570</v>
      </c>
      <c r="BT753" t="str">
        <f>HYPERLINK("https%3A%2F%2Fwww.webofscience.com%2Fwos%2Fwoscc%2Ffull-record%2FWOS:000431790700010","View Full Record in Web of Science")</f>
        <v>View Full Record in Web of Science</v>
      </c>
    </row>
    <row r="754" spans="1:72" x14ac:dyDescent="0.2">
      <c r="A754" t="s">
        <v>2738</v>
      </c>
      <c r="B754" t="s">
        <v>6571</v>
      </c>
      <c r="C754" t="s">
        <v>74</v>
      </c>
      <c r="D754" t="s">
        <v>6572</v>
      </c>
      <c r="E754" t="s">
        <v>74</v>
      </c>
      <c r="F754" t="s">
        <v>6573</v>
      </c>
      <c r="G754" t="s">
        <v>74</v>
      </c>
      <c r="H754" t="s">
        <v>74</v>
      </c>
      <c r="I754" t="s">
        <v>6574</v>
      </c>
      <c r="J754" t="s">
        <v>6575</v>
      </c>
      <c r="K754" t="s">
        <v>6576</v>
      </c>
      <c r="L754" t="s">
        <v>74</v>
      </c>
      <c r="M754" t="s">
        <v>74</v>
      </c>
      <c r="N754" t="s">
        <v>74</v>
      </c>
      <c r="O754" t="s">
        <v>6577</v>
      </c>
      <c r="P754" t="s">
        <v>6578</v>
      </c>
      <c r="Q754" t="s">
        <v>6579</v>
      </c>
      <c r="R754" t="s">
        <v>6580</v>
      </c>
      <c r="S754" t="s">
        <v>74</v>
      </c>
      <c r="T754" t="s">
        <v>74</v>
      </c>
      <c r="U754" t="s">
        <v>74</v>
      </c>
      <c r="V754" t="s">
        <v>6581</v>
      </c>
      <c r="W754" t="s">
        <v>74</v>
      </c>
      <c r="X754" t="s">
        <v>74</v>
      </c>
      <c r="Y754" t="s">
        <v>74</v>
      </c>
      <c r="Z754" t="s">
        <v>74</v>
      </c>
      <c r="AA754" t="s">
        <v>6582</v>
      </c>
      <c r="AB754" t="s">
        <v>74</v>
      </c>
      <c r="AC754" t="s">
        <v>74</v>
      </c>
      <c r="AD754" t="s">
        <v>74</v>
      </c>
      <c r="AE754" t="s">
        <v>74</v>
      </c>
      <c r="AF754" t="s">
        <v>74</v>
      </c>
      <c r="AG754" t="s">
        <v>74</v>
      </c>
      <c r="AH754" t="s">
        <v>74</v>
      </c>
      <c r="AI754" t="s">
        <v>74</v>
      </c>
      <c r="AJ754" t="s">
        <v>74</v>
      </c>
      <c r="AK754" t="s">
        <v>74</v>
      </c>
      <c r="AL754" t="s">
        <v>74</v>
      </c>
      <c r="AM754" t="s">
        <v>74</v>
      </c>
      <c r="AN754" t="s">
        <v>74</v>
      </c>
      <c r="AO754" t="s">
        <v>6583</v>
      </c>
      <c r="AP754" t="s">
        <v>6584</v>
      </c>
      <c r="AQ754" t="s">
        <v>6585</v>
      </c>
      <c r="AR754" t="s">
        <v>74</v>
      </c>
      <c r="AS754" t="s">
        <v>74</v>
      </c>
      <c r="AT754" t="s">
        <v>74</v>
      </c>
      <c r="AU754">
        <v>2018</v>
      </c>
      <c r="AV754">
        <v>1285</v>
      </c>
      <c r="AW754" t="s">
        <v>74</v>
      </c>
      <c r="AX754" t="s">
        <v>74</v>
      </c>
      <c r="AY754" t="s">
        <v>74</v>
      </c>
      <c r="AZ754" t="s">
        <v>74</v>
      </c>
      <c r="BA754" t="s">
        <v>74</v>
      </c>
      <c r="BB754">
        <v>129</v>
      </c>
      <c r="BC754">
        <v>142</v>
      </c>
      <c r="BD754" t="s">
        <v>74</v>
      </c>
      <c r="BE754" t="s">
        <v>74</v>
      </c>
      <c r="BF754" t="s">
        <v>74</v>
      </c>
      <c r="BG754" t="s">
        <v>74</v>
      </c>
      <c r="BH754" t="s">
        <v>74</v>
      </c>
      <c r="BI754" t="s">
        <v>74</v>
      </c>
      <c r="BJ754" t="s">
        <v>74</v>
      </c>
      <c r="BK754" t="s">
        <v>74</v>
      </c>
      <c r="BL754" t="s">
        <v>74</v>
      </c>
      <c r="BM754" t="s">
        <v>74</v>
      </c>
      <c r="BN754" t="s">
        <v>74</v>
      </c>
      <c r="BO754" t="s">
        <v>74</v>
      </c>
      <c r="BP754" t="s">
        <v>74</v>
      </c>
      <c r="BQ754" t="s">
        <v>74</v>
      </c>
      <c r="BR754" t="s">
        <v>74</v>
      </c>
      <c r="BS754" t="s">
        <v>6586</v>
      </c>
      <c r="BT754" t="str">
        <f>HYPERLINK("https%3A%2F%2Fwww.webofscience.com%2Fwos%2Fwoscc%2Ffull-record%2FWOS:000456766400007","View Full Record in Web of Science")</f>
        <v>View Full Record in Web of Science</v>
      </c>
    </row>
    <row r="755" spans="1:72" x14ac:dyDescent="0.2">
      <c r="A755" t="s">
        <v>72</v>
      </c>
      <c r="B755" t="s">
        <v>6587</v>
      </c>
      <c r="C755" t="s">
        <v>74</v>
      </c>
      <c r="D755" t="s">
        <v>74</v>
      </c>
      <c r="E755" t="s">
        <v>74</v>
      </c>
      <c r="F755" t="s">
        <v>6588</v>
      </c>
      <c r="G755" t="s">
        <v>74</v>
      </c>
      <c r="H755" t="s">
        <v>74</v>
      </c>
      <c r="I755" t="s">
        <v>6589</v>
      </c>
      <c r="J755" t="s">
        <v>1293</v>
      </c>
      <c r="K755" t="s">
        <v>74</v>
      </c>
      <c r="L755" t="s">
        <v>74</v>
      </c>
      <c r="M755" t="s">
        <v>74</v>
      </c>
      <c r="N755" t="s">
        <v>74</v>
      </c>
      <c r="O755" t="s">
        <v>74</v>
      </c>
      <c r="P755" t="s">
        <v>74</v>
      </c>
      <c r="Q755" t="s">
        <v>74</v>
      </c>
      <c r="R755" t="s">
        <v>74</v>
      </c>
      <c r="S755" t="s">
        <v>74</v>
      </c>
      <c r="T755" t="s">
        <v>74</v>
      </c>
      <c r="U755" t="s">
        <v>74</v>
      </c>
      <c r="V755" t="s">
        <v>6590</v>
      </c>
      <c r="W755" t="s">
        <v>74</v>
      </c>
      <c r="X755" t="s">
        <v>74</v>
      </c>
      <c r="Y755" t="s">
        <v>74</v>
      </c>
      <c r="Z755" t="s">
        <v>74</v>
      </c>
      <c r="AA755" t="s">
        <v>6591</v>
      </c>
      <c r="AB755" t="s">
        <v>6592</v>
      </c>
      <c r="AC755" t="s">
        <v>74</v>
      </c>
      <c r="AD755" t="s">
        <v>74</v>
      </c>
      <c r="AE755" t="s">
        <v>74</v>
      </c>
      <c r="AF755" t="s">
        <v>74</v>
      </c>
      <c r="AG755" t="s">
        <v>74</v>
      </c>
      <c r="AH755" t="s">
        <v>74</v>
      </c>
      <c r="AI755" t="s">
        <v>74</v>
      </c>
      <c r="AJ755" t="s">
        <v>74</v>
      </c>
      <c r="AK755" t="s">
        <v>74</v>
      </c>
      <c r="AL755" t="s">
        <v>74</v>
      </c>
      <c r="AM755" t="s">
        <v>74</v>
      </c>
      <c r="AN755" t="s">
        <v>74</v>
      </c>
      <c r="AO755" t="s">
        <v>1297</v>
      </c>
      <c r="AP755" t="s">
        <v>1298</v>
      </c>
      <c r="AQ755" t="s">
        <v>74</v>
      </c>
      <c r="AR755" t="s">
        <v>74</v>
      </c>
      <c r="AS755" t="s">
        <v>74</v>
      </c>
      <c r="AT755" t="s">
        <v>74</v>
      </c>
      <c r="AU755">
        <v>2018</v>
      </c>
      <c r="AV755">
        <v>165</v>
      </c>
      <c r="AW755">
        <v>5</v>
      </c>
      <c r="AX755" t="s">
        <v>74</v>
      </c>
      <c r="AY755" t="s">
        <v>74</v>
      </c>
      <c r="AZ755" t="s">
        <v>74</v>
      </c>
      <c r="BA755" t="s">
        <v>74</v>
      </c>
      <c r="BB755" t="s">
        <v>6593</v>
      </c>
      <c r="BC755" t="s">
        <v>6594</v>
      </c>
      <c r="BD755" t="s">
        <v>74</v>
      </c>
      <c r="BE755" t="s">
        <v>6595</v>
      </c>
      <c r="BF755" t="str">
        <f>HYPERLINK("http://dx.doi.org/10.1149/2.0801803jes","http://dx.doi.org/10.1149/2.0801803jes")</f>
        <v>http://dx.doi.org/10.1149/2.0801803jes</v>
      </c>
      <c r="BG755" t="s">
        <v>74</v>
      </c>
      <c r="BH755" t="s">
        <v>74</v>
      </c>
      <c r="BI755" t="s">
        <v>74</v>
      </c>
      <c r="BJ755" t="s">
        <v>74</v>
      </c>
      <c r="BK755" t="s">
        <v>74</v>
      </c>
      <c r="BL755" t="s">
        <v>74</v>
      </c>
      <c r="BM755" t="s">
        <v>74</v>
      </c>
      <c r="BN755" t="s">
        <v>74</v>
      </c>
      <c r="BO755" t="s">
        <v>74</v>
      </c>
      <c r="BP755" t="s">
        <v>74</v>
      </c>
      <c r="BQ755" t="s">
        <v>74</v>
      </c>
      <c r="BR755" t="s">
        <v>74</v>
      </c>
      <c r="BS755" t="s">
        <v>6596</v>
      </c>
      <c r="BT755" t="str">
        <f>HYPERLINK("https%3A%2F%2Fwww.webofscience.com%2Fwos%2Fwoscc%2Ffull-record%2FWOS:000431803900001","View Full Record in Web of Science")</f>
        <v>View Full Record in Web of Science</v>
      </c>
    </row>
    <row r="756" spans="1:72" x14ac:dyDescent="0.2">
      <c r="A756" t="s">
        <v>72</v>
      </c>
      <c r="B756" t="s">
        <v>6597</v>
      </c>
      <c r="C756" t="s">
        <v>74</v>
      </c>
      <c r="D756" t="s">
        <v>74</v>
      </c>
      <c r="E756" t="s">
        <v>74</v>
      </c>
      <c r="F756" t="s">
        <v>6598</v>
      </c>
      <c r="G756" t="s">
        <v>74</v>
      </c>
      <c r="H756" t="s">
        <v>74</v>
      </c>
      <c r="I756" t="s">
        <v>6599</v>
      </c>
      <c r="J756" t="s">
        <v>5460</v>
      </c>
      <c r="K756" t="s">
        <v>74</v>
      </c>
      <c r="L756" t="s">
        <v>74</v>
      </c>
      <c r="M756" t="s">
        <v>74</v>
      </c>
      <c r="N756" t="s">
        <v>74</v>
      </c>
      <c r="O756" t="s">
        <v>74</v>
      </c>
      <c r="P756" t="s">
        <v>74</v>
      </c>
      <c r="Q756" t="s">
        <v>74</v>
      </c>
      <c r="R756" t="s">
        <v>74</v>
      </c>
      <c r="S756" t="s">
        <v>74</v>
      </c>
      <c r="T756" t="s">
        <v>74</v>
      </c>
      <c r="U756" t="s">
        <v>74</v>
      </c>
      <c r="V756" t="s">
        <v>6600</v>
      </c>
      <c r="W756" t="s">
        <v>74</v>
      </c>
      <c r="X756" t="s">
        <v>74</v>
      </c>
      <c r="Y756" t="s">
        <v>74</v>
      </c>
      <c r="Z756" t="s">
        <v>74</v>
      </c>
      <c r="AA756" t="s">
        <v>6601</v>
      </c>
      <c r="AB756" t="s">
        <v>74</v>
      </c>
      <c r="AC756" t="s">
        <v>74</v>
      </c>
      <c r="AD756" t="s">
        <v>74</v>
      </c>
      <c r="AE756" t="s">
        <v>74</v>
      </c>
      <c r="AF756" t="s">
        <v>74</v>
      </c>
      <c r="AG756" t="s">
        <v>74</v>
      </c>
      <c r="AH756" t="s">
        <v>74</v>
      </c>
      <c r="AI756" t="s">
        <v>74</v>
      </c>
      <c r="AJ756" t="s">
        <v>74</v>
      </c>
      <c r="AK756" t="s">
        <v>74</v>
      </c>
      <c r="AL756" t="s">
        <v>74</v>
      </c>
      <c r="AM756" t="s">
        <v>74</v>
      </c>
      <c r="AN756" t="s">
        <v>74</v>
      </c>
      <c r="AO756" t="s">
        <v>74</v>
      </c>
      <c r="AP756" t="s">
        <v>5464</v>
      </c>
      <c r="AQ756" t="s">
        <v>74</v>
      </c>
      <c r="AR756" t="s">
        <v>74</v>
      </c>
      <c r="AS756" t="s">
        <v>74</v>
      </c>
      <c r="AT756" t="s">
        <v>74</v>
      </c>
      <c r="AU756">
        <v>2018</v>
      </c>
      <c r="AV756">
        <v>8</v>
      </c>
      <c r="AW756">
        <v>70</v>
      </c>
      <c r="AX756" t="s">
        <v>74</v>
      </c>
      <c r="AY756" t="s">
        <v>74</v>
      </c>
      <c r="AZ756" t="s">
        <v>74</v>
      </c>
      <c r="BA756" t="s">
        <v>74</v>
      </c>
      <c r="BB756">
        <v>39829</v>
      </c>
      <c r="BC756">
        <v>39836</v>
      </c>
      <c r="BD756" t="s">
        <v>74</v>
      </c>
      <c r="BE756" t="s">
        <v>6602</v>
      </c>
      <c r="BF756" t="str">
        <f>HYPERLINK("http://dx.doi.org/10.1039/c8ra08763f","http://dx.doi.org/10.1039/c8ra08763f")</f>
        <v>http://dx.doi.org/10.1039/c8ra08763f</v>
      </c>
      <c r="BG756" t="s">
        <v>74</v>
      </c>
      <c r="BH756" t="s">
        <v>74</v>
      </c>
      <c r="BI756" t="s">
        <v>74</v>
      </c>
      <c r="BJ756" t="s">
        <v>74</v>
      </c>
      <c r="BK756" t="s">
        <v>74</v>
      </c>
      <c r="BL756" t="s">
        <v>74</v>
      </c>
      <c r="BM756" t="s">
        <v>74</v>
      </c>
      <c r="BN756">
        <v>35558238</v>
      </c>
      <c r="BO756" t="s">
        <v>74</v>
      </c>
      <c r="BP756" t="s">
        <v>74</v>
      </c>
      <c r="BQ756" t="s">
        <v>74</v>
      </c>
      <c r="BR756" t="s">
        <v>74</v>
      </c>
      <c r="BS756" t="s">
        <v>6603</v>
      </c>
      <c r="BT756" t="str">
        <f>HYPERLINK("https%3A%2F%2Fwww.webofscience.com%2Fwos%2Fwoscc%2Ffull-record%2FWOS:000452778800005","View Full Record in Web of Science")</f>
        <v>View Full Record in Web of Science</v>
      </c>
    </row>
    <row r="757" spans="1:72" x14ac:dyDescent="0.2">
      <c r="A757" t="s">
        <v>72</v>
      </c>
      <c r="B757" t="s">
        <v>6604</v>
      </c>
      <c r="C757" t="s">
        <v>74</v>
      </c>
      <c r="D757" t="s">
        <v>74</v>
      </c>
      <c r="E757" t="s">
        <v>74</v>
      </c>
      <c r="F757" t="s">
        <v>6605</v>
      </c>
      <c r="G757" t="s">
        <v>74</v>
      </c>
      <c r="H757" t="s">
        <v>74</v>
      </c>
      <c r="I757" t="s">
        <v>6606</v>
      </c>
      <c r="J757" t="s">
        <v>1256</v>
      </c>
      <c r="K757" t="s">
        <v>74</v>
      </c>
      <c r="L757" t="s">
        <v>74</v>
      </c>
      <c r="M757" t="s">
        <v>74</v>
      </c>
      <c r="N757" t="s">
        <v>74</v>
      </c>
      <c r="O757" t="s">
        <v>74</v>
      </c>
      <c r="P757" t="s">
        <v>74</v>
      </c>
      <c r="Q757" t="s">
        <v>74</v>
      </c>
      <c r="R757" t="s">
        <v>74</v>
      </c>
      <c r="S757" t="s">
        <v>74</v>
      </c>
      <c r="T757" t="s">
        <v>74</v>
      </c>
      <c r="U757" t="s">
        <v>74</v>
      </c>
      <c r="V757" t="s">
        <v>6607</v>
      </c>
      <c r="W757" t="s">
        <v>74</v>
      </c>
      <c r="X757" t="s">
        <v>74</v>
      </c>
      <c r="Y757" t="s">
        <v>74</v>
      </c>
      <c r="Z757" t="s">
        <v>74</v>
      </c>
      <c r="AA757" t="s">
        <v>6608</v>
      </c>
      <c r="AB757" t="s">
        <v>6609</v>
      </c>
      <c r="AC757" t="s">
        <v>74</v>
      </c>
      <c r="AD757" t="s">
        <v>74</v>
      </c>
      <c r="AE757" t="s">
        <v>74</v>
      </c>
      <c r="AF757" t="s">
        <v>74</v>
      </c>
      <c r="AG757" t="s">
        <v>74</v>
      </c>
      <c r="AH757" t="s">
        <v>74</v>
      </c>
      <c r="AI757" t="s">
        <v>74</v>
      </c>
      <c r="AJ757" t="s">
        <v>74</v>
      </c>
      <c r="AK757" t="s">
        <v>74</v>
      </c>
      <c r="AL757" t="s">
        <v>74</v>
      </c>
      <c r="AM757" t="s">
        <v>74</v>
      </c>
      <c r="AN757" t="s">
        <v>74</v>
      </c>
      <c r="AO757" t="s">
        <v>1258</v>
      </c>
      <c r="AP757" t="s">
        <v>1259</v>
      </c>
      <c r="AQ757" t="s">
        <v>74</v>
      </c>
      <c r="AR757" t="s">
        <v>74</v>
      </c>
      <c r="AS757" t="s">
        <v>74</v>
      </c>
      <c r="AT757" t="s">
        <v>1364</v>
      </c>
      <c r="AU757">
        <v>2017</v>
      </c>
      <c r="AV757">
        <v>258</v>
      </c>
      <c r="AW757" t="s">
        <v>74</v>
      </c>
      <c r="AX757" t="s">
        <v>74</v>
      </c>
      <c r="AY757" t="s">
        <v>74</v>
      </c>
      <c r="AZ757" t="s">
        <v>74</v>
      </c>
      <c r="BA757" t="s">
        <v>74</v>
      </c>
      <c r="BB757">
        <v>1115</v>
      </c>
      <c r="BC757">
        <v>1139</v>
      </c>
      <c r="BD757" t="s">
        <v>74</v>
      </c>
      <c r="BE757" t="s">
        <v>6610</v>
      </c>
      <c r="BF757" t="str">
        <f>HYPERLINK("http://dx.doi.org/10.1016/j.electacta.2017.11.165","http://dx.doi.org/10.1016/j.electacta.2017.11.165")</f>
        <v>http://dx.doi.org/10.1016/j.electacta.2017.11.165</v>
      </c>
      <c r="BG757" t="s">
        <v>74</v>
      </c>
      <c r="BH757" t="s">
        <v>74</v>
      </c>
      <c r="BI757" t="s">
        <v>74</v>
      </c>
      <c r="BJ757" t="s">
        <v>74</v>
      </c>
      <c r="BK757" t="s">
        <v>74</v>
      </c>
      <c r="BL757" t="s">
        <v>74</v>
      </c>
      <c r="BM757" t="s">
        <v>74</v>
      </c>
      <c r="BN757" t="s">
        <v>74</v>
      </c>
      <c r="BO757" t="s">
        <v>74</v>
      </c>
      <c r="BP757" t="s">
        <v>74</v>
      </c>
      <c r="BQ757" t="s">
        <v>74</v>
      </c>
      <c r="BR757" t="s">
        <v>74</v>
      </c>
      <c r="BS757" t="s">
        <v>6611</v>
      </c>
      <c r="BT757" t="str">
        <f>HYPERLINK("https%3A%2F%2Fwww.webofscience.com%2Fwos%2Fwoscc%2Ffull-record%2FWOS:000418324800126","View Full Record in Web of Science")</f>
        <v>View Full Record in Web of Science</v>
      </c>
    </row>
    <row r="758" spans="1:72" x14ac:dyDescent="0.2">
      <c r="A758" t="s">
        <v>72</v>
      </c>
      <c r="B758" t="s">
        <v>6612</v>
      </c>
      <c r="C758" t="s">
        <v>74</v>
      </c>
      <c r="D758" t="s">
        <v>74</v>
      </c>
      <c r="E758" t="s">
        <v>74</v>
      </c>
      <c r="F758" t="s">
        <v>6613</v>
      </c>
      <c r="G758" t="s">
        <v>74</v>
      </c>
      <c r="H758" t="s">
        <v>74</v>
      </c>
      <c r="I758" t="s">
        <v>6614</v>
      </c>
      <c r="J758" t="s">
        <v>895</v>
      </c>
      <c r="K758" t="s">
        <v>74</v>
      </c>
      <c r="L758" t="s">
        <v>74</v>
      </c>
      <c r="M758" t="s">
        <v>74</v>
      </c>
      <c r="N758" t="s">
        <v>74</v>
      </c>
      <c r="O758" t="s">
        <v>74</v>
      </c>
      <c r="P758" t="s">
        <v>74</v>
      </c>
      <c r="Q758" t="s">
        <v>74</v>
      </c>
      <c r="R758" t="s">
        <v>74</v>
      </c>
      <c r="S758" t="s">
        <v>74</v>
      </c>
      <c r="T758" t="s">
        <v>74</v>
      </c>
      <c r="U758" t="s">
        <v>74</v>
      </c>
      <c r="V758" t="s">
        <v>6615</v>
      </c>
      <c r="W758" t="s">
        <v>74</v>
      </c>
      <c r="X758" t="s">
        <v>74</v>
      </c>
      <c r="Y758" t="s">
        <v>74</v>
      </c>
      <c r="Z758" t="s">
        <v>74</v>
      </c>
      <c r="AA758" t="s">
        <v>6616</v>
      </c>
      <c r="AB758" t="s">
        <v>6617</v>
      </c>
      <c r="AC758" t="s">
        <v>74</v>
      </c>
      <c r="AD758" t="s">
        <v>74</v>
      </c>
      <c r="AE758" t="s">
        <v>74</v>
      </c>
      <c r="AF758" t="s">
        <v>74</v>
      </c>
      <c r="AG758" t="s">
        <v>74</v>
      </c>
      <c r="AH758" t="s">
        <v>74</v>
      </c>
      <c r="AI758" t="s">
        <v>74</v>
      </c>
      <c r="AJ758" t="s">
        <v>74</v>
      </c>
      <c r="AK758" t="s">
        <v>74</v>
      </c>
      <c r="AL758" t="s">
        <v>74</v>
      </c>
      <c r="AM758" t="s">
        <v>74</v>
      </c>
      <c r="AN758" t="s">
        <v>74</v>
      </c>
      <c r="AO758" t="s">
        <v>899</v>
      </c>
      <c r="AP758" t="s">
        <v>900</v>
      </c>
      <c r="AQ758" t="s">
        <v>74</v>
      </c>
      <c r="AR758" t="s">
        <v>74</v>
      </c>
      <c r="AS758" t="s">
        <v>74</v>
      </c>
      <c r="AT758" t="s">
        <v>1318</v>
      </c>
      <c r="AU758">
        <v>2017</v>
      </c>
      <c r="AV758">
        <v>10</v>
      </c>
      <c r="AW758">
        <v>12</v>
      </c>
      <c r="AX758" t="s">
        <v>74</v>
      </c>
      <c r="AY758" t="s">
        <v>74</v>
      </c>
      <c r="AZ758" t="s">
        <v>74</v>
      </c>
      <c r="BA758" t="s">
        <v>74</v>
      </c>
      <c r="BB758">
        <v>2609</v>
      </c>
      <c r="BC758">
        <v>2615</v>
      </c>
      <c r="BD758" t="s">
        <v>74</v>
      </c>
      <c r="BE758" t="s">
        <v>6618</v>
      </c>
      <c r="BF758" t="str">
        <f>HYPERLINK("http://dx.doi.org/10.1039/c7ee02420g","http://dx.doi.org/10.1039/c7ee02420g")</f>
        <v>http://dx.doi.org/10.1039/c7ee02420g</v>
      </c>
      <c r="BG758" t="s">
        <v>74</v>
      </c>
      <c r="BH758" t="s">
        <v>74</v>
      </c>
      <c r="BI758" t="s">
        <v>74</v>
      </c>
      <c r="BJ758" t="s">
        <v>74</v>
      </c>
      <c r="BK758" t="s">
        <v>74</v>
      </c>
      <c r="BL758" t="s">
        <v>74</v>
      </c>
      <c r="BM758" t="s">
        <v>74</v>
      </c>
      <c r="BN758" t="s">
        <v>74</v>
      </c>
      <c r="BO758" t="s">
        <v>74</v>
      </c>
      <c r="BP758" t="s">
        <v>74</v>
      </c>
      <c r="BQ758" t="s">
        <v>74</v>
      </c>
      <c r="BR758" t="s">
        <v>74</v>
      </c>
      <c r="BS758" t="s">
        <v>6619</v>
      </c>
      <c r="BT758" t="str">
        <f>HYPERLINK("https%3A%2F%2Fwww.webofscience.com%2Fwos%2Fwoscc%2Ffull-record%2FWOS:000417255900013","View Full Record in Web of Science")</f>
        <v>View Full Record in Web of Science</v>
      </c>
    </row>
    <row r="759" spans="1:72" x14ac:dyDescent="0.2">
      <c r="A759" t="s">
        <v>72</v>
      </c>
      <c r="B759" t="s">
        <v>6620</v>
      </c>
      <c r="C759" t="s">
        <v>74</v>
      </c>
      <c r="D759" t="s">
        <v>74</v>
      </c>
      <c r="E759" t="s">
        <v>74</v>
      </c>
      <c r="F759" t="s">
        <v>6621</v>
      </c>
      <c r="G759" t="s">
        <v>74</v>
      </c>
      <c r="H759" t="s">
        <v>74</v>
      </c>
      <c r="I759" t="s">
        <v>6622</v>
      </c>
      <c r="J759" t="s">
        <v>6623</v>
      </c>
      <c r="K759" t="s">
        <v>74</v>
      </c>
      <c r="L759" t="s">
        <v>74</v>
      </c>
      <c r="M759" t="s">
        <v>74</v>
      </c>
      <c r="N759" t="s">
        <v>74</v>
      </c>
      <c r="O759" t="s">
        <v>74</v>
      </c>
      <c r="P759" t="s">
        <v>74</v>
      </c>
      <c r="Q759" t="s">
        <v>74</v>
      </c>
      <c r="R759" t="s">
        <v>74</v>
      </c>
      <c r="S759" t="s">
        <v>74</v>
      </c>
      <c r="T759" t="s">
        <v>74</v>
      </c>
      <c r="U759" t="s">
        <v>74</v>
      </c>
      <c r="V759" t="s">
        <v>6624</v>
      </c>
      <c r="W759" t="s">
        <v>74</v>
      </c>
      <c r="X759" t="s">
        <v>74</v>
      </c>
      <c r="Y759" t="s">
        <v>74</v>
      </c>
      <c r="Z759" t="s">
        <v>74</v>
      </c>
      <c r="AA759" t="s">
        <v>6625</v>
      </c>
      <c r="AB759" t="s">
        <v>6626</v>
      </c>
      <c r="AC759" t="s">
        <v>74</v>
      </c>
      <c r="AD759" t="s">
        <v>74</v>
      </c>
      <c r="AE759" t="s">
        <v>74</v>
      </c>
      <c r="AF759" t="s">
        <v>74</v>
      </c>
      <c r="AG759" t="s">
        <v>74</v>
      </c>
      <c r="AH759" t="s">
        <v>74</v>
      </c>
      <c r="AI759" t="s">
        <v>74</v>
      </c>
      <c r="AJ759" t="s">
        <v>74</v>
      </c>
      <c r="AK759" t="s">
        <v>74</v>
      </c>
      <c r="AL759" t="s">
        <v>74</v>
      </c>
      <c r="AM759" t="s">
        <v>74</v>
      </c>
      <c r="AN759" t="s">
        <v>74</v>
      </c>
      <c r="AO759" t="s">
        <v>6627</v>
      </c>
      <c r="AP759" t="s">
        <v>74</v>
      </c>
      <c r="AQ759" t="s">
        <v>74</v>
      </c>
      <c r="AR759" t="s">
        <v>74</v>
      </c>
      <c r="AS759" t="s">
        <v>74</v>
      </c>
      <c r="AT759" t="s">
        <v>6628</v>
      </c>
      <c r="AU759">
        <v>2017</v>
      </c>
      <c r="AV759">
        <v>7</v>
      </c>
      <c r="AW759" t="s">
        <v>74</v>
      </c>
      <c r="AX759" t="s">
        <v>74</v>
      </c>
      <c r="AY759" t="s">
        <v>74</v>
      </c>
      <c r="AZ759" t="s">
        <v>74</v>
      </c>
      <c r="BA759" t="s">
        <v>74</v>
      </c>
      <c r="BB759" t="s">
        <v>74</v>
      </c>
      <c r="BC759" t="s">
        <v>74</v>
      </c>
      <c r="BD759">
        <v>16340</v>
      </c>
      <c r="BE759" t="s">
        <v>6629</v>
      </c>
      <c r="BF759" t="str">
        <f>HYPERLINK("http://dx.doi.org/10.1038/s41598-017-16597-7","http://dx.doi.org/10.1038/s41598-017-16597-7")</f>
        <v>http://dx.doi.org/10.1038/s41598-017-16597-7</v>
      </c>
      <c r="BG759" t="s">
        <v>74</v>
      </c>
      <c r="BH759" t="s">
        <v>74</v>
      </c>
      <c r="BI759" t="s">
        <v>74</v>
      </c>
      <c r="BJ759" t="s">
        <v>74</v>
      </c>
      <c r="BK759" t="s">
        <v>74</v>
      </c>
      <c r="BL759" t="s">
        <v>74</v>
      </c>
      <c r="BM759" t="s">
        <v>74</v>
      </c>
      <c r="BN759">
        <v>29180739</v>
      </c>
      <c r="BO759" t="s">
        <v>74</v>
      </c>
      <c r="BP759" t="s">
        <v>74</v>
      </c>
      <c r="BQ759" t="s">
        <v>74</v>
      </c>
      <c r="BR759" t="s">
        <v>74</v>
      </c>
      <c r="BS759" t="s">
        <v>6630</v>
      </c>
      <c r="BT759" t="str">
        <f>HYPERLINK("https%3A%2F%2Fwww.webofscience.com%2Fwos%2Fwoscc%2Ffull-record%2FWOS:000416307000015","View Full Record in Web of Science")</f>
        <v>View Full Record in Web of Science</v>
      </c>
    </row>
    <row r="760" spans="1:72" x14ac:dyDescent="0.2">
      <c r="A760" t="s">
        <v>72</v>
      </c>
      <c r="B760" t="s">
        <v>6631</v>
      </c>
      <c r="C760" t="s">
        <v>74</v>
      </c>
      <c r="D760" t="s">
        <v>74</v>
      </c>
      <c r="E760" t="s">
        <v>74</v>
      </c>
      <c r="F760" t="s">
        <v>6632</v>
      </c>
      <c r="G760" t="s">
        <v>74</v>
      </c>
      <c r="H760" t="s">
        <v>74</v>
      </c>
      <c r="I760" t="s">
        <v>6633</v>
      </c>
      <c r="J760" t="s">
        <v>1273</v>
      </c>
      <c r="K760" t="s">
        <v>74</v>
      </c>
      <c r="L760" t="s">
        <v>74</v>
      </c>
      <c r="M760" t="s">
        <v>74</v>
      </c>
      <c r="N760" t="s">
        <v>74</v>
      </c>
      <c r="O760" t="s">
        <v>74</v>
      </c>
      <c r="P760" t="s">
        <v>74</v>
      </c>
      <c r="Q760" t="s">
        <v>74</v>
      </c>
      <c r="R760" t="s">
        <v>74</v>
      </c>
      <c r="S760" t="s">
        <v>74</v>
      </c>
      <c r="T760" t="s">
        <v>74</v>
      </c>
      <c r="U760" t="s">
        <v>74</v>
      </c>
      <c r="V760" t="s">
        <v>6634</v>
      </c>
      <c r="W760" t="s">
        <v>74</v>
      </c>
      <c r="X760" t="s">
        <v>74</v>
      </c>
      <c r="Y760" t="s">
        <v>74</v>
      </c>
      <c r="Z760" t="s">
        <v>74</v>
      </c>
      <c r="AA760" t="s">
        <v>6635</v>
      </c>
      <c r="AB760" t="s">
        <v>6636</v>
      </c>
      <c r="AC760" t="s">
        <v>74</v>
      </c>
      <c r="AD760" t="s">
        <v>74</v>
      </c>
      <c r="AE760" t="s">
        <v>74</v>
      </c>
      <c r="AF760" t="s">
        <v>74</v>
      </c>
      <c r="AG760" t="s">
        <v>74</v>
      </c>
      <c r="AH760" t="s">
        <v>74</v>
      </c>
      <c r="AI760" t="s">
        <v>74</v>
      </c>
      <c r="AJ760" t="s">
        <v>74</v>
      </c>
      <c r="AK760" t="s">
        <v>74</v>
      </c>
      <c r="AL760" t="s">
        <v>74</v>
      </c>
      <c r="AM760" t="s">
        <v>74</v>
      </c>
      <c r="AN760" t="s">
        <v>74</v>
      </c>
      <c r="AO760" t="s">
        <v>1277</v>
      </c>
      <c r="AP760" t="s">
        <v>1278</v>
      </c>
      <c r="AQ760" t="s">
        <v>74</v>
      </c>
      <c r="AR760" t="s">
        <v>74</v>
      </c>
      <c r="AS760" t="s">
        <v>74</v>
      </c>
      <c r="AT760" t="s">
        <v>6637</v>
      </c>
      <c r="AU760">
        <v>2017</v>
      </c>
      <c r="AV760">
        <v>29</v>
      </c>
      <c r="AW760">
        <v>21</v>
      </c>
      <c r="AX760" t="s">
        <v>74</v>
      </c>
      <c r="AY760" t="s">
        <v>74</v>
      </c>
      <c r="AZ760" t="s">
        <v>74</v>
      </c>
      <c r="BA760" t="s">
        <v>74</v>
      </c>
      <c r="BB760">
        <v>9308</v>
      </c>
      <c r="BC760">
        <v>9319</v>
      </c>
      <c r="BD760" t="s">
        <v>74</v>
      </c>
      <c r="BE760" t="s">
        <v>6638</v>
      </c>
      <c r="BF760" t="str">
        <f>HYPERLINK("http://dx.doi.org/10.1021/acs.chemmater.7b03284","http://dx.doi.org/10.1021/acs.chemmater.7b03284")</f>
        <v>http://dx.doi.org/10.1021/acs.chemmater.7b03284</v>
      </c>
      <c r="BG760" t="s">
        <v>74</v>
      </c>
      <c r="BH760" t="s">
        <v>74</v>
      </c>
      <c r="BI760" t="s">
        <v>74</v>
      </c>
      <c r="BJ760" t="s">
        <v>74</v>
      </c>
      <c r="BK760" t="s">
        <v>74</v>
      </c>
      <c r="BL760" t="s">
        <v>74</v>
      </c>
      <c r="BM760" t="s">
        <v>74</v>
      </c>
      <c r="BN760" t="s">
        <v>74</v>
      </c>
      <c r="BO760" t="s">
        <v>74</v>
      </c>
      <c r="BP760" t="s">
        <v>74</v>
      </c>
      <c r="BQ760" t="s">
        <v>74</v>
      </c>
      <c r="BR760" t="s">
        <v>74</v>
      </c>
      <c r="BS760" t="s">
        <v>6639</v>
      </c>
      <c r="BT760" t="str">
        <f>HYPERLINK("https%3A%2F%2Fwww.webofscience.com%2Fwos%2Fwoscc%2Ffull-record%2FWOS:000415911600044","View Full Record in Web of Science")</f>
        <v>View Full Record in Web of Science</v>
      </c>
    </row>
    <row r="761" spans="1:72" x14ac:dyDescent="0.2">
      <c r="A761" t="s">
        <v>72</v>
      </c>
      <c r="B761" t="s">
        <v>6640</v>
      </c>
      <c r="C761" t="s">
        <v>74</v>
      </c>
      <c r="D761" t="s">
        <v>74</v>
      </c>
      <c r="E761" t="s">
        <v>74</v>
      </c>
      <c r="F761" t="s">
        <v>6641</v>
      </c>
      <c r="G761" t="s">
        <v>74</v>
      </c>
      <c r="H761" t="s">
        <v>74</v>
      </c>
      <c r="I761" t="s">
        <v>6642</v>
      </c>
      <c r="J761" t="s">
        <v>6643</v>
      </c>
      <c r="K761" t="s">
        <v>74</v>
      </c>
      <c r="L761" t="s">
        <v>74</v>
      </c>
      <c r="M761" t="s">
        <v>74</v>
      </c>
      <c r="N761" t="s">
        <v>74</v>
      </c>
      <c r="O761" t="s">
        <v>74</v>
      </c>
      <c r="P761" t="s">
        <v>74</v>
      </c>
      <c r="Q761" t="s">
        <v>74</v>
      </c>
      <c r="R761" t="s">
        <v>74</v>
      </c>
      <c r="S761" t="s">
        <v>74</v>
      </c>
      <c r="T761" t="s">
        <v>74</v>
      </c>
      <c r="U761" t="s">
        <v>74</v>
      </c>
      <c r="V761" t="s">
        <v>6644</v>
      </c>
      <c r="W761" t="s">
        <v>74</v>
      </c>
      <c r="X761" t="s">
        <v>74</v>
      </c>
      <c r="Y761" t="s">
        <v>74</v>
      </c>
      <c r="Z761" t="s">
        <v>74</v>
      </c>
      <c r="AA761" t="s">
        <v>74</v>
      </c>
      <c r="AB761" t="s">
        <v>5895</v>
      </c>
      <c r="AC761" t="s">
        <v>74</v>
      </c>
      <c r="AD761" t="s">
        <v>74</v>
      </c>
      <c r="AE761" t="s">
        <v>74</v>
      </c>
      <c r="AF761" t="s">
        <v>74</v>
      </c>
      <c r="AG761" t="s">
        <v>74</v>
      </c>
      <c r="AH761" t="s">
        <v>74</v>
      </c>
      <c r="AI761" t="s">
        <v>74</v>
      </c>
      <c r="AJ761" t="s">
        <v>74</v>
      </c>
      <c r="AK761" t="s">
        <v>74</v>
      </c>
      <c r="AL761" t="s">
        <v>74</v>
      </c>
      <c r="AM761" t="s">
        <v>74</v>
      </c>
      <c r="AN761" t="s">
        <v>74</v>
      </c>
      <c r="AO761" t="s">
        <v>6645</v>
      </c>
      <c r="AP761" t="s">
        <v>74</v>
      </c>
      <c r="AQ761" t="s">
        <v>74</v>
      </c>
      <c r="AR761" t="s">
        <v>74</v>
      </c>
      <c r="AS761" t="s">
        <v>74</v>
      </c>
      <c r="AT761" t="s">
        <v>92</v>
      </c>
      <c r="AU761">
        <v>2017</v>
      </c>
      <c r="AV761">
        <v>17</v>
      </c>
      <c r="AW761">
        <v>6</v>
      </c>
      <c r="AX761" t="s">
        <v>74</v>
      </c>
      <c r="AY761" t="s">
        <v>74</v>
      </c>
      <c r="AZ761" t="s">
        <v>74</v>
      </c>
      <c r="BA761" t="s">
        <v>74</v>
      </c>
      <c r="BB761">
        <v>507</v>
      </c>
      <c r="BC761">
        <v>515</v>
      </c>
      <c r="BD761" t="s">
        <v>74</v>
      </c>
      <c r="BE761" t="s">
        <v>6646</v>
      </c>
      <c r="BF761" t="str">
        <f>HYPERLINK("http://dx.doi.org/10.1515/epoly-2017-0022","http://dx.doi.org/10.1515/epoly-2017-0022")</f>
        <v>http://dx.doi.org/10.1515/epoly-2017-0022</v>
      </c>
      <c r="BG761" t="s">
        <v>74</v>
      </c>
      <c r="BH761" t="s">
        <v>74</v>
      </c>
      <c r="BI761" t="s">
        <v>74</v>
      </c>
      <c r="BJ761" t="s">
        <v>74</v>
      </c>
      <c r="BK761" t="s">
        <v>74</v>
      </c>
      <c r="BL761" t="s">
        <v>74</v>
      </c>
      <c r="BM761" t="s">
        <v>74</v>
      </c>
      <c r="BN761" t="s">
        <v>74</v>
      </c>
      <c r="BO761" t="s">
        <v>74</v>
      </c>
      <c r="BP761" t="s">
        <v>74</v>
      </c>
      <c r="BQ761" t="s">
        <v>74</v>
      </c>
      <c r="BR761" t="s">
        <v>74</v>
      </c>
      <c r="BS761" t="s">
        <v>6647</v>
      </c>
      <c r="BT761" t="str">
        <f>HYPERLINK("https%3A%2F%2Fwww.webofscience.com%2Fwos%2Fwoscc%2Ffull-record%2FWOS:000414653200007","View Full Record in Web of Science")</f>
        <v>View Full Record in Web of Science</v>
      </c>
    </row>
    <row r="762" spans="1:72" x14ac:dyDescent="0.2">
      <c r="A762" t="s">
        <v>72</v>
      </c>
      <c r="B762" t="s">
        <v>6648</v>
      </c>
      <c r="C762" t="s">
        <v>74</v>
      </c>
      <c r="D762" t="s">
        <v>74</v>
      </c>
      <c r="E762" t="s">
        <v>74</v>
      </c>
      <c r="F762" t="s">
        <v>6649</v>
      </c>
      <c r="G762" t="s">
        <v>74</v>
      </c>
      <c r="H762" t="s">
        <v>74</v>
      </c>
      <c r="I762" t="s">
        <v>6650</v>
      </c>
      <c r="J762" t="s">
        <v>6651</v>
      </c>
      <c r="K762" t="s">
        <v>74</v>
      </c>
      <c r="L762" t="s">
        <v>74</v>
      </c>
      <c r="M762" t="s">
        <v>74</v>
      </c>
      <c r="N762" t="s">
        <v>74</v>
      </c>
      <c r="O762" t="s">
        <v>74</v>
      </c>
      <c r="P762" t="s">
        <v>74</v>
      </c>
      <c r="Q762" t="s">
        <v>74</v>
      </c>
      <c r="R762" t="s">
        <v>74</v>
      </c>
      <c r="S762" t="s">
        <v>74</v>
      </c>
      <c r="T762" t="s">
        <v>74</v>
      </c>
      <c r="U762" t="s">
        <v>74</v>
      </c>
      <c r="V762" t="s">
        <v>6652</v>
      </c>
      <c r="W762" t="s">
        <v>74</v>
      </c>
      <c r="X762" t="s">
        <v>74</v>
      </c>
      <c r="Y762" t="s">
        <v>74</v>
      </c>
      <c r="Z762" t="s">
        <v>74</v>
      </c>
      <c r="AA762" t="s">
        <v>6653</v>
      </c>
      <c r="AB762" t="s">
        <v>6654</v>
      </c>
      <c r="AC762" t="s">
        <v>74</v>
      </c>
      <c r="AD762" t="s">
        <v>74</v>
      </c>
      <c r="AE762" t="s">
        <v>74</v>
      </c>
      <c r="AF762" t="s">
        <v>74</v>
      </c>
      <c r="AG762" t="s">
        <v>74</v>
      </c>
      <c r="AH762" t="s">
        <v>74</v>
      </c>
      <c r="AI762" t="s">
        <v>74</v>
      </c>
      <c r="AJ762" t="s">
        <v>74</v>
      </c>
      <c r="AK762" t="s">
        <v>74</v>
      </c>
      <c r="AL762" t="s">
        <v>74</v>
      </c>
      <c r="AM762" t="s">
        <v>74</v>
      </c>
      <c r="AN762" t="s">
        <v>74</v>
      </c>
      <c r="AO762" t="s">
        <v>6655</v>
      </c>
      <c r="AP762" t="s">
        <v>74</v>
      </c>
      <c r="AQ762" t="s">
        <v>74</v>
      </c>
      <c r="AR762" t="s">
        <v>74</v>
      </c>
      <c r="AS762" t="s">
        <v>74</v>
      </c>
      <c r="AT762" t="s">
        <v>92</v>
      </c>
      <c r="AU762">
        <v>2017</v>
      </c>
      <c r="AV762">
        <v>3</v>
      </c>
      <c r="AW762">
        <v>11</v>
      </c>
      <c r="AX762" t="s">
        <v>74</v>
      </c>
      <c r="AY762" t="s">
        <v>74</v>
      </c>
      <c r="AZ762" t="s">
        <v>74</v>
      </c>
      <c r="BA762" t="s">
        <v>74</v>
      </c>
      <c r="BB762" t="s">
        <v>74</v>
      </c>
      <c r="BC762" t="s">
        <v>74</v>
      </c>
      <c r="BD762" t="s">
        <v>6656</v>
      </c>
      <c r="BE762" t="s">
        <v>6657</v>
      </c>
      <c r="BF762" t="str">
        <f>HYPERLINK("http://dx.doi.org/10.1126/sciadv.aao3170","http://dx.doi.org/10.1126/sciadv.aao3170")</f>
        <v>http://dx.doi.org/10.1126/sciadv.aao3170</v>
      </c>
      <c r="BG762" t="s">
        <v>74</v>
      </c>
      <c r="BH762" t="s">
        <v>74</v>
      </c>
      <c r="BI762" t="s">
        <v>74</v>
      </c>
      <c r="BJ762" t="s">
        <v>74</v>
      </c>
      <c r="BK762" t="s">
        <v>74</v>
      </c>
      <c r="BL762" t="s">
        <v>74</v>
      </c>
      <c r="BM762" t="s">
        <v>74</v>
      </c>
      <c r="BN762">
        <v>29202031</v>
      </c>
      <c r="BO762" t="s">
        <v>74</v>
      </c>
      <c r="BP762" t="s">
        <v>74</v>
      </c>
      <c r="BQ762" t="s">
        <v>74</v>
      </c>
      <c r="BR762" t="s">
        <v>74</v>
      </c>
      <c r="BS762" t="s">
        <v>6658</v>
      </c>
      <c r="BT762" t="str">
        <f>HYPERLINK("https%3A%2F%2Fwww.webofscience.com%2Fwos%2Fwoscc%2Ffull-record%2FWOS:000418002000051","View Full Record in Web of Science")</f>
        <v>View Full Record in Web of Science</v>
      </c>
    </row>
    <row r="763" spans="1:72" x14ac:dyDescent="0.2">
      <c r="A763" t="s">
        <v>72</v>
      </c>
      <c r="B763" t="s">
        <v>6659</v>
      </c>
      <c r="C763" t="s">
        <v>74</v>
      </c>
      <c r="D763" t="s">
        <v>74</v>
      </c>
      <c r="E763" t="s">
        <v>74</v>
      </c>
      <c r="F763" t="s">
        <v>6660</v>
      </c>
      <c r="G763" t="s">
        <v>74</v>
      </c>
      <c r="H763" t="s">
        <v>74</v>
      </c>
      <c r="I763" t="s">
        <v>6661</v>
      </c>
      <c r="J763" t="s">
        <v>665</v>
      </c>
      <c r="K763" t="s">
        <v>74</v>
      </c>
      <c r="L763" t="s">
        <v>74</v>
      </c>
      <c r="M763" t="s">
        <v>74</v>
      </c>
      <c r="N763" t="s">
        <v>74</v>
      </c>
      <c r="O763" t="s">
        <v>74</v>
      </c>
      <c r="P763" t="s">
        <v>74</v>
      </c>
      <c r="Q763" t="s">
        <v>74</v>
      </c>
      <c r="R763" t="s">
        <v>74</v>
      </c>
      <c r="S763" t="s">
        <v>74</v>
      </c>
      <c r="T763" t="s">
        <v>74</v>
      </c>
      <c r="U763" t="s">
        <v>74</v>
      </c>
      <c r="V763" t="s">
        <v>6662</v>
      </c>
      <c r="W763" t="s">
        <v>74</v>
      </c>
      <c r="X763" t="s">
        <v>74</v>
      </c>
      <c r="Y763" t="s">
        <v>74</v>
      </c>
      <c r="Z763" t="s">
        <v>74</v>
      </c>
      <c r="AA763" t="s">
        <v>6663</v>
      </c>
      <c r="AB763" t="s">
        <v>6664</v>
      </c>
      <c r="AC763" t="s">
        <v>74</v>
      </c>
      <c r="AD763" t="s">
        <v>74</v>
      </c>
      <c r="AE763" t="s">
        <v>74</v>
      </c>
      <c r="AF763" t="s">
        <v>74</v>
      </c>
      <c r="AG763" t="s">
        <v>74</v>
      </c>
      <c r="AH763" t="s">
        <v>74</v>
      </c>
      <c r="AI763" t="s">
        <v>74</v>
      </c>
      <c r="AJ763" t="s">
        <v>74</v>
      </c>
      <c r="AK763" t="s">
        <v>74</v>
      </c>
      <c r="AL763" t="s">
        <v>74</v>
      </c>
      <c r="AM763" t="s">
        <v>74</v>
      </c>
      <c r="AN763" t="s">
        <v>74</v>
      </c>
      <c r="AO763" t="s">
        <v>668</v>
      </c>
      <c r="AP763" t="s">
        <v>669</v>
      </c>
      <c r="AQ763" t="s">
        <v>74</v>
      </c>
      <c r="AR763" t="s">
        <v>74</v>
      </c>
      <c r="AS763" t="s">
        <v>74</v>
      </c>
      <c r="AT763" t="s">
        <v>103</v>
      </c>
      <c r="AU763">
        <v>2017</v>
      </c>
      <c r="AV763">
        <v>309</v>
      </c>
      <c r="AW763" t="s">
        <v>74</v>
      </c>
      <c r="AX763" t="s">
        <v>74</v>
      </c>
      <c r="AY763" t="s">
        <v>74</v>
      </c>
      <c r="AZ763" t="s">
        <v>74</v>
      </c>
      <c r="BA763" t="s">
        <v>74</v>
      </c>
      <c r="BB763">
        <v>71</v>
      </c>
      <c r="BC763">
        <v>76</v>
      </c>
      <c r="BD763" t="s">
        <v>74</v>
      </c>
      <c r="BE763" t="s">
        <v>6665</v>
      </c>
      <c r="BF763" t="str">
        <f>HYPERLINK("http://dx.doi.org/10.1016/j.ssi.2017.07.004","http://dx.doi.org/10.1016/j.ssi.2017.07.004")</f>
        <v>http://dx.doi.org/10.1016/j.ssi.2017.07.004</v>
      </c>
      <c r="BG763" t="s">
        <v>74</v>
      </c>
      <c r="BH763" t="s">
        <v>74</v>
      </c>
      <c r="BI763" t="s">
        <v>74</v>
      </c>
      <c r="BJ763" t="s">
        <v>74</v>
      </c>
      <c r="BK763" t="s">
        <v>74</v>
      </c>
      <c r="BL763" t="s">
        <v>74</v>
      </c>
      <c r="BM763" t="s">
        <v>74</v>
      </c>
      <c r="BN763" t="s">
        <v>74</v>
      </c>
      <c r="BO763" t="s">
        <v>74</v>
      </c>
      <c r="BP763" t="s">
        <v>74</v>
      </c>
      <c r="BQ763" t="s">
        <v>74</v>
      </c>
      <c r="BR763" t="s">
        <v>74</v>
      </c>
      <c r="BS763" t="s">
        <v>6666</v>
      </c>
      <c r="BT763" t="str">
        <f>HYPERLINK("https%3A%2F%2Fwww.webofscience.com%2Fwos%2Fwoscc%2Ffull-record%2FWOS:000412266100011","View Full Record in Web of Science")</f>
        <v>View Full Record in Web of Science</v>
      </c>
    </row>
    <row r="764" spans="1:72" x14ac:dyDescent="0.2">
      <c r="A764" t="s">
        <v>72</v>
      </c>
      <c r="B764" t="s">
        <v>6667</v>
      </c>
      <c r="C764" t="s">
        <v>74</v>
      </c>
      <c r="D764" t="s">
        <v>74</v>
      </c>
      <c r="E764" t="s">
        <v>74</v>
      </c>
      <c r="F764" t="s">
        <v>6668</v>
      </c>
      <c r="G764" t="s">
        <v>74</v>
      </c>
      <c r="H764" t="s">
        <v>74</v>
      </c>
      <c r="I764" t="s">
        <v>6669</v>
      </c>
      <c r="J764" t="s">
        <v>4233</v>
      </c>
      <c r="K764" t="s">
        <v>74</v>
      </c>
      <c r="L764" t="s">
        <v>74</v>
      </c>
      <c r="M764" t="s">
        <v>74</v>
      </c>
      <c r="N764" t="s">
        <v>74</v>
      </c>
      <c r="O764" t="s">
        <v>74</v>
      </c>
      <c r="P764" t="s">
        <v>74</v>
      </c>
      <c r="Q764" t="s">
        <v>74</v>
      </c>
      <c r="R764" t="s">
        <v>74</v>
      </c>
      <c r="S764" t="s">
        <v>74</v>
      </c>
      <c r="T764" t="s">
        <v>74</v>
      </c>
      <c r="U764" t="s">
        <v>74</v>
      </c>
      <c r="V764" t="s">
        <v>6670</v>
      </c>
      <c r="W764" t="s">
        <v>74</v>
      </c>
      <c r="X764" t="s">
        <v>74</v>
      </c>
      <c r="Y764" t="s">
        <v>74</v>
      </c>
      <c r="Z764" t="s">
        <v>74</v>
      </c>
      <c r="AA764" t="s">
        <v>6671</v>
      </c>
      <c r="AB764" t="s">
        <v>6672</v>
      </c>
      <c r="AC764" t="s">
        <v>74</v>
      </c>
      <c r="AD764" t="s">
        <v>74</v>
      </c>
      <c r="AE764" t="s">
        <v>74</v>
      </c>
      <c r="AF764" t="s">
        <v>74</v>
      </c>
      <c r="AG764" t="s">
        <v>74</v>
      </c>
      <c r="AH764" t="s">
        <v>74</v>
      </c>
      <c r="AI764" t="s">
        <v>74</v>
      </c>
      <c r="AJ764" t="s">
        <v>74</v>
      </c>
      <c r="AK764" t="s">
        <v>74</v>
      </c>
      <c r="AL764" t="s">
        <v>74</v>
      </c>
      <c r="AM764" t="s">
        <v>74</v>
      </c>
      <c r="AN764" t="s">
        <v>74</v>
      </c>
      <c r="AO764" t="s">
        <v>74</v>
      </c>
      <c r="AP764" t="s">
        <v>4237</v>
      </c>
      <c r="AQ764" t="s">
        <v>74</v>
      </c>
      <c r="AR764" t="s">
        <v>74</v>
      </c>
      <c r="AS764" t="s">
        <v>74</v>
      </c>
      <c r="AT764" t="s">
        <v>113</v>
      </c>
      <c r="AU764">
        <v>2017</v>
      </c>
      <c r="AV764">
        <v>10</v>
      </c>
      <c r="AW764">
        <v>10</v>
      </c>
      <c r="AX764" t="s">
        <v>74</v>
      </c>
      <c r="AY764" t="s">
        <v>74</v>
      </c>
      <c r="AZ764" t="s">
        <v>74</v>
      </c>
      <c r="BA764" t="s">
        <v>74</v>
      </c>
      <c r="BB764" t="s">
        <v>74</v>
      </c>
      <c r="BC764" t="s">
        <v>74</v>
      </c>
      <c r="BD764">
        <v>1645</v>
      </c>
      <c r="BE764" t="s">
        <v>6673</v>
      </c>
      <c r="BF764" t="str">
        <f>HYPERLINK("http://dx.doi.org/10.3390/en10101645","http://dx.doi.org/10.3390/en10101645")</f>
        <v>http://dx.doi.org/10.3390/en10101645</v>
      </c>
      <c r="BG764" t="s">
        <v>74</v>
      </c>
      <c r="BH764" t="s">
        <v>74</v>
      </c>
      <c r="BI764" t="s">
        <v>74</v>
      </c>
      <c r="BJ764" t="s">
        <v>74</v>
      </c>
      <c r="BK764" t="s">
        <v>74</v>
      </c>
      <c r="BL764" t="s">
        <v>74</v>
      </c>
      <c r="BM764" t="s">
        <v>74</v>
      </c>
      <c r="BN764" t="s">
        <v>74</v>
      </c>
      <c r="BO764" t="s">
        <v>74</v>
      </c>
      <c r="BP764" t="s">
        <v>74</v>
      </c>
      <c r="BQ764" t="s">
        <v>74</v>
      </c>
      <c r="BR764" t="s">
        <v>74</v>
      </c>
      <c r="BS764" t="s">
        <v>6674</v>
      </c>
      <c r="BT764" t="str">
        <f>HYPERLINK("https%3A%2F%2Fwww.webofscience.com%2Fwos%2Fwoscc%2Ffull-record%2FWOS:000414578400200","View Full Record in Web of Science")</f>
        <v>View Full Record in Web of Science</v>
      </c>
    </row>
    <row r="765" spans="1:72" x14ac:dyDescent="0.2">
      <c r="A765" t="s">
        <v>72</v>
      </c>
      <c r="B765" t="s">
        <v>6675</v>
      </c>
      <c r="C765" t="s">
        <v>74</v>
      </c>
      <c r="D765" t="s">
        <v>74</v>
      </c>
      <c r="E765" t="s">
        <v>74</v>
      </c>
      <c r="F765" t="s">
        <v>6676</v>
      </c>
      <c r="G765" t="s">
        <v>74</v>
      </c>
      <c r="H765" t="s">
        <v>74</v>
      </c>
      <c r="I765" t="s">
        <v>6677</v>
      </c>
      <c r="J765" t="s">
        <v>98</v>
      </c>
      <c r="K765" t="s">
        <v>74</v>
      </c>
      <c r="L765" t="s">
        <v>74</v>
      </c>
      <c r="M765" t="s">
        <v>74</v>
      </c>
      <c r="N765" t="s">
        <v>74</v>
      </c>
      <c r="O765" t="s">
        <v>74</v>
      </c>
      <c r="P765" t="s">
        <v>74</v>
      </c>
      <c r="Q765" t="s">
        <v>74</v>
      </c>
      <c r="R765" t="s">
        <v>74</v>
      </c>
      <c r="S765" t="s">
        <v>74</v>
      </c>
      <c r="T765" t="s">
        <v>74</v>
      </c>
      <c r="U765" t="s">
        <v>74</v>
      </c>
      <c r="V765" t="s">
        <v>6678</v>
      </c>
      <c r="W765" t="s">
        <v>74</v>
      </c>
      <c r="X765" t="s">
        <v>74</v>
      </c>
      <c r="Y765" t="s">
        <v>74</v>
      </c>
      <c r="Z765" t="s">
        <v>74</v>
      </c>
      <c r="AA765" t="s">
        <v>6679</v>
      </c>
      <c r="AB765" t="s">
        <v>6680</v>
      </c>
      <c r="AC765" t="s">
        <v>74</v>
      </c>
      <c r="AD765" t="s">
        <v>74</v>
      </c>
      <c r="AE765" t="s">
        <v>74</v>
      </c>
      <c r="AF765" t="s">
        <v>74</v>
      </c>
      <c r="AG765" t="s">
        <v>74</v>
      </c>
      <c r="AH765" t="s">
        <v>74</v>
      </c>
      <c r="AI765" t="s">
        <v>74</v>
      </c>
      <c r="AJ765" t="s">
        <v>74</v>
      </c>
      <c r="AK765" t="s">
        <v>74</v>
      </c>
      <c r="AL765" t="s">
        <v>74</v>
      </c>
      <c r="AM765" t="s">
        <v>74</v>
      </c>
      <c r="AN765" t="s">
        <v>74</v>
      </c>
      <c r="AO765" t="s">
        <v>101</v>
      </c>
      <c r="AP765" t="s">
        <v>102</v>
      </c>
      <c r="AQ765" t="s">
        <v>74</v>
      </c>
      <c r="AR765" t="s">
        <v>74</v>
      </c>
      <c r="AS765" t="s">
        <v>74</v>
      </c>
      <c r="AT765" t="s">
        <v>134</v>
      </c>
      <c r="AU765">
        <v>2017</v>
      </c>
      <c r="AV765">
        <v>364</v>
      </c>
      <c r="AW765" t="s">
        <v>74</v>
      </c>
      <c r="AX765" t="s">
        <v>74</v>
      </c>
      <c r="AY765" t="s">
        <v>74</v>
      </c>
      <c r="AZ765" t="s">
        <v>74</v>
      </c>
      <c r="BA765" t="s">
        <v>74</v>
      </c>
      <c r="BB765">
        <v>33</v>
      </c>
      <c r="BC765">
        <v>40</v>
      </c>
      <c r="BD765" t="s">
        <v>74</v>
      </c>
      <c r="BE765" t="s">
        <v>6681</v>
      </c>
      <c r="BF765" t="str">
        <f>HYPERLINK("http://dx.doi.org/10.1016/j.jpowsour.2017.08.012","http://dx.doi.org/10.1016/j.jpowsour.2017.08.012")</f>
        <v>http://dx.doi.org/10.1016/j.jpowsour.2017.08.012</v>
      </c>
      <c r="BG765" t="s">
        <v>74</v>
      </c>
      <c r="BH765" t="s">
        <v>74</v>
      </c>
      <c r="BI765" t="s">
        <v>74</v>
      </c>
      <c r="BJ765" t="s">
        <v>74</v>
      </c>
      <c r="BK765" t="s">
        <v>74</v>
      </c>
      <c r="BL765" t="s">
        <v>74</v>
      </c>
      <c r="BM765" t="s">
        <v>74</v>
      </c>
      <c r="BN765" t="s">
        <v>74</v>
      </c>
      <c r="BO765" t="s">
        <v>74</v>
      </c>
      <c r="BP765" t="s">
        <v>74</v>
      </c>
      <c r="BQ765" t="s">
        <v>74</v>
      </c>
      <c r="BR765" t="s">
        <v>74</v>
      </c>
      <c r="BS765" t="s">
        <v>6682</v>
      </c>
      <c r="BT765" t="str">
        <f>HYPERLINK("https%3A%2F%2Fwww.webofscience.com%2Fwos%2Fwoscc%2Ffull-record%2FWOS:000412250800005","View Full Record in Web of Science")</f>
        <v>View Full Record in Web of Science</v>
      </c>
    </row>
    <row r="766" spans="1:72" x14ac:dyDescent="0.2">
      <c r="A766" t="s">
        <v>72</v>
      </c>
      <c r="B766" t="s">
        <v>6683</v>
      </c>
      <c r="C766" t="s">
        <v>74</v>
      </c>
      <c r="D766" t="s">
        <v>74</v>
      </c>
      <c r="E766" t="s">
        <v>74</v>
      </c>
      <c r="F766" t="s">
        <v>6684</v>
      </c>
      <c r="G766" t="s">
        <v>74</v>
      </c>
      <c r="H766" t="s">
        <v>74</v>
      </c>
      <c r="I766" t="s">
        <v>6685</v>
      </c>
      <c r="J766" t="s">
        <v>1051</v>
      </c>
      <c r="K766" t="s">
        <v>74</v>
      </c>
      <c r="L766" t="s">
        <v>74</v>
      </c>
      <c r="M766" t="s">
        <v>74</v>
      </c>
      <c r="N766" t="s">
        <v>74</v>
      </c>
      <c r="O766" t="s">
        <v>74</v>
      </c>
      <c r="P766" t="s">
        <v>74</v>
      </c>
      <c r="Q766" t="s">
        <v>74</v>
      </c>
      <c r="R766" t="s">
        <v>74</v>
      </c>
      <c r="S766" t="s">
        <v>74</v>
      </c>
      <c r="T766" t="s">
        <v>74</v>
      </c>
      <c r="U766" t="s">
        <v>74</v>
      </c>
      <c r="V766" t="s">
        <v>6686</v>
      </c>
      <c r="W766" t="s">
        <v>74</v>
      </c>
      <c r="X766" t="s">
        <v>74</v>
      </c>
      <c r="Y766" t="s">
        <v>74</v>
      </c>
      <c r="Z766" t="s">
        <v>74</v>
      </c>
      <c r="AA766" t="s">
        <v>6687</v>
      </c>
      <c r="AB766" t="s">
        <v>6688</v>
      </c>
      <c r="AC766" t="s">
        <v>74</v>
      </c>
      <c r="AD766" t="s">
        <v>74</v>
      </c>
      <c r="AE766" t="s">
        <v>74</v>
      </c>
      <c r="AF766" t="s">
        <v>74</v>
      </c>
      <c r="AG766" t="s">
        <v>74</v>
      </c>
      <c r="AH766" t="s">
        <v>74</v>
      </c>
      <c r="AI766" t="s">
        <v>74</v>
      </c>
      <c r="AJ766" t="s">
        <v>74</v>
      </c>
      <c r="AK766" t="s">
        <v>74</v>
      </c>
      <c r="AL766" t="s">
        <v>74</v>
      </c>
      <c r="AM766" t="s">
        <v>74</v>
      </c>
      <c r="AN766" t="s">
        <v>74</v>
      </c>
      <c r="AO766" t="s">
        <v>1054</v>
      </c>
      <c r="AP766" t="s">
        <v>1055</v>
      </c>
      <c r="AQ766" t="s">
        <v>74</v>
      </c>
      <c r="AR766" t="s">
        <v>74</v>
      </c>
      <c r="AS766" t="s">
        <v>74</v>
      </c>
      <c r="AT766" t="s">
        <v>113</v>
      </c>
      <c r="AU766">
        <v>2017</v>
      </c>
      <c r="AV766">
        <v>83</v>
      </c>
      <c r="AW766" t="s">
        <v>74</v>
      </c>
      <c r="AX766" t="s">
        <v>74</v>
      </c>
      <c r="AY766" t="s">
        <v>74</v>
      </c>
      <c r="AZ766" t="s">
        <v>74</v>
      </c>
      <c r="BA766" t="s">
        <v>74</v>
      </c>
      <c r="BB766">
        <v>72</v>
      </c>
      <c r="BC766">
        <v>76</v>
      </c>
      <c r="BD766" t="s">
        <v>74</v>
      </c>
      <c r="BE766" t="s">
        <v>6689</v>
      </c>
      <c r="BF766" t="str">
        <f>HYPERLINK("http://dx.doi.org/10.1016/j.elecom.2017.09.001","http://dx.doi.org/10.1016/j.elecom.2017.09.001")</f>
        <v>http://dx.doi.org/10.1016/j.elecom.2017.09.001</v>
      </c>
      <c r="BG766" t="s">
        <v>74</v>
      </c>
      <c r="BH766" t="s">
        <v>74</v>
      </c>
      <c r="BI766" t="s">
        <v>74</v>
      </c>
      <c r="BJ766" t="s">
        <v>74</v>
      </c>
      <c r="BK766" t="s">
        <v>74</v>
      </c>
      <c r="BL766" t="s">
        <v>74</v>
      </c>
      <c r="BM766" t="s">
        <v>74</v>
      </c>
      <c r="BN766" t="s">
        <v>74</v>
      </c>
      <c r="BO766" t="s">
        <v>74</v>
      </c>
      <c r="BP766" t="s">
        <v>74</v>
      </c>
      <c r="BQ766" t="s">
        <v>74</v>
      </c>
      <c r="BR766" t="s">
        <v>74</v>
      </c>
      <c r="BS766" t="s">
        <v>6690</v>
      </c>
      <c r="BT766" t="str">
        <f>HYPERLINK("https%3A%2F%2Fwww.webofscience.com%2Fwos%2Fwoscc%2Ffull-record%2FWOS:000411349500016","View Full Record in Web of Science")</f>
        <v>View Full Record in Web of Science</v>
      </c>
    </row>
    <row r="767" spans="1:72" x14ac:dyDescent="0.2">
      <c r="A767" t="s">
        <v>72</v>
      </c>
      <c r="B767" t="s">
        <v>6691</v>
      </c>
      <c r="C767" t="s">
        <v>74</v>
      </c>
      <c r="D767" t="s">
        <v>74</v>
      </c>
      <c r="E767" t="s">
        <v>74</v>
      </c>
      <c r="F767" t="s">
        <v>6692</v>
      </c>
      <c r="G767" t="s">
        <v>74</v>
      </c>
      <c r="H767" t="s">
        <v>74</v>
      </c>
      <c r="I767" t="s">
        <v>6693</v>
      </c>
      <c r="J767" t="s">
        <v>98</v>
      </c>
      <c r="K767" t="s">
        <v>74</v>
      </c>
      <c r="L767" t="s">
        <v>74</v>
      </c>
      <c r="M767" t="s">
        <v>74</v>
      </c>
      <c r="N767" t="s">
        <v>74</v>
      </c>
      <c r="O767" t="s">
        <v>74</v>
      </c>
      <c r="P767" t="s">
        <v>74</v>
      </c>
      <c r="Q767" t="s">
        <v>74</v>
      </c>
      <c r="R767" t="s">
        <v>74</v>
      </c>
      <c r="S767" t="s">
        <v>74</v>
      </c>
      <c r="T767" t="s">
        <v>74</v>
      </c>
      <c r="U767" t="s">
        <v>74</v>
      </c>
      <c r="V767" t="s">
        <v>6694</v>
      </c>
      <c r="W767" t="s">
        <v>74</v>
      </c>
      <c r="X767" t="s">
        <v>74</v>
      </c>
      <c r="Y767" t="s">
        <v>74</v>
      </c>
      <c r="Z767" t="s">
        <v>74</v>
      </c>
      <c r="AA767" t="s">
        <v>6695</v>
      </c>
      <c r="AB767" t="s">
        <v>6696</v>
      </c>
      <c r="AC767" t="s">
        <v>74</v>
      </c>
      <c r="AD767" t="s">
        <v>74</v>
      </c>
      <c r="AE767" t="s">
        <v>74</v>
      </c>
      <c r="AF767" t="s">
        <v>74</v>
      </c>
      <c r="AG767" t="s">
        <v>74</v>
      </c>
      <c r="AH767" t="s">
        <v>74</v>
      </c>
      <c r="AI767" t="s">
        <v>74</v>
      </c>
      <c r="AJ767" t="s">
        <v>74</v>
      </c>
      <c r="AK767" t="s">
        <v>74</v>
      </c>
      <c r="AL767" t="s">
        <v>74</v>
      </c>
      <c r="AM767" t="s">
        <v>74</v>
      </c>
      <c r="AN767" t="s">
        <v>74</v>
      </c>
      <c r="AO767" t="s">
        <v>101</v>
      </c>
      <c r="AP767" t="s">
        <v>102</v>
      </c>
      <c r="AQ767" t="s">
        <v>74</v>
      </c>
      <c r="AR767" t="s">
        <v>74</v>
      </c>
      <c r="AS767" t="s">
        <v>74</v>
      </c>
      <c r="AT767" t="s">
        <v>243</v>
      </c>
      <c r="AU767">
        <v>2017</v>
      </c>
      <c r="AV767">
        <v>362</v>
      </c>
      <c r="AW767" t="s">
        <v>74</v>
      </c>
      <c r="AX767" t="s">
        <v>74</v>
      </c>
      <c r="AY767" t="s">
        <v>74</v>
      </c>
      <c r="AZ767" t="s">
        <v>74</v>
      </c>
      <c r="BA767" t="s">
        <v>74</v>
      </c>
      <c r="BB767">
        <v>131</v>
      </c>
      <c r="BC767">
        <v>139</v>
      </c>
      <c r="BD767" t="s">
        <v>74</v>
      </c>
      <c r="BE767" t="s">
        <v>6697</v>
      </c>
      <c r="BF767" t="str">
        <f>HYPERLINK("http://dx.doi.org/10.1016/j.jpowsour.2017.06.050","http://dx.doi.org/10.1016/j.jpowsour.2017.06.050")</f>
        <v>http://dx.doi.org/10.1016/j.jpowsour.2017.06.050</v>
      </c>
      <c r="BG767" t="s">
        <v>74</v>
      </c>
      <c r="BH767" t="s">
        <v>74</v>
      </c>
      <c r="BI767" t="s">
        <v>74</v>
      </c>
      <c r="BJ767" t="s">
        <v>74</v>
      </c>
      <c r="BK767" t="s">
        <v>74</v>
      </c>
      <c r="BL767" t="s">
        <v>74</v>
      </c>
      <c r="BM767" t="s">
        <v>74</v>
      </c>
      <c r="BN767" t="s">
        <v>74</v>
      </c>
      <c r="BO767" t="s">
        <v>74</v>
      </c>
      <c r="BP767" t="s">
        <v>74</v>
      </c>
      <c r="BQ767" t="s">
        <v>74</v>
      </c>
      <c r="BR767" t="s">
        <v>74</v>
      </c>
      <c r="BS767" t="s">
        <v>6698</v>
      </c>
      <c r="BT767" t="str">
        <f>HYPERLINK("https%3A%2F%2Fwww.webofscience.com%2Fwos%2Fwoscc%2Ffull-record%2FWOS:000408288600016","View Full Record in Web of Science")</f>
        <v>View Full Record in Web of Science</v>
      </c>
    </row>
    <row r="768" spans="1:72" x14ac:dyDescent="0.2">
      <c r="A768" t="s">
        <v>72</v>
      </c>
      <c r="B768" t="s">
        <v>6699</v>
      </c>
      <c r="C768" t="s">
        <v>74</v>
      </c>
      <c r="D768" t="s">
        <v>74</v>
      </c>
      <c r="E768" t="s">
        <v>74</v>
      </c>
      <c r="F768" t="s">
        <v>6700</v>
      </c>
      <c r="G768" t="s">
        <v>74</v>
      </c>
      <c r="H768" t="s">
        <v>74</v>
      </c>
      <c r="I768" t="s">
        <v>6701</v>
      </c>
      <c r="J768" t="s">
        <v>278</v>
      </c>
      <c r="K768" t="s">
        <v>74</v>
      </c>
      <c r="L768" t="s">
        <v>74</v>
      </c>
      <c r="M768" t="s">
        <v>74</v>
      </c>
      <c r="N768" t="s">
        <v>74</v>
      </c>
      <c r="O768" t="s">
        <v>74</v>
      </c>
      <c r="P768" t="s">
        <v>74</v>
      </c>
      <c r="Q768" t="s">
        <v>74</v>
      </c>
      <c r="R768" t="s">
        <v>74</v>
      </c>
      <c r="S768" t="s">
        <v>74</v>
      </c>
      <c r="T768" t="s">
        <v>74</v>
      </c>
      <c r="U768" t="s">
        <v>74</v>
      </c>
      <c r="V768" t="s">
        <v>6702</v>
      </c>
      <c r="W768" t="s">
        <v>74</v>
      </c>
      <c r="X768" t="s">
        <v>74</v>
      </c>
      <c r="Y768" t="s">
        <v>74</v>
      </c>
      <c r="Z768" t="s">
        <v>74</v>
      </c>
      <c r="AA768" t="s">
        <v>6703</v>
      </c>
      <c r="AB768" t="s">
        <v>6704</v>
      </c>
      <c r="AC768" t="s">
        <v>74</v>
      </c>
      <c r="AD768" t="s">
        <v>74</v>
      </c>
      <c r="AE768" t="s">
        <v>74</v>
      </c>
      <c r="AF768" t="s">
        <v>74</v>
      </c>
      <c r="AG768" t="s">
        <v>74</v>
      </c>
      <c r="AH768" t="s">
        <v>74</v>
      </c>
      <c r="AI768" t="s">
        <v>74</v>
      </c>
      <c r="AJ768" t="s">
        <v>74</v>
      </c>
      <c r="AK768" t="s">
        <v>74</v>
      </c>
      <c r="AL768" t="s">
        <v>74</v>
      </c>
      <c r="AM768" t="s">
        <v>74</v>
      </c>
      <c r="AN768" t="s">
        <v>74</v>
      </c>
      <c r="AO768" t="s">
        <v>281</v>
      </c>
      <c r="AP768" t="s">
        <v>282</v>
      </c>
      <c r="AQ768" t="s">
        <v>74</v>
      </c>
      <c r="AR768" t="s">
        <v>74</v>
      </c>
      <c r="AS768" t="s">
        <v>74</v>
      </c>
      <c r="AT768" t="s">
        <v>5887</v>
      </c>
      <c r="AU768">
        <v>2017</v>
      </c>
      <c r="AV768">
        <v>5</v>
      </c>
      <c r="AW768">
        <v>34</v>
      </c>
      <c r="AX768" t="s">
        <v>74</v>
      </c>
      <c r="AY768" t="s">
        <v>74</v>
      </c>
      <c r="AZ768" t="s">
        <v>74</v>
      </c>
      <c r="BA768" t="s">
        <v>74</v>
      </c>
      <c r="BB768">
        <v>18207</v>
      </c>
      <c r="BC768">
        <v>18213</v>
      </c>
      <c r="BD768" t="s">
        <v>74</v>
      </c>
      <c r="BE768" t="s">
        <v>6705</v>
      </c>
      <c r="BF768" t="str">
        <f>HYPERLINK("http://dx.doi.org/10.1039/c7ta05009g","http://dx.doi.org/10.1039/c7ta05009g")</f>
        <v>http://dx.doi.org/10.1039/c7ta05009g</v>
      </c>
      <c r="BG768" t="s">
        <v>74</v>
      </c>
      <c r="BH768" t="s">
        <v>74</v>
      </c>
      <c r="BI768" t="s">
        <v>74</v>
      </c>
      <c r="BJ768" t="s">
        <v>74</v>
      </c>
      <c r="BK768" t="s">
        <v>74</v>
      </c>
      <c r="BL768" t="s">
        <v>74</v>
      </c>
      <c r="BM768" t="s">
        <v>74</v>
      </c>
      <c r="BN768" t="s">
        <v>74</v>
      </c>
      <c r="BO768" t="s">
        <v>74</v>
      </c>
      <c r="BP768" t="s">
        <v>74</v>
      </c>
      <c r="BQ768" t="s">
        <v>74</v>
      </c>
      <c r="BR768" t="s">
        <v>74</v>
      </c>
      <c r="BS768" t="s">
        <v>6706</v>
      </c>
      <c r="BT768" t="str">
        <f>HYPERLINK("https%3A%2F%2Fwww.webofscience.com%2Fwos%2Fwoscc%2Ffull-record%2FWOS:000408592900053","View Full Record in Web of Science")</f>
        <v>View Full Record in Web of Science</v>
      </c>
    </row>
    <row r="769" spans="1:72" x14ac:dyDescent="0.2">
      <c r="A769" t="s">
        <v>72</v>
      </c>
      <c r="B769" t="s">
        <v>6707</v>
      </c>
      <c r="C769" t="s">
        <v>74</v>
      </c>
      <c r="D769" t="s">
        <v>74</v>
      </c>
      <c r="E769" t="s">
        <v>74</v>
      </c>
      <c r="F769" t="s">
        <v>6708</v>
      </c>
      <c r="G769" t="s">
        <v>74</v>
      </c>
      <c r="H769" t="s">
        <v>74</v>
      </c>
      <c r="I769" t="s">
        <v>6709</v>
      </c>
      <c r="J769" t="s">
        <v>1273</v>
      </c>
      <c r="K769" t="s">
        <v>74</v>
      </c>
      <c r="L769" t="s">
        <v>74</v>
      </c>
      <c r="M769" t="s">
        <v>74</v>
      </c>
      <c r="N769" t="s">
        <v>74</v>
      </c>
      <c r="O769" t="s">
        <v>74</v>
      </c>
      <c r="P769" t="s">
        <v>74</v>
      </c>
      <c r="Q769" t="s">
        <v>74</v>
      </c>
      <c r="R769" t="s">
        <v>74</v>
      </c>
      <c r="S769" t="s">
        <v>74</v>
      </c>
      <c r="T769" t="s">
        <v>74</v>
      </c>
      <c r="U769" t="s">
        <v>74</v>
      </c>
      <c r="V769" t="s">
        <v>6710</v>
      </c>
      <c r="W769" t="s">
        <v>74</v>
      </c>
      <c r="X769" t="s">
        <v>74</v>
      </c>
      <c r="Y769" t="s">
        <v>74</v>
      </c>
      <c r="Z769" t="s">
        <v>74</v>
      </c>
      <c r="AA769" t="s">
        <v>6711</v>
      </c>
      <c r="AB769" t="s">
        <v>6712</v>
      </c>
      <c r="AC769" t="s">
        <v>74</v>
      </c>
      <c r="AD769" t="s">
        <v>74</v>
      </c>
      <c r="AE769" t="s">
        <v>74</v>
      </c>
      <c r="AF769" t="s">
        <v>74</v>
      </c>
      <c r="AG769" t="s">
        <v>74</v>
      </c>
      <c r="AH769" t="s">
        <v>74</v>
      </c>
      <c r="AI769" t="s">
        <v>74</v>
      </c>
      <c r="AJ769" t="s">
        <v>74</v>
      </c>
      <c r="AK769" t="s">
        <v>74</v>
      </c>
      <c r="AL769" t="s">
        <v>74</v>
      </c>
      <c r="AM769" t="s">
        <v>74</v>
      </c>
      <c r="AN769" t="s">
        <v>74</v>
      </c>
      <c r="AO769" t="s">
        <v>1277</v>
      </c>
      <c r="AP769" t="s">
        <v>1278</v>
      </c>
      <c r="AQ769" t="s">
        <v>74</v>
      </c>
      <c r="AR769" t="s">
        <v>74</v>
      </c>
      <c r="AS769" t="s">
        <v>74</v>
      </c>
      <c r="AT769" t="s">
        <v>2839</v>
      </c>
      <c r="AU769">
        <v>2017</v>
      </c>
      <c r="AV769">
        <v>29</v>
      </c>
      <c r="AW769">
        <v>17</v>
      </c>
      <c r="AX769" t="s">
        <v>74</v>
      </c>
      <c r="AY769" t="s">
        <v>74</v>
      </c>
      <c r="AZ769" t="s">
        <v>74</v>
      </c>
      <c r="BA769" t="s">
        <v>74</v>
      </c>
      <c r="BB769">
        <v>7183</v>
      </c>
      <c r="BC769">
        <v>7188</v>
      </c>
      <c r="BD769" t="s">
        <v>74</v>
      </c>
      <c r="BE769" t="s">
        <v>6713</v>
      </c>
      <c r="BF769" t="str">
        <f>HYPERLINK("http://dx.doi.org/10.1021/acs.chemmater.7b01189","http://dx.doi.org/10.1021/acs.chemmater.7b01189")</f>
        <v>http://dx.doi.org/10.1021/acs.chemmater.7b01189</v>
      </c>
      <c r="BG769" t="s">
        <v>74</v>
      </c>
      <c r="BH769" t="s">
        <v>74</v>
      </c>
      <c r="BI769" t="s">
        <v>74</v>
      </c>
      <c r="BJ769" t="s">
        <v>74</v>
      </c>
      <c r="BK769" t="s">
        <v>74</v>
      </c>
      <c r="BL769" t="s">
        <v>74</v>
      </c>
      <c r="BM769" t="s">
        <v>74</v>
      </c>
      <c r="BN769" t="s">
        <v>74</v>
      </c>
      <c r="BO769" t="s">
        <v>74</v>
      </c>
      <c r="BP769" t="s">
        <v>74</v>
      </c>
      <c r="BQ769" t="s">
        <v>74</v>
      </c>
      <c r="BR769" t="s">
        <v>74</v>
      </c>
      <c r="BS769" t="s">
        <v>6714</v>
      </c>
      <c r="BT769" t="str">
        <f>HYPERLINK("https%3A%2F%2Fwww.webofscience.com%2Fwos%2Fwoscc%2Ffull-record%2FWOS:000410868600019","View Full Record in Web of Science")</f>
        <v>View Full Record in Web of Science</v>
      </c>
    </row>
    <row r="770" spans="1:72" x14ac:dyDescent="0.2">
      <c r="A770" t="s">
        <v>72</v>
      </c>
      <c r="B770" t="s">
        <v>6715</v>
      </c>
      <c r="C770" t="s">
        <v>74</v>
      </c>
      <c r="D770" t="s">
        <v>74</v>
      </c>
      <c r="E770" t="s">
        <v>74</v>
      </c>
      <c r="F770" t="s">
        <v>6716</v>
      </c>
      <c r="G770" t="s">
        <v>74</v>
      </c>
      <c r="H770" t="s">
        <v>74</v>
      </c>
      <c r="I770" t="s">
        <v>6717</v>
      </c>
      <c r="J770" t="s">
        <v>895</v>
      </c>
      <c r="K770" t="s">
        <v>74</v>
      </c>
      <c r="L770" t="s">
        <v>74</v>
      </c>
      <c r="M770" t="s">
        <v>74</v>
      </c>
      <c r="N770" t="s">
        <v>74</v>
      </c>
      <c r="O770" t="s">
        <v>74</v>
      </c>
      <c r="P770" t="s">
        <v>74</v>
      </c>
      <c r="Q770" t="s">
        <v>74</v>
      </c>
      <c r="R770" t="s">
        <v>74</v>
      </c>
      <c r="S770" t="s">
        <v>74</v>
      </c>
      <c r="T770" t="s">
        <v>74</v>
      </c>
      <c r="U770" t="s">
        <v>74</v>
      </c>
      <c r="V770" t="s">
        <v>6718</v>
      </c>
      <c r="W770" t="s">
        <v>74</v>
      </c>
      <c r="X770" t="s">
        <v>74</v>
      </c>
      <c r="Y770" t="s">
        <v>74</v>
      </c>
      <c r="Z770" t="s">
        <v>74</v>
      </c>
      <c r="AA770" t="s">
        <v>6719</v>
      </c>
      <c r="AB770" t="s">
        <v>6720</v>
      </c>
      <c r="AC770" t="s">
        <v>74</v>
      </c>
      <c r="AD770" t="s">
        <v>74</v>
      </c>
      <c r="AE770" t="s">
        <v>74</v>
      </c>
      <c r="AF770" t="s">
        <v>74</v>
      </c>
      <c r="AG770" t="s">
        <v>74</v>
      </c>
      <c r="AH770" t="s">
        <v>74</v>
      </c>
      <c r="AI770" t="s">
        <v>74</v>
      </c>
      <c r="AJ770" t="s">
        <v>74</v>
      </c>
      <c r="AK770" t="s">
        <v>74</v>
      </c>
      <c r="AL770" t="s">
        <v>74</v>
      </c>
      <c r="AM770" t="s">
        <v>74</v>
      </c>
      <c r="AN770" t="s">
        <v>74</v>
      </c>
      <c r="AO770" t="s">
        <v>899</v>
      </c>
      <c r="AP770" t="s">
        <v>900</v>
      </c>
      <c r="AQ770" t="s">
        <v>74</v>
      </c>
      <c r="AR770" t="s">
        <v>74</v>
      </c>
      <c r="AS770" t="s">
        <v>74</v>
      </c>
      <c r="AT770" t="s">
        <v>1919</v>
      </c>
      <c r="AU770">
        <v>2017</v>
      </c>
      <c r="AV770">
        <v>10</v>
      </c>
      <c r="AW770">
        <v>9</v>
      </c>
      <c r="AX770" t="s">
        <v>74</v>
      </c>
      <c r="AY770" t="s">
        <v>74</v>
      </c>
      <c r="AZ770" t="s">
        <v>74</v>
      </c>
      <c r="BA770" t="s">
        <v>74</v>
      </c>
      <c r="BB770">
        <v>1911</v>
      </c>
      <c r="BC770">
        <v>1916</v>
      </c>
      <c r="BD770" t="s">
        <v>74</v>
      </c>
      <c r="BE770" t="s">
        <v>6721</v>
      </c>
      <c r="BF770" t="str">
        <f>HYPERLINK("http://dx.doi.org/10.1039/c7ee01095h","http://dx.doi.org/10.1039/c7ee01095h")</f>
        <v>http://dx.doi.org/10.1039/c7ee01095h</v>
      </c>
      <c r="BG770" t="s">
        <v>74</v>
      </c>
      <c r="BH770" t="s">
        <v>74</v>
      </c>
      <c r="BI770" t="s">
        <v>74</v>
      </c>
      <c r="BJ770" t="s">
        <v>74</v>
      </c>
      <c r="BK770" t="s">
        <v>74</v>
      </c>
      <c r="BL770" t="s">
        <v>74</v>
      </c>
      <c r="BM770" t="s">
        <v>74</v>
      </c>
      <c r="BN770" t="s">
        <v>74</v>
      </c>
      <c r="BO770" t="s">
        <v>74</v>
      </c>
      <c r="BP770" t="s">
        <v>74</v>
      </c>
      <c r="BQ770" t="s">
        <v>74</v>
      </c>
      <c r="BR770" t="s">
        <v>74</v>
      </c>
      <c r="BS770" t="s">
        <v>6722</v>
      </c>
      <c r="BT770" t="str">
        <f>HYPERLINK("https%3A%2F%2Fwww.webofscience.com%2Fwos%2Fwoscc%2Ffull-record%2FWOS:000410594300003","View Full Record in Web of Science")</f>
        <v>View Full Record in Web of Science</v>
      </c>
    </row>
    <row r="771" spans="1:72" x14ac:dyDescent="0.2">
      <c r="A771" t="s">
        <v>72</v>
      </c>
      <c r="B771" t="s">
        <v>6723</v>
      </c>
      <c r="C771" t="s">
        <v>74</v>
      </c>
      <c r="D771" t="s">
        <v>74</v>
      </c>
      <c r="E771" t="s">
        <v>74</v>
      </c>
      <c r="F771" t="s">
        <v>6724</v>
      </c>
      <c r="G771" t="s">
        <v>74</v>
      </c>
      <c r="H771" t="s">
        <v>74</v>
      </c>
      <c r="I771" t="s">
        <v>6725</v>
      </c>
      <c r="J771" t="s">
        <v>98</v>
      </c>
      <c r="K771" t="s">
        <v>74</v>
      </c>
      <c r="L771" t="s">
        <v>74</v>
      </c>
      <c r="M771" t="s">
        <v>74</v>
      </c>
      <c r="N771" t="s">
        <v>74</v>
      </c>
      <c r="O771" t="s">
        <v>74</v>
      </c>
      <c r="P771" t="s">
        <v>74</v>
      </c>
      <c r="Q771" t="s">
        <v>74</v>
      </c>
      <c r="R771" t="s">
        <v>74</v>
      </c>
      <c r="S771" t="s">
        <v>74</v>
      </c>
      <c r="T771" t="s">
        <v>74</v>
      </c>
      <c r="U771" t="s">
        <v>74</v>
      </c>
      <c r="V771" t="s">
        <v>6726</v>
      </c>
      <c r="W771" t="s">
        <v>74</v>
      </c>
      <c r="X771" t="s">
        <v>74</v>
      </c>
      <c r="Y771" t="s">
        <v>74</v>
      </c>
      <c r="Z771" t="s">
        <v>74</v>
      </c>
      <c r="AA771" t="s">
        <v>6727</v>
      </c>
      <c r="AB771" t="s">
        <v>6728</v>
      </c>
      <c r="AC771" t="s">
        <v>74</v>
      </c>
      <c r="AD771" t="s">
        <v>74</v>
      </c>
      <c r="AE771" t="s">
        <v>74</v>
      </c>
      <c r="AF771" t="s">
        <v>74</v>
      </c>
      <c r="AG771" t="s">
        <v>74</v>
      </c>
      <c r="AH771" t="s">
        <v>74</v>
      </c>
      <c r="AI771" t="s">
        <v>74</v>
      </c>
      <c r="AJ771" t="s">
        <v>74</v>
      </c>
      <c r="AK771" t="s">
        <v>74</v>
      </c>
      <c r="AL771" t="s">
        <v>74</v>
      </c>
      <c r="AM771" t="s">
        <v>74</v>
      </c>
      <c r="AN771" t="s">
        <v>74</v>
      </c>
      <c r="AO771" t="s">
        <v>101</v>
      </c>
      <c r="AP771" t="s">
        <v>102</v>
      </c>
      <c r="AQ771" t="s">
        <v>74</v>
      </c>
      <c r="AR771" t="s">
        <v>74</v>
      </c>
      <c r="AS771" t="s">
        <v>74</v>
      </c>
      <c r="AT771" t="s">
        <v>6416</v>
      </c>
      <c r="AU771">
        <v>2017</v>
      </c>
      <c r="AV771">
        <v>360</v>
      </c>
      <c r="AW771" t="s">
        <v>74</v>
      </c>
      <c r="AX771" t="s">
        <v>74</v>
      </c>
      <c r="AY771" t="s">
        <v>74</v>
      </c>
      <c r="AZ771" t="s">
        <v>74</v>
      </c>
      <c r="BA771" t="s">
        <v>74</v>
      </c>
      <c r="BB771">
        <v>98</v>
      </c>
      <c r="BC771">
        <v>105</v>
      </c>
      <c r="BD771" t="s">
        <v>74</v>
      </c>
      <c r="BE771" t="s">
        <v>6729</v>
      </c>
      <c r="BF771" t="str">
        <f>HYPERLINK("http://dx.doi.org/10.1016/j.jpowsour.2017.06.006","http://dx.doi.org/10.1016/j.jpowsour.2017.06.006")</f>
        <v>http://dx.doi.org/10.1016/j.jpowsour.2017.06.006</v>
      </c>
      <c r="BG771" t="s">
        <v>74</v>
      </c>
      <c r="BH771" t="s">
        <v>74</v>
      </c>
      <c r="BI771" t="s">
        <v>74</v>
      </c>
      <c r="BJ771" t="s">
        <v>74</v>
      </c>
      <c r="BK771" t="s">
        <v>74</v>
      </c>
      <c r="BL771" t="s">
        <v>74</v>
      </c>
      <c r="BM771" t="s">
        <v>74</v>
      </c>
      <c r="BN771" t="s">
        <v>74</v>
      </c>
      <c r="BO771" t="s">
        <v>74</v>
      </c>
      <c r="BP771" t="s">
        <v>74</v>
      </c>
      <c r="BQ771" t="s">
        <v>74</v>
      </c>
      <c r="BR771" t="s">
        <v>74</v>
      </c>
      <c r="BS771" t="s">
        <v>6730</v>
      </c>
      <c r="BT771" t="str">
        <f>HYPERLINK("https%3A%2F%2Fwww.webofscience.com%2Fwos%2Fwoscc%2Ffull-record%2FWOS:000406818600011","View Full Record in Web of Science")</f>
        <v>View Full Record in Web of Science</v>
      </c>
    </row>
    <row r="772" spans="1:72" x14ac:dyDescent="0.2">
      <c r="A772" t="s">
        <v>72</v>
      </c>
      <c r="B772" t="s">
        <v>6731</v>
      </c>
      <c r="C772" t="s">
        <v>74</v>
      </c>
      <c r="D772" t="s">
        <v>74</v>
      </c>
      <c r="E772" t="s">
        <v>74</v>
      </c>
      <c r="F772" t="s">
        <v>6732</v>
      </c>
      <c r="G772" t="s">
        <v>74</v>
      </c>
      <c r="H772" t="s">
        <v>74</v>
      </c>
      <c r="I772" t="s">
        <v>6733</v>
      </c>
      <c r="J772" t="s">
        <v>5873</v>
      </c>
      <c r="K772" t="s">
        <v>74</v>
      </c>
      <c r="L772" t="s">
        <v>74</v>
      </c>
      <c r="M772" t="s">
        <v>74</v>
      </c>
      <c r="N772" t="s">
        <v>74</v>
      </c>
      <c r="O772" t="s">
        <v>74</v>
      </c>
      <c r="P772" t="s">
        <v>74</v>
      </c>
      <c r="Q772" t="s">
        <v>74</v>
      </c>
      <c r="R772" t="s">
        <v>74</v>
      </c>
      <c r="S772" t="s">
        <v>74</v>
      </c>
      <c r="T772" t="s">
        <v>74</v>
      </c>
      <c r="U772" t="s">
        <v>74</v>
      </c>
      <c r="V772" t="s">
        <v>6734</v>
      </c>
      <c r="W772" t="s">
        <v>74</v>
      </c>
      <c r="X772" t="s">
        <v>74</v>
      </c>
      <c r="Y772" t="s">
        <v>74</v>
      </c>
      <c r="Z772" t="s">
        <v>74</v>
      </c>
      <c r="AA772" t="s">
        <v>6735</v>
      </c>
      <c r="AB772" t="s">
        <v>6736</v>
      </c>
      <c r="AC772" t="s">
        <v>74</v>
      </c>
      <c r="AD772" t="s">
        <v>74</v>
      </c>
      <c r="AE772" t="s">
        <v>74</v>
      </c>
      <c r="AF772" t="s">
        <v>74</v>
      </c>
      <c r="AG772" t="s">
        <v>74</v>
      </c>
      <c r="AH772" t="s">
        <v>74</v>
      </c>
      <c r="AI772" t="s">
        <v>74</v>
      </c>
      <c r="AJ772" t="s">
        <v>74</v>
      </c>
      <c r="AK772" t="s">
        <v>74</v>
      </c>
      <c r="AL772" t="s">
        <v>74</v>
      </c>
      <c r="AM772" t="s">
        <v>74</v>
      </c>
      <c r="AN772" t="s">
        <v>74</v>
      </c>
      <c r="AO772" t="s">
        <v>5877</v>
      </c>
      <c r="AP772" t="s">
        <v>5878</v>
      </c>
      <c r="AQ772" t="s">
        <v>74</v>
      </c>
      <c r="AR772" t="s">
        <v>74</v>
      </c>
      <c r="AS772" t="s">
        <v>74</v>
      </c>
      <c r="AT772" t="s">
        <v>5943</v>
      </c>
      <c r="AU772">
        <v>2017</v>
      </c>
      <c r="AV772">
        <v>9</v>
      </c>
      <c r="AW772">
        <v>30</v>
      </c>
      <c r="AX772" t="s">
        <v>74</v>
      </c>
      <c r="AY772" t="s">
        <v>74</v>
      </c>
      <c r="AZ772" t="s">
        <v>74</v>
      </c>
      <c r="BA772" t="s">
        <v>74</v>
      </c>
      <c r="BB772">
        <v>10757</v>
      </c>
      <c r="BC772">
        <v>10763</v>
      </c>
      <c r="BD772" t="s">
        <v>74</v>
      </c>
      <c r="BE772" t="s">
        <v>6737</v>
      </c>
      <c r="BF772" t="str">
        <f>HYPERLINK("http://dx.doi.org/10.1039/c7nr03017g","http://dx.doi.org/10.1039/c7nr03017g")</f>
        <v>http://dx.doi.org/10.1039/c7nr03017g</v>
      </c>
      <c r="BG772" t="s">
        <v>74</v>
      </c>
      <c r="BH772" t="s">
        <v>74</v>
      </c>
      <c r="BI772" t="s">
        <v>74</v>
      </c>
      <c r="BJ772" t="s">
        <v>74</v>
      </c>
      <c r="BK772" t="s">
        <v>74</v>
      </c>
      <c r="BL772" t="s">
        <v>74</v>
      </c>
      <c r="BM772" t="s">
        <v>74</v>
      </c>
      <c r="BN772">
        <v>28715023</v>
      </c>
      <c r="BO772" t="s">
        <v>74</v>
      </c>
      <c r="BP772" t="s">
        <v>74</v>
      </c>
      <c r="BQ772" t="s">
        <v>74</v>
      </c>
      <c r="BR772" t="s">
        <v>74</v>
      </c>
      <c r="BS772" t="s">
        <v>6738</v>
      </c>
      <c r="BT772" t="str">
        <f>HYPERLINK("https%3A%2F%2Fwww.webofscience.com%2Fwos%2Fwoscc%2Ffull-record%2FWOS:000406847800025","View Full Record in Web of Science")</f>
        <v>View Full Record in Web of Science</v>
      </c>
    </row>
    <row r="773" spans="1:72" x14ac:dyDescent="0.2">
      <c r="A773" t="s">
        <v>72</v>
      </c>
      <c r="B773" t="s">
        <v>6739</v>
      </c>
      <c r="C773" t="s">
        <v>74</v>
      </c>
      <c r="D773" t="s">
        <v>74</v>
      </c>
      <c r="E773" t="s">
        <v>74</v>
      </c>
      <c r="F773" t="s">
        <v>6740</v>
      </c>
      <c r="G773" t="s">
        <v>74</v>
      </c>
      <c r="H773" t="s">
        <v>74</v>
      </c>
      <c r="I773" t="s">
        <v>6741</v>
      </c>
      <c r="J773" t="s">
        <v>6623</v>
      </c>
      <c r="K773" t="s">
        <v>74</v>
      </c>
      <c r="L773" t="s">
        <v>74</v>
      </c>
      <c r="M773" t="s">
        <v>74</v>
      </c>
      <c r="N773" t="s">
        <v>74</v>
      </c>
      <c r="O773" t="s">
        <v>74</v>
      </c>
      <c r="P773" t="s">
        <v>74</v>
      </c>
      <c r="Q773" t="s">
        <v>74</v>
      </c>
      <c r="R773" t="s">
        <v>74</v>
      </c>
      <c r="S773" t="s">
        <v>74</v>
      </c>
      <c r="T773" t="s">
        <v>74</v>
      </c>
      <c r="U773" t="s">
        <v>74</v>
      </c>
      <c r="V773" t="s">
        <v>6742</v>
      </c>
      <c r="W773" t="s">
        <v>74</v>
      </c>
      <c r="X773" t="s">
        <v>74</v>
      </c>
      <c r="Y773" t="s">
        <v>74</v>
      </c>
      <c r="Z773" t="s">
        <v>74</v>
      </c>
      <c r="AA773" t="s">
        <v>6743</v>
      </c>
      <c r="AB773" t="s">
        <v>6744</v>
      </c>
      <c r="AC773" t="s">
        <v>74</v>
      </c>
      <c r="AD773" t="s">
        <v>74</v>
      </c>
      <c r="AE773" t="s">
        <v>74</v>
      </c>
      <c r="AF773" t="s">
        <v>74</v>
      </c>
      <c r="AG773" t="s">
        <v>74</v>
      </c>
      <c r="AH773" t="s">
        <v>74</v>
      </c>
      <c r="AI773" t="s">
        <v>74</v>
      </c>
      <c r="AJ773" t="s">
        <v>74</v>
      </c>
      <c r="AK773" t="s">
        <v>74</v>
      </c>
      <c r="AL773" t="s">
        <v>74</v>
      </c>
      <c r="AM773" t="s">
        <v>74</v>
      </c>
      <c r="AN773" t="s">
        <v>74</v>
      </c>
      <c r="AO773" t="s">
        <v>6627</v>
      </c>
      <c r="AP773" t="s">
        <v>74</v>
      </c>
      <c r="AQ773" t="s">
        <v>74</v>
      </c>
      <c r="AR773" t="s">
        <v>74</v>
      </c>
      <c r="AS773" t="s">
        <v>74</v>
      </c>
      <c r="AT773" t="s">
        <v>6745</v>
      </c>
      <c r="AU773">
        <v>2017</v>
      </c>
      <c r="AV773">
        <v>7</v>
      </c>
      <c r="AW773" t="s">
        <v>74</v>
      </c>
      <c r="AX773" t="s">
        <v>74</v>
      </c>
      <c r="AY773" t="s">
        <v>74</v>
      </c>
      <c r="AZ773" t="s">
        <v>74</v>
      </c>
      <c r="BA773" t="s">
        <v>74</v>
      </c>
      <c r="BB773" t="s">
        <v>74</v>
      </c>
      <c r="BC773" t="s">
        <v>74</v>
      </c>
      <c r="BD773">
        <v>7880</v>
      </c>
      <c r="BE773" t="s">
        <v>6746</v>
      </c>
      <c r="BF773" t="str">
        <f>HYPERLINK("http://dx.doi.org/10.1038/s41598-017-08285-3","http://dx.doi.org/10.1038/s41598-017-08285-3")</f>
        <v>http://dx.doi.org/10.1038/s41598-017-08285-3</v>
      </c>
      <c r="BG773" t="s">
        <v>74</v>
      </c>
      <c r="BH773" t="s">
        <v>74</v>
      </c>
      <c r="BI773" t="s">
        <v>74</v>
      </c>
      <c r="BJ773" t="s">
        <v>74</v>
      </c>
      <c r="BK773" t="s">
        <v>74</v>
      </c>
      <c r="BL773" t="s">
        <v>74</v>
      </c>
      <c r="BM773" t="s">
        <v>74</v>
      </c>
      <c r="BN773">
        <v>28801555</v>
      </c>
      <c r="BO773" t="s">
        <v>74</v>
      </c>
      <c r="BP773" t="s">
        <v>74</v>
      </c>
      <c r="BQ773" t="s">
        <v>74</v>
      </c>
      <c r="BR773" t="s">
        <v>74</v>
      </c>
      <c r="BS773" t="s">
        <v>6747</v>
      </c>
      <c r="BT773" t="str">
        <f>HYPERLINK("https%3A%2F%2Fwww.webofscience.com%2Fwos%2Fwoscc%2Ffull-record%2FWOS:000407442500020","View Full Record in Web of Science")</f>
        <v>View Full Record in Web of Science</v>
      </c>
    </row>
    <row r="774" spans="1:72" x14ac:dyDescent="0.2">
      <c r="A774" t="s">
        <v>72</v>
      </c>
      <c r="B774" t="s">
        <v>6748</v>
      </c>
      <c r="C774" t="s">
        <v>74</v>
      </c>
      <c r="D774" t="s">
        <v>74</v>
      </c>
      <c r="E774" t="s">
        <v>74</v>
      </c>
      <c r="F774" t="s">
        <v>6749</v>
      </c>
      <c r="G774" t="s">
        <v>74</v>
      </c>
      <c r="H774" t="s">
        <v>74</v>
      </c>
      <c r="I774" t="s">
        <v>6750</v>
      </c>
      <c r="J774" t="s">
        <v>1256</v>
      </c>
      <c r="K774" t="s">
        <v>74</v>
      </c>
      <c r="L774" t="s">
        <v>74</v>
      </c>
      <c r="M774" t="s">
        <v>74</v>
      </c>
      <c r="N774" t="s">
        <v>74</v>
      </c>
      <c r="O774" t="s">
        <v>74</v>
      </c>
      <c r="P774" t="s">
        <v>74</v>
      </c>
      <c r="Q774" t="s">
        <v>74</v>
      </c>
      <c r="R774" t="s">
        <v>74</v>
      </c>
      <c r="S774" t="s">
        <v>74</v>
      </c>
      <c r="T774" t="s">
        <v>74</v>
      </c>
      <c r="U774" t="s">
        <v>74</v>
      </c>
      <c r="V774" t="s">
        <v>6751</v>
      </c>
      <c r="W774" t="s">
        <v>74</v>
      </c>
      <c r="X774" t="s">
        <v>74</v>
      </c>
      <c r="Y774" t="s">
        <v>74</v>
      </c>
      <c r="Z774" t="s">
        <v>74</v>
      </c>
      <c r="AA774" t="s">
        <v>74</v>
      </c>
      <c r="AB774" t="s">
        <v>6752</v>
      </c>
      <c r="AC774" t="s">
        <v>74</v>
      </c>
      <c r="AD774" t="s">
        <v>74</v>
      </c>
      <c r="AE774" t="s">
        <v>74</v>
      </c>
      <c r="AF774" t="s">
        <v>74</v>
      </c>
      <c r="AG774" t="s">
        <v>74</v>
      </c>
      <c r="AH774" t="s">
        <v>74</v>
      </c>
      <c r="AI774" t="s">
        <v>74</v>
      </c>
      <c r="AJ774" t="s">
        <v>74</v>
      </c>
      <c r="AK774" t="s">
        <v>74</v>
      </c>
      <c r="AL774" t="s">
        <v>74</v>
      </c>
      <c r="AM774" t="s">
        <v>74</v>
      </c>
      <c r="AN774" t="s">
        <v>74</v>
      </c>
      <c r="AO774" t="s">
        <v>1258</v>
      </c>
      <c r="AP774" t="s">
        <v>1259</v>
      </c>
      <c r="AQ774" t="s">
        <v>74</v>
      </c>
      <c r="AR774" t="s">
        <v>74</v>
      </c>
      <c r="AS774" t="s">
        <v>74</v>
      </c>
      <c r="AT774" t="s">
        <v>2850</v>
      </c>
      <c r="AU774">
        <v>2017</v>
      </c>
      <c r="AV774">
        <v>245</v>
      </c>
      <c r="AW774" t="s">
        <v>74</v>
      </c>
      <c r="AX774" t="s">
        <v>74</v>
      </c>
      <c r="AY774" t="s">
        <v>74</v>
      </c>
      <c r="AZ774" t="s">
        <v>74</v>
      </c>
      <c r="BA774" t="s">
        <v>74</v>
      </c>
      <c r="BB774">
        <v>625</v>
      </c>
      <c r="BC774">
        <v>633</v>
      </c>
      <c r="BD774" t="s">
        <v>74</v>
      </c>
      <c r="BE774" t="s">
        <v>6753</v>
      </c>
      <c r="BF774" t="str">
        <f>HYPERLINK("http://dx.doi.org/10.1016/j.electacta.2017.05.170","http://dx.doi.org/10.1016/j.electacta.2017.05.170")</f>
        <v>http://dx.doi.org/10.1016/j.electacta.2017.05.170</v>
      </c>
      <c r="BG774" t="s">
        <v>74</v>
      </c>
      <c r="BH774" t="s">
        <v>74</v>
      </c>
      <c r="BI774" t="s">
        <v>74</v>
      </c>
      <c r="BJ774" t="s">
        <v>74</v>
      </c>
      <c r="BK774" t="s">
        <v>74</v>
      </c>
      <c r="BL774" t="s">
        <v>74</v>
      </c>
      <c r="BM774" t="s">
        <v>74</v>
      </c>
      <c r="BN774" t="s">
        <v>74</v>
      </c>
      <c r="BO774" t="s">
        <v>74</v>
      </c>
      <c r="BP774" t="s">
        <v>74</v>
      </c>
      <c r="BQ774" t="s">
        <v>74</v>
      </c>
      <c r="BR774" t="s">
        <v>74</v>
      </c>
      <c r="BS774" t="s">
        <v>6754</v>
      </c>
      <c r="BT774" t="str">
        <f>HYPERLINK("https%3A%2F%2Fwww.webofscience.com%2Fwos%2Fwoscc%2Ffull-record%2FWOS:000406762700070","View Full Record in Web of Science")</f>
        <v>View Full Record in Web of Science</v>
      </c>
    </row>
    <row r="775" spans="1:72" x14ac:dyDescent="0.2">
      <c r="A775" t="s">
        <v>72</v>
      </c>
      <c r="B775" t="s">
        <v>6755</v>
      </c>
      <c r="C775" t="s">
        <v>74</v>
      </c>
      <c r="D775" t="s">
        <v>74</v>
      </c>
      <c r="E775" t="s">
        <v>74</v>
      </c>
      <c r="F775" t="s">
        <v>6756</v>
      </c>
      <c r="G775" t="s">
        <v>74</v>
      </c>
      <c r="H775" t="s">
        <v>74</v>
      </c>
      <c r="I775" t="s">
        <v>6757</v>
      </c>
      <c r="J775" t="s">
        <v>1051</v>
      </c>
      <c r="K775" t="s">
        <v>74</v>
      </c>
      <c r="L775" t="s">
        <v>74</v>
      </c>
      <c r="M775" t="s">
        <v>74</v>
      </c>
      <c r="N775" t="s">
        <v>74</v>
      </c>
      <c r="O775" t="s">
        <v>74</v>
      </c>
      <c r="P775" t="s">
        <v>74</v>
      </c>
      <c r="Q775" t="s">
        <v>74</v>
      </c>
      <c r="R775" t="s">
        <v>74</v>
      </c>
      <c r="S775" t="s">
        <v>74</v>
      </c>
      <c r="T775" t="s">
        <v>74</v>
      </c>
      <c r="U775" t="s">
        <v>74</v>
      </c>
      <c r="V775" t="s">
        <v>6758</v>
      </c>
      <c r="W775" t="s">
        <v>74</v>
      </c>
      <c r="X775" t="s">
        <v>74</v>
      </c>
      <c r="Y775" t="s">
        <v>74</v>
      </c>
      <c r="Z775" t="s">
        <v>74</v>
      </c>
      <c r="AA775" t="s">
        <v>6759</v>
      </c>
      <c r="AB775" t="s">
        <v>6760</v>
      </c>
      <c r="AC775" t="s">
        <v>74</v>
      </c>
      <c r="AD775" t="s">
        <v>74</v>
      </c>
      <c r="AE775" t="s">
        <v>74</v>
      </c>
      <c r="AF775" t="s">
        <v>74</v>
      </c>
      <c r="AG775" t="s">
        <v>74</v>
      </c>
      <c r="AH775" t="s">
        <v>74</v>
      </c>
      <c r="AI775" t="s">
        <v>74</v>
      </c>
      <c r="AJ775" t="s">
        <v>74</v>
      </c>
      <c r="AK775" t="s">
        <v>74</v>
      </c>
      <c r="AL775" t="s">
        <v>74</v>
      </c>
      <c r="AM775" t="s">
        <v>74</v>
      </c>
      <c r="AN775" t="s">
        <v>74</v>
      </c>
      <c r="AO775" t="s">
        <v>1054</v>
      </c>
      <c r="AP775" t="s">
        <v>1055</v>
      </c>
      <c r="AQ775" t="s">
        <v>74</v>
      </c>
      <c r="AR775" t="s">
        <v>74</v>
      </c>
      <c r="AS775" t="s">
        <v>74</v>
      </c>
      <c r="AT775" t="s">
        <v>629</v>
      </c>
      <c r="AU775">
        <v>2017</v>
      </c>
      <c r="AV775">
        <v>81</v>
      </c>
      <c r="AW775" t="s">
        <v>74</v>
      </c>
      <c r="AX775" t="s">
        <v>74</v>
      </c>
      <c r="AY775" t="s">
        <v>74</v>
      </c>
      <c r="AZ775" t="s">
        <v>74</v>
      </c>
      <c r="BA775" t="s">
        <v>74</v>
      </c>
      <c r="BB775">
        <v>132</v>
      </c>
      <c r="BC775">
        <v>135</v>
      </c>
      <c r="BD775" t="s">
        <v>74</v>
      </c>
      <c r="BE775" t="s">
        <v>6761</v>
      </c>
      <c r="BF775" t="str">
        <f>HYPERLINK("http://dx.doi.org/10.1016/j.elecom.2017.06.019","http://dx.doi.org/10.1016/j.elecom.2017.06.019")</f>
        <v>http://dx.doi.org/10.1016/j.elecom.2017.06.019</v>
      </c>
      <c r="BG775" t="s">
        <v>74</v>
      </c>
      <c r="BH775" t="s">
        <v>74</v>
      </c>
      <c r="BI775" t="s">
        <v>74</v>
      </c>
      <c r="BJ775" t="s">
        <v>74</v>
      </c>
      <c r="BK775" t="s">
        <v>74</v>
      </c>
      <c r="BL775" t="s">
        <v>74</v>
      </c>
      <c r="BM775" t="s">
        <v>74</v>
      </c>
      <c r="BN775" t="s">
        <v>74</v>
      </c>
      <c r="BO775" t="s">
        <v>74</v>
      </c>
      <c r="BP775" t="s">
        <v>74</v>
      </c>
      <c r="BQ775" t="s">
        <v>74</v>
      </c>
      <c r="BR775" t="s">
        <v>74</v>
      </c>
      <c r="BS775" t="s">
        <v>6762</v>
      </c>
      <c r="BT775" t="str">
        <f>HYPERLINK("https%3A%2F%2Fwww.webofscience.com%2Fwos%2Fwoscc%2Ffull-record%2FWOS:000406947200030","View Full Record in Web of Science")</f>
        <v>View Full Record in Web of Science</v>
      </c>
    </row>
    <row r="776" spans="1:72" x14ac:dyDescent="0.2">
      <c r="A776" t="s">
        <v>72</v>
      </c>
      <c r="B776" t="s">
        <v>6763</v>
      </c>
      <c r="C776" t="s">
        <v>74</v>
      </c>
      <c r="D776" t="s">
        <v>74</v>
      </c>
      <c r="E776" t="s">
        <v>74</v>
      </c>
      <c r="F776" t="s">
        <v>6764</v>
      </c>
      <c r="G776" t="s">
        <v>74</v>
      </c>
      <c r="H776" t="s">
        <v>74</v>
      </c>
      <c r="I776" t="s">
        <v>6765</v>
      </c>
      <c r="J776" t="s">
        <v>98</v>
      </c>
      <c r="K776" t="s">
        <v>74</v>
      </c>
      <c r="L776" t="s">
        <v>74</v>
      </c>
      <c r="M776" t="s">
        <v>74</v>
      </c>
      <c r="N776" t="s">
        <v>74</v>
      </c>
      <c r="O776" t="s">
        <v>74</v>
      </c>
      <c r="P776" t="s">
        <v>74</v>
      </c>
      <c r="Q776" t="s">
        <v>74</v>
      </c>
      <c r="R776" t="s">
        <v>74</v>
      </c>
      <c r="S776" t="s">
        <v>74</v>
      </c>
      <c r="T776" t="s">
        <v>74</v>
      </c>
      <c r="U776" t="s">
        <v>74</v>
      </c>
      <c r="V776" t="s">
        <v>6766</v>
      </c>
      <c r="W776" t="s">
        <v>74</v>
      </c>
      <c r="X776" t="s">
        <v>74</v>
      </c>
      <c r="Y776" t="s">
        <v>74</v>
      </c>
      <c r="Z776" t="s">
        <v>74</v>
      </c>
      <c r="AA776" t="s">
        <v>6767</v>
      </c>
      <c r="AB776" t="s">
        <v>74</v>
      </c>
      <c r="AC776" t="s">
        <v>74</v>
      </c>
      <c r="AD776" t="s">
        <v>74</v>
      </c>
      <c r="AE776" t="s">
        <v>74</v>
      </c>
      <c r="AF776" t="s">
        <v>74</v>
      </c>
      <c r="AG776" t="s">
        <v>74</v>
      </c>
      <c r="AH776" t="s">
        <v>74</v>
      </c>
      <c r="AI776" t="s">
        <v>74</v>
      </c>
      <c r="AJ776" t="s">
        <v>74</v>
      </c>
      <c r="AK776" t="s">
        <v>74</v>
      </c>
      <c r="AL776" t="s">
        <v>74</v>
      </c>
      <c r="AM776" t="s">
        <v>74</v>
      </c>
      <c r="AN776" t="s">
        <v>74</v>
      </c>
      <c r="AO776" t="s">
        <v>101</v>
      </c>
      <c r="AP776" t="s">
        <v>102</v>
      </c>
      <c r="AQ776" t="s">
        <v>74</v>
      </c>
      <c r="AR776" t="s">
        <v>74</v>
      </c>
      <c r="AS776" t="s">
        <v>74</v>
      </c>
      <c r="AT776" t="s">
        <v>1904</v>
      </c>
      <c r="AU776">
        <v>2017</v>
      </c>
      <c r="AV776">
        <v>357</v>
      </c>
      <c r="AW776" t="s">
        <v>74</v>
      </c>
      <c r="AX776" t="s">
        <v>74</v>
      </c>
      <c r="AY776" t="s">
        <v>74</v>
      </c>
      <c r="AZ776" t="s">
        <v>74</v>
      </c>
      <c r="BA776" t="s">
        <v>74</v>
      </c>
      <c r="BB776">
        <v>97</v>
      </c>
      <c r="BC776">
        <v>106</v>
      </c>
      <c r="BD776" t="s">
        <v>74</v>
      </c>
      <c r="BE776" t="s">
        <v>6768</v>
      </c>
      <c r="BF776" t="str">
        <f>HYPERLINK("http://dx.doi.org/10.1016/j.jpowsour.2017.04.094","http://dx.doi.org/10.1016/j.jpowsour.2017.04.094")</f>
        <v>http://dx.doi.org/10.1016/j.jpowsour.2017.04.094</v>
      </c>
      <c r="BG776" t="s">
        <v>74</v>
      </c>
      <c r="BH776" t="s">
        <v>74</v>
      </c>
      <c r="BI776" t="s">
        <v>74</v>
      </c>
      <c r="BJ776" t="s">
        <v>74</v>
      </c>
      <c r="BK776" t="s">
        <v>74</v>
      </c>
      <c r="BL776" t="s">
        <v>74</v>
      </c>
      <c r="BM776" t="s">
        <v>74</v>
      </c>
      <c r="BN776" t="s">
        <v>74</v>
      </c>
      <c r="BO776" t="s">
        <v>74</v>
      </c>
      <c r="BP776" t="s">
        <v>74</v>
      </c>
      <c r="BQ776" t="s">
        <v>74</v>
      </c>
      <c r="BR776" t="s">
        <v>74</v>
      </c>
      <c r="BS776" t="s">
        <v>6769</v>
      </c>
      <c r="BT776" t="str">
        <f>HYPERLINK("https%3A%2F%2Fwww.webofscience.com%2Fwos%2Fwoscc%2Ffull-record%2FWOS:000403457000012","View Full Record in Web of Science")</f>
        <v>View Full Record in Web of Science</v>
      </c>
    </row>
    <row r="777" spans="1:72" x14ac:dyDescent="0.2">
      <c r="A777" t="s">
        <v>72</v>
      </c>
      <c r="B777" t="s">
        <v>6770</v>
      </c>
      <c r="C777" t="s">
        <v>74</v>
      </c>
      <c r="D777" t="s">
        <v>74</v>
      </c>
      <c r="E777" t="s">
        <v>74</v>
      </c>
      <c r="F777" t="s">
        <v>6771</v>
      </c>
      <c r="G777" t="s">
        <v>74</v>
      </c>
      <c r="H777" t="s">
        <v>74</v>
      </c>
      <c r="I777" t="s">
        <v>6772</v>
      </c>
      <c r="J777" t="s">
        <v>1256</v>
      </c>
      <c r="K777" t="s">
        <v>74</v>
      </c>
      <c r="L777" t="s">
        <v>74</v>
      </c>
      <c r="M777" t="s">
        <v>74</v>
      </c>
      <c r="N777" t="s">
        <v>74</v>
      </c>
      <c r="O777" t="s">
        <v>74</v>
      </c>
      <c r="P777" t="s">
        <v>74</v>
      </c>
      <c r="Q777" t="s">
        <v>74</v>
      </c>
      <c r="R777" t="s">
        <v>74</v>
      </c>
      <c r="S777" t="s">
        <v>74</v>
      </c>
      <c r="T777" t="s">
        <v>74</v>
      </c>
      <c r="U777" t="s">
        <v>74</v>
      </c>
      <c r="V777" t="s">
        <v>6773</v>
      </c>
      <c r="W777" t="s">
        <v>74</v>
      </c>
      <c r="X777" t="s">
        <v>74</v>
      </c>
      <c r="Y777" t="s">
        <v>74</v>
      </c>
      <c r="Z777" t="s">
        <v>74</v>
      </c>
      <c r="AA777" t="s">
        <v>6774</v>
      </c>
      <c r="AB777" t="s">
        <v>74</v>
      </c>
      <c r="AC777" t="s">
        <v>74</v>
      </c>
      <c r="AD777" t="s">
        <v>74</v>
      </c>
      <c r="AE777" t="s">
        <v>74</v>
      </c>
      <c r="AF777" t="s">
        <v>74</v>
      </c>
      <c r="AG777" t="s">
        <v>74</v>
      </c>
      <c r="AH777" t="s">
        <v>74</v>
      </c>
      <c r="AI777" t="s">
        <v>74</v>
      </c>
      <c r="AJ777" t="s">
        <v>74</v>
      </c>
      <c r="AK777" t="s">
        <v>74</v>
      </c>
      <c r="AL777" t="s">
        <v>74</v>
      </c>
      <c r="AM777" t="s">
        <v>74</v>
      </c>
      <c r="AN777" t="s">
        <v>74</v>
      </c>
      <c r="AO777" t="s">
        <v>1258</v>
      </c>
      <c r="AP777" t="s">
        <v>1259</v>
      </c>
      <c r="AQ777" t="s">
        <v>74</v>
      </c>
      <c r="AR777" t="s">
        <v>74</v>
      </c>
      <c r="AS777" t="s">
        <v>74</v>
      </c>
      <c r="AT777" t="s">
        <v>6775</v>
      </c>
      <c r="AU777">
        <v>2017</v>
      </c>
      <c r="AV777">
        <v>243</v>
      </c>
      <c r="AW777" t="s">
        <v>74</v>
      </c>
      <c r="AX777" t="s">
        <v>74</v>
      </c>
      <c r="AY777" t="s">
        <v>74</v>
      </c>
      <c r="AZ777" t="s">
        <v>74</v>
      </c>
      <c r="BA777" t="s">
        <v>74</v>
      </c>
      <c r="BB777">
        <v>105</v>
      </c>
      <c r="BC777">
        <v>111</v>
      </c>
      <c r="BD777" t="s">
        <v>74</v>
      </c>
      <c r="BE777" t="s">
        <v>6776</v>
      </c>
      <c r="BF777" t="str">
        <f>HYPERLINK("http://dx.doi.org/10.1016/j.electacta.2017.05.075","http://dx.doi.org/10.1016/j.electacta.2017.05.075")</f>
        <v>http://dx.doi.org/10.1016/j.electacta.2017.05.075</v>
      </c>
      <c r="BG777" t="s">
        <v>74</v>
      </c>
      <c r="BH777" t="s">
        <v>74</v>
      </c>
      <c r="BI777" t="s">
        <v>74</v>
      </c>
      <c r="BJ777" t="s">
        <v>74</v>
      </c>
      <c r="BK777" t="s">
        <v>74</v>
      </c>
      <c r="BL777" t="s">
        <v>74</v>
      </c>
      <c r="BM777" t="s">
        <v>74</v>
      </c>
      <c r="BN777" t="s">
        <v>74</v>
      </c>
      <c r="BO777" t="s">
        <v>74</v>
      </c>
      <c r="BP777" t="s">
        <v>74</v>
      </c>
      <c r="BQ777" t="s">
        <v>74</v>
      </c>
      <c r="BR777" t="s">
        <v>74</v>
      </c>
      <c r="BS777" t="s">
        <v>6777</v>
      </c>
      <c r="BT777" t="str">
        <f>HYPERLINK("https%3A%2F%2Fwww.webofscience.com%2Fwos%2Fwoscc%2Ffull-record%2FWOS:000404196900013","View Full Record in Web of Science")</f>
        <v>View Full Record in Web of Science</v>
      </c>
    </row>
    <row r="778" spans="1:72" x14ac:dyDescent="0.2">
      <c r="A778" t="s">
        <v>72</v>
      </c>
      <c r="B778" t="s">
        <v>6778</v>
      </c>
      <c r="C778" t="s">
        <v>74</v>
      </c>
      <c r="D778" t="s">
        <v>74</v>
      </c>
      <c r="E778" t="s">
        <v>74</v>
      </c>
      <c r="F778" t="s">
        <v>6779</v>
      </c>
      <c r="G778" t="s">
        <v>74</v>
      </c>
      <c r="H778" t="s">
        <v>74</v>
      </c>
      <c r="I778" t="s">
        <v>6780</v>
      </c>
      <c r="J778" t="s">
        <v>1040</v>
      </c>
      <c r="K778" t="s">
        <v>74</v>
      </c>
      <c r="L778" t="s">
        <v>74</v>
      </c>
      <c r="M778" t="s">
        <v>74</v>
      </c>
      <c r="N778" t="s">
        <v>74</v>
      </c>
      <c r="O778" t="s">
        <v>74</v>
      </c>
      <c r="P778" t="s">
        <v>74</v>
      </c>
      <c r="Q778" t="s">
        <v>74</v>
      </c>
      <c r="R778" t="s">
        <v>74</v>
      </c>
      <c r="S778" t="s">
        <v>74</v>
      </c>
      <c r="T778" t="s">
        <v>74</v>
      </c>
      <c r="U778" t="s">
        <v>74</v>
      </c>
      <c r="V778" t="s">
        <v>6781</v>
      </c>
      <c r="W778" t="s">
        <v>74</v>
      </c>
      <c r="X778" t="s">
        <v>74</v>
      </c>
      <c r="Y778" t="s">
        <v>74</v>
      </c>
      <c r="Z778" t="s">
        <v>74</v>
      </c>
      <c r="AA778" t="s">
        <v>6782</v>
      </c>
      <c r="AB778" t="s">
        <v>6783</v>
      </c>
      <c r="AC778" t="s">
        <v>74</v>
      </c>
      <c r="AD778" t="s">
        <v>74</v>
      </c>
      <c r="AE778" t="s">
        <v>74</v>
      </c>
      <c r="AF778" t="s">
        <v>74</v>
      </c>
      <c r="AG778" t="s">
        <v>74</v>
      </c>
      <c r="AH778" t="s">
        <v>74</v>
      </c>
      <c r="AI778" t="s">
        <v>74</v>
      </c>
      <c r="AJ778" t="s">
        <v>74</v>
      </c>
      <c r="AK778" t="s">
        <v>74</v>
      </c>
      <c r="AL778" t="s">
        <v>74</v>
      </c>
      <c r="AM778" t="s">
        <v>74</v>
      </c>
      <c r="AN778" t="s">
        <v>74</v>
      </c>
      <c r="AO778" t="s">
        <v>1043</v>
      </c>
      <c r="AP778" t="s">
        <v>1044</v>
      </c>
      <c r="AQ778" t="s">
        <v>74</v>
      </c>
      <c r="AR778" t="s">
        <v>74</v>
      </c>
      <c r="AS778" t="s">
        <v>74</v>
      </c>
      <c r="AT778" t="s">
        <v>5438</v>
      </c>
      <c r="AU778">
        <v>2017</v>
      </c>
      <c r="AV778">
        <v>19</v>
      </c>
      <c r="AW778">
        <v>25</v>
      </c>
      <c r="AX778" t="s">
        <v>74</v>
      </c>
      <c r="AY778" t="s">
        <v>74</v>
      </c>
      <c r="AZ778" t="s">
        <v>74</v>
      </c>
      <c r="BA778" t="s">
        <v>74</v>
      </c>
      <c r="BB778">
        <v>16721</v>
      </c>
      <c r="BC778">
        <v>16730</v>
      </c>
      <c r="BD778" t="s">
        <v>74</v>
      </c>
      <c r="BE778" t="s">
        <v>6784</v>
      </c>
      <c r="BF778" t="str">
        <f>HYPERLINK("http://dx.doi.org/10.1039/c7cp02722b","http://dx.doi.org/10.1039/c7cp02722b")</f>
        <v>http://dx.doi.org/10.1039/c7cp02722b</v>
      </c>
      <c r="BG778" t="s">
        <v>74</v>
      </c>
      <c r="BH778" t="s">
        <v>74</v>
      </c>
      <c r="BI778" t="s">
        <v>74</v>
      </c>
      <c r="BJ778" t="s">
        <v>74</v>
      </c>
      <c r="BK778" t="s">
        <v>74</v>
      </c>
      <c r="BL778" t="s">
        <v>74</v>
      </c>
      <c r="BM778" t="s">
        <v>74</v>
      </c>
      <c r="BN778">
        <v>28621370</v>
      </c>
      <c r="BO778" t="s">
        <v>74</v>
      </c>
      <c r="BP778" t="s">
        <v>74</v>
      </c>
      <c r="BQ778" t="s">
        <v>74</v>
      </c>
      <c r="BR778" t="s">
        <v>74</v>
      </c>
      <c r="BS778" t="s">
        <v>6785</v>
      </c>
      <c r="BT778" t="str">
        <f>HYPERLINK("https%3A%2F%2Fwww.webofscience.com%2Fwos%2Fwoscc%2Ffull-record%2FWOS:000404530600045","View Full Record in Web of Science")</f>
        <v>View Full Record in Web of Science</v>
      </c>
    </row>
    <row r="779" spans="1:72" x14ac:dyDescent="0.2">
      <c r="A779" t="s">
        <v>72</v>
      </c>
      <c r="B779" t="s">
        <v>6786</v>
      </c>
      <c r="C779" t="s">
        <v>74</v>
      </c>
      <c r="D779" t="s">
        <v>74</v>
      </c>
      <c r="E779" t="s">
        <v>74</v>
      </c>
      <c r="F779" t="s">
        <v>6787</v>
      </c>
      <c r="G779" t="s">
        <v>74</v>
      </c>
      <c r="H779" t="s">
        <v>74</v>
      </c>
      <c r="I779" t="s">
        <v>6788</v>
      </c>
      <c r="J779" t="s">
        <v>1040</v>
      </c>
      <c r="K779" t="s">
        <v>74</v>
      </c>
      <c r="L779" t="s">
        <v>74</v>
      </c>
      <c r="M779" t="s">
        <v>74</v>
      </c>
      <c r="N779" t="s">
        <v>74</v>
      </c>
      <c r="O779" t="s">
        <v>74</v>
      </c>
      <c r="P779" t="s">
        <v>74</v>
      </c>
      <c r="Q779" t="s">
        <v>74</v>
      </c>
      <c r="R779" t="s">
        <v>74</v>
      </c>
      <c r="S779" t="s">
        <v>74</v>
      </c>
      <c r="T779" t="s">
        <v>74</v>
      </c>
      <c r="U779" t="s">
        <v>74</v>
      </c>
      <c r="V779" t="s">
        <v>6789</v>
      </c>
      <c r="W779" t="s">
        <v>74</v>
      </c>
      <c r="X779" t="s">
        <v>74</v>
      </c>
      <c r="Y779" t="s">
        <v>74</v>
      </c>
      <c r="Z779" t="s">
        <v>74</v>
      </c>
      <c r="AA779" t="s">
        <v>6790</v>
      </c>
      <c r="AB779" t="s">
        <v>6791</v>
      </c>
      <c r="AC779" t="s">
        <v>74</v>
      </c>
      <c r="AD779" t="s">
        <v>74</v>
      </c>
      <c r="AE779" t="s">
        <v>74</v>
      </c>
      <c r="AF779" t="s">
        <v>74</v>
      </c>
      <c r="AG779" t="s">
        <v>74</v>
      </c>
      <c r="AH779" t="s">
        <v>74</v>
      </c>
      <c r="AI779" t="s">
        <v>74</v>
      </c>
      <c r="AJ779" t="s">
        <v>74</v>
      </c>
      <c r="AK779" t="s">
        <v>74</v>
      </c>
      <c r="AL779" t="s">
        <v>74</v>
      </c>
      <c r="AM779" t="s">
        <v>74</v>
      </c>
      <c r="AN779" t="s">
        <v>74</v>
      </c>
      <c r="AO779" t="s">
        <v>1043</v>
      </c>
      <c r="AP779" t="s">
        <v>1044</v>
      </c>
      <c r="AQ779" t="s">
        <v>74</v>
      </c>
      <c r="AR779" t="s">
        <v>74</v>
      </c>
      <c r="AS779" t="s">
        <v>74</v>
      </c>
      <c r="AT779" t="s">
        <v>6792</v>
      </c>
      <c r="AU779">
        <v>2017</v>
      </c>
      <c r="AV779">
        <v>19</v>
      </c>
      <c r="AW779">
        <v>23</v>
      </c>
      <c r="AX779" t="s">
        <v>74</v>
      </c>
      <c r="AY779" t="s">
        <v>74</v>
      </c>
      <c r="AZ779" t="s">
        <v>74</v>
      </c>
      <c r="BA779" t="s">
        <v>74</v>
      </c>
      <c r="BB779">
        <v>15177</v>
      </c>
      <c r="BC779">
        <v>15186</v>
      </c>
      <c r="BD779" t="s">
        <v>74</v>
      </c>
      <c r="BE779" t="s">
        <v>6793</v>
      </c>
      <c r="BF779" t="str">
        <f>HYPERLINK("http://dx.doi.org/10.1039/c7cp02526b","http://dx.doi.org/10.1039/c7cp02526b")</f>
        <v>http://dx.doi.org/10.1039/c7cp02526b</v>
      </c>
      <c r="BG779" t="s">
        <v>74</v>
      </c>
      <c r="BH779" t="s">
        <v>74</v>
      </c>
      <c r="BI779" t="s">
        <v>74</v>
      </c>
      <c r="BJ779" t="s">
        <v>74</v>
      </c>
      <c r="BK779" t="s">
        <v>74</v>
      </c>
      <c r="BL779" t="s">
        <v>74</v>
      </c>
      <c r="BM779" t="s">
        <v>74</v>
      </c>
      <c r="BN779">
        <v>28561085</v>
      </c>
      <c r="BO779" t="s">
        <v>74</v>
      </c>
      <c r="BP779" t="s">
        <v>74</v>
      </c>
      <c r="BQ779" t="s">
        <v>74</v>
      </c>
      <c r="BR779" t="s">
        <v>74</v>
      </c>
      <c r="BS779" t="s">
        <v>6794</v>
      </c>
      <c r="BT779" t="str">
        <f>HYPERLINK("https%3A%2F%2Fwww.webofscience.com%2Fwos%2Fwoscc%2Ffull-record%2FWOS:000403561200032","View Full Record in Web of Science")</f>
        <v>View Full Record in Web of Science</v>
      </c>
    </row>
    <row r="780" spans="1:72" x14ac:dyDescent="0.2">
      <c r="A780" t="s">
        <v>72</v>
      </c>
      <c r="B780" t="s">
        <v>6795</v>
      </c>
      <c r="C780" t="s">
        <v>74</v>
      </c>
      <c r="D780" t="s">
        <v>74</v>
      </c>
      <c r="E780" t="s">
        <v>74</v>
      </c>
      <c r="F780" t="s">
        <v>6796</v>
      </c>
      <c r="G780" t="s">
        <v>74</v>
      </c>
      <c r="H780" t="s">
        <v>74</v>
      </c>
      <c r="I780" t="s">
        <v>6797</v>
      </c>
      <c r="J780" t="s">
        <v>98</v>
      </c>
      <c r="K780" t="s">
        <v>74</v>
      </c>
      <c r="L780" t="s">
        <v>74</v>
      </c>
      <c r="M780" t="s">
        <v>74</v>
      </c>
      <c r="N780" t="s">
        <v>74</v>
      </c>
      <c r="O780" t="s">
        <v>74</v>
      </c>
      <c r="P780" t="s">
        <v>74</v>
      </c>
      <c r="Q780" t="s">
        <v>74</v>
      </c>
      <c r="R780" t="s">
        <v>74</v>
      </c>
      <c r="S780" t="s">
        <v>74</v>
      </c>
      <c r="T780" t="s">
        <v>74</v>
      </c>
      <c r="U780" t="s">
        <v>74</v>
      </c>
      <c r="V780" t="s">
        <v>6798</v>
      </c>
      <c r="W780" t="s">
        <v>74</v>
      </c>
      <c r="X780" t="s">
        <v>74</v>
      </c>
      <c r="Y780" t="s">
        <v>74</v>
      </c>
      <c r="Z780" t="s">
        <v>74</v>
      </c>
      <c r="AA780" t="s">
        <v>6799</v>
      </c>
      <c r="AB780" t="s">
        <v>74</v>
      </c>
      <c r="AC780" t="s">
        <v>74</v>
      </c>
      <c r="AD780" t="s">
        <v>74</v>
      </c>
      <c r="AE780" t="s">
        <v>74</v>
      </c>
      <c r="AF780" t="s">
        <v>74</v>
      </c>
      <c r="AG780" t="s">
        <v>74</v>
      </c>
      <c r="AH780" t="s">
        <v>74</v>
      </c>
      <c r="AI780" t="s">
        <v>74</v>
      </c>
      <c r="AJ780" t="s">
        <v>74</v>
      </c>
      <c r="AK780" t="s">
        <v>74</v>
      </c>
      <c r="AL780" t="s">
        <v>74</v>
      </c>
      <c r="AM780" t="s">
        <v>74</v>
      </c>
      <c r="AN780" t="s">
        <v>74</v>
      </c>
      <c r="AO780" t="s">
        <v>101</v>
      </c>
      <c r="AP780" t="s">
        <v>102</v>
      </c>
      <c r="AQ780" t="s">
        <v>74</v>
      </c>
      <c r="AR780" t="s">
        <v>74</v>
      </c>
      <c r="AS780" t="s">
        <v>74</v>
      </c>
      <c r="AT780" t="s">
        <v>759</v>
      </c>
      <c r="AU780">
        <v>2017</v>
      </c>
      <c r="AV780">
        <v>353</v>
      </c>
      <c r="AW780" t="s">
        <v>74</v>
      </c>
      <c r="AX780" t="s">
        <v>74</v>
      </c>
      <c r="AY780" t="s">
        <v>74</v>
      </c>
      <c r="AZ780" t="s">
        <v>74</v>
      </c>
      <c r="BA780" t="s">
        <v>74</v>
      </c>
      <c r="BB780">
        <v>333</v>
      </c>
      <c r="BC780">
        <v>342</v>
      </c>
      <c r="BD780" t="s">
        <v>74</v>
      </c>
      <c r="BE780" t="s">
        <v>6800</v>
      </c>
      <c r="BF780" t="str">
        <f>HYPERLINK("http://dx.doi.org/10.1016/j.jpowsour.2017.04.018","http://dx.doi.org/10.1016/j.jpowsour.2017.04.018")</f>
        <v>http://dx.doi.org/10.1016/j.jpowsour.2017.04.018</v>
      </c>
      <c r="BG780" t="s">
        <v>74</v>
      </c>
      <c r="BH780" t="s">
        <v>74</v>
      </c>
      <c r="BI780" t="s">
        <v>74</v>
      </c>
      <c r="BJ780" t="s">
        <v>74</v>
      </c>
      <c r="BK780" t="s">
        <v>74</v>
      </c>
      <c r="BL780" t="s">
        <v>74</v>
      </c>
      <c r="BM780" t="s">
        <v>74</v>
      </c>
      <c r="BN780" t="s">
        <v>74</v>
      </c>
      <c r="BO780" t="s">
        <v>74</v>
      </c>
      <c r="BP780" t="s">
        <v>74</v>
      </c>
      <c r="BQ780" t="s">
        <v>74</v>
      </c>
      <c r="BR780" t="s">
        <v>74</v>
      </c>
      <c r="BS780" t="s">
        <v>6801</v>
      </c>
      <c r="BT780" t="str">
        <f>HYPERLINK("https%3A%2F%2Fwww.webofscience.com%2Fwos%2Fwoscc%2Ffull-record%2FWOS:000401208100037","View Full Record in Web of Science")</f>
        <v>View Full Record in Web of Science</v>
      </c>
    </row>
    <row r="781" spans="1:72" x14ac:dyDescent="0.2">
      <c r="A781" t="s">
        <v>72</v>
      </c>
      <c r="B781" t="s">
        <v>6802</v>
      </c>
      <c r="C781" t="s">
        <v>74</v>
      </c>
      <c r="D781" t="s">
        <v>74</v>
      </c>
      <c r="E781" t="s">
        <v>74</v>
      </c>
      <c r="F781" t="s">
        <v>6803</v>
      </c>
      <c r="G781" t="s">
        <v>74</v>
      </c>
      <c r="H781" t="s">
        <v>74</v>
      </c>
      <c r="I781" t="s">
        <v>6804</v>
      </c>
      <c r="J781" t="s">
        <v>352</v>
      </c>
      <c r="K781" t="s">
        <v>74</v>
      </c>
      <c r="L781" t="s">
        <v>74</v>
      </c>
      <c r="M781" t="s">
        <v>74</v>
      </c>
      <c r="N781" t="s">
        <v>74</v>
      </c>
      <c r="O781" t="s">
        <v>74</v>
      </c>
      <c r="P781" t="s">
        <v>74</v>
      </c>
      <c r="Q781" t="s">
        <v>74</v>
      </c>
      <c r="R781" t="s">
        <v>74</v>
      </c>
      <c r="S781" t="s">
        <v>74</v>
      </c>
      <c r="T781" t="s">
        <v>74</v>
      </c>
      <c r="U781" t="s">
        <v>74</v>
      </c>
      <c r="V781" t="s">
        <v>6805</v>
      </c>
      <c r="W781" t="s">
        <v>74</v>
      </c>
      <c r="X781" t="s">
        <v>74</v>
      </c>
      <c r="Y781" t="s">
        <v>74</v>
      </c>
      <c r="Z781" t="s">
        <v>74</v>
      </c>
      <c r="AA781" t="s">
        <v>6806</v>
      </c>
      <c r="AB781" t="s">
        <v>6807</v>
      </c>
      <c r="AC781" t="s">
        <v>74</v>
      </c>
      <c r="AD781" t="s">
        <v>74</v>
      </c>
      <c r="AE781" t="s">
        <v>74</v>
      </c>
      <c r="AF781" t="s">
        <v>74</v>
      </c>
      <c r="AG781" t="s">
        <v>74</v>
      </c>
      <c r="AH781" t="s">
        <v>74</v>
      </c>
      <c r="AI781" t="s">
        <v>74</v>
      </c>
      <c r="AJ781" t="s">
        <v>74</v>
      </c>
      <c r="AK781" t="s">
        <v>74</v>
      </c>
      <c r="AL781" t="s">
        <v>74</v>
      </c>
      <c r="AM781" t="s">
        <v>74</v>
      </c>
      <c r="AN781" t="s">
        <v>74</v>
      </c>
      <c r="AO781" t="s">
        <v>354</v>
      </c>
      <c r="AP781" t="s">
        <v>355</v>
      </c>
      <c r="AQ781" t="s">
        <v>74</v>
      </c>
      <c r="AR781" t="s">
        <v>74</v>
      </c>
      <c r="AS781" t="s">
        <v>74</v>
      </c>
      <c r="AT781" t="s">
        <v>5465</v>
      </c>
      <c r="AU781">
        <v>2017</v>
      </c>
      <c r="AV781">
        <v>7</v>
      </c>
      <c r="AW781">
        <v>11</v>
      </c>
      <c r="AX781" t="s">
        <v>74</v>
      </c>
      <c r="AY781" t="s">
        <v>74</v>
      </c>
      <c r="AZ781" t="s">
        <v>74</v>
      </c>
      <c r="BA781" t="s">
        <v>74</v>
      </c>
      <c r="BB781" t="s">
        <v>74</v>
      </c>
      <c r="BC781" t="s">
        <v>74</v>
      </c>
      <c r="BD781">
        <v>1602055</v>
      </c>
      <c r="BE781" t="s">
        <v>6808</v>
      </c>
      <c r="BF781" t="str">
        <f>HYPERLINK("http://dx.doi.org/10.1002/aenm.201602055","http://dx.doi.org/10.1002/aenm.201602055")</f>
        <v>http://dx.doi.org/10.1002/aenm.201602055</v>
      </c>
      <c r="BG781" t="s">
        <v>74</v>
      </c>
      <c r="BH781" t="s">
        <v>74</v>
      </c>
      <c r="BI781" t="s">
        <v>74</v>
      </c>
      <c r="BJ781" t="s">
        <v>74</v>
      </c>
      <c r="BK781" t="s">
        <v>74</v>
      </c>
      <c r="BL781" t="s">
        <v>74</v>
      </c>
      <c r="BM781" t="s">
        <v>74</v>
      </c>
      <c r="BN781" t="s">
        <v>74</v>
      </c>
      <c r="BO781" t="s">
        <v>74</v>
      </c>
      <c r="BP781" t="s">
        <v>74</v>
      </c>
      <c r="BQ781" t="s">
        <v>74</v>
      </c>
      <c r="BR781" t="s">
        <v>74</v>
      </c>
      <c r="BS781" t="s">
        <v>6809</v>
      </c>
      <c r="BT781" t="str">
        <f>HYPERLINK("https%3A%2F%2Fwww.webofscience.com%2Fwos%2Fwoscc%2Ffull-record%2FWOS:000402967200018","View Full Record in Web of Science")</f>
        <v>View Full Record in Web of Science</v>
      </c>
    </row>
    <row r="782" spans="1:72" x14ac:dyDescent="0.2">
      <c r="A782" t="s">
        <v>72</v>
      </c>
      <c r="B782" t="s">
        <v>6810</v>
      </c>
      <c r="C782" t="s">
        <v>74</v>
      </c>
      <c r="D782" t="s">
        <v>74</v>
      </c>
      <c r="E782" t="s">
        <v>74</v>
      </c>
      <c r="F782" t="s">
        <v>6811</v>
      </c>
      <c r="G782" t="s">
        <v>74</v>
      </c>
      <c r="H782" t="s">
        <v>74</v>
      </c>
      <c r="I782" t="s">
        <v>6812</v>
      </c>
      <c r="J782" t="s">
        <v>895</v>
      </c>
      <c r="K782" t="s">
        <v>74</v>
      </c>
      <c r="L782" t="s">
        <v>74</v>
      </c>
      <c r="M782" t="s">
        <v>74</v>
      </c>
      <c r="N782" t="s">
        <v>74</v>
      </c>
      <c r="O782" t="s">
        <v>74</v>
      </c>
      <c r="P782" t="s">
        <v>74</v>
      </c>
      <c r="Q782" t="s">
        <v>74</v>
      </c>
      <c r="R782" t="s">
        <v>74</v>
      </c>
      <c r="S782" t="s">
        <v>74</v>
      </c>
      <c r="T782" t="s">
        <v>74</v>
      </c>
      <c r="U782" t="s">
        <v>74</v>
      </c>
      <c r="V782" t="s">
        <v>6813</v>
      </c>
      <c r="W782" t="s">
        <v>74</v>
      </c>
      <c r="X782" t="s">
        <v>74</v>
      </c>
      <c r="Y782" t="s">
        <v>74</v>
      </c>
      <c r="Z782" t="s">
        <v>74</v>
      </c>
      <c r="AA782" t="s">
        <v>6814</v>
      </c>
      <c r="AB782" t="s">
        <v>6815</v>
      </c>
      <c r="AC782" t="s">
        <v>74</v>
      </c>
      <c r="AD782" t="s">
        <v>74</v>
      </c>
      <c r="AE782" t="s">
        <v>74</v>
      </c>
      <c r="AF782" t="s">
        <v>74</v>
      </c>
      <c r="AG782" t="s">
        <v>74</v>
      </c>
      <c r="AH782" t="s">
        <v>74</v>
      </c>
      <c r="AI782" t="s">
        <v>74</v>
      </c>
      <c r="AJ782" t="s">
        <v>74</v>
      </c>
      <c r="AK782" t="s">
        <v>74</v>
      </c>
      <c r="AL782" t="s">
        <v>74</v>
      </c>
      <c r="AM782" t="s">
        <v>74</v>
      </c>
      <c r="AN782" t="s">
        <v>74</v>
      </c>
      <c r="AO782" t="s">
        <v>899</v>
      </c>
      <c r="AP782" t="s">
        <v>900</v>
      </c>
      <c r="AQ782" t="s">
        <v>74</v>
      </c>
      <c r="AR782" t="s">
        <v>74</v>
      </c>
      <c r="AS782" t="s">
        <v>74</v>
      </c>
      <c r="AT782" t="s">
        <v>2174</v>
      </c>
      <c r="AU782">
        <v>2017</v>
      </c>
      <c r="AV782">
        <v>10</v>
      </c>
      <c r="AW782">
        <v>6</v>
      </c>
      <c r="AX782" t="s">
        <v>74</v>
      </c>
      <c r="AY782" t="s">
        <v>74</v>
      </c>
      <c r="AZ782" t="s">
        <v>74</v>
      </c>
      <c r="BA782" t="s">
        <v>74</v>
      </c>
      <c r="BB782">
        <v>1350</v>
      </c>
      <c r="BC782">
        <v>1357</v>
      </c>
      <c r="BD782" t="s">
        <v>74</v>
      </c>
      <c r="BE782" t="s">
        <v>6816</v>
      </c>
      <c r="BF782" t="str">
        <f>HYPERLINK("http://dx.doi.org/10.1039/c7ee00244k","http://dx.doi.org/10.1039/c7ee00244k")</f>
        <v>http://dx.doi.org/10.1039/c7ee00244k</v>
      </c>
      <c r="BG782" t="s">
        <v>74</v>
      </c>
      <c r="BH782" t="s">
        <v>74</v>
      </c>
      <c r="BI782" t="s">
        <v>74</v>
      </c>
      <c r="BJ782" t="s">
        <v>74</v>
      </c>
      <c r="BK782" t="s">
        <v>74</v>
      </c>
      <c r="BL782" t="s">
        <v>74</v>
      </c>
      <c r="BM782" t="s">
        <v>74</v>
      </c>
      <c r="BN782" t="s">
        <v>74</v>
      </c>
      <c r="BO782" t="s">
        <v>74</v>
      </c>
      <c r="BP782" t="s">
        <v>74</v>
      </c>
      <c r="BQ782" t="s">
        <v>74</v>
      </c>
      <c r="BR782" t="s">
        <v>74</v>
      </c>
      <c r="BS782" t="s">
        <v>6817</v>
      </c>
      <c r="BT782" t="str">
        <f>HYPERLINK("https%3A%2F%2Fwww.webofscience.com%2Fwos%2Fwoscc%2Ffull-record%2FWOS:000403320300006","View Full Record in Web of Science")</f>
        <v>View Full Record in Web of Science</v>
      </c>
    </row>
    <row r="783" spans="1:72" x14ac:dyDescent="0.2">
      <c r="A783" t="s">
        <v>72</v>
      </c>
      <c r="B783" t="s">
        <v>6818</v>
      </c>
      <c r="C783" t="s">
        <v>74</v>
      </c>
      <c r="D783" t="s">
        <v>74</v>
      </c>
      <c r="E783" t="s">
        <v>74</v>
      </c>
      <c r="F783" t="s">
        <v>6819</v>
      </c>
      <c r="G783" t="s">
        <v>74</v>
      </c>
      <c r="H783" t="s">
        <v>74</v>
      </c>
      <c r="I783" t="s">
        <v>6820</v>
      </c>
      <c r="J783" t="s">
        <v>1005</v>
      </c>
      <c r="K783" t="s">
        <v>74</v>
      </c>
      <c r="L783" t="s">
        <v>74</v>
      </c>
      <c r="M783" t="s">
        <v>74</v>
      </c>
      <c r="N783" t="s">
        <v>74</v>
      </c>
      <c r="O783" t="s">
        <v>74</v>
      </c>
      <c r="P783" t="s">
        <v>74</v>
      </c>
      <c r="Q783" t="s">
        <v>74</v>
      </c>
      <c r="R783" t="s">
        <v>74</v>
      </c>
      <c r="S783" t="s">
        <v>74</v>
      </c>
      <c r="T783" t="s">
        <v>74</v>
      </c>
      <c r="U783" t="s">
        <v>74</v>
      </c>
      <c r="V783" t="s">
        <v>6821</v>
      </c>
      <c r="W783" t="s">
        <v>74</v>
      </c>
      <c r="X783" t="s">
        <v>74</v>
      </c>
      <c r="Y783" t="s">
        <v>74</v>
      </c>
      <c r="Z783" t="s">
        <v>74</v>
      </c>
      <c r="AA783" t="s">
        <v>6822</v>
      </c>
      <c r="AB783" t="s">
        <v>6823</v>
      </c>
      <c r="AC783" t="s">
        <v>74</v>
      </c>
      <c r="AD783" t="s">
        <v>74</v>
      </c>
      <c r="AE783" t="s">
        <v>74</v>
      </c>
      <c r="AF783" t="s">
        <v>74</v>
      </c>
      <c r="AG783" t="s">
        <v>74</v>
      </c>
      <c r="AH783" t="s">
        <v>74</v>
      </c>
      <c r="AI783" t="s">
        <v>74</v>
      </c>
      <c r="AJ783" t="s">
        <v>74</v>
      </c>
      <c r="AK783" t="s">
        <v>74</v>
      </c>
      <c r="AL783" t="s">
        <v>74</v>
      </c>
      <c r="AM783" t="s">
        <v>74</v>
      </c>
      <c r="AN783" t="s">
        <v>74</v>
      </c>
      <c r="AO783" t="s">
        <v>1008</v>
      </c>
      <c r="AP783" t="s">
        <v>1009</v>
      </c>
      <c r="AQ783" t="s">
        <v>74</v>
      </c>
      <c r="AR783" t="s">
        <v>74</v>
      </c>
      <c r="AS783" t="s">
        <v>74</v>
      </c>
      <c r="AT783" t="s">
        <v>1972</v>
      </c>
      <c r="AU783">
        <v>2017</v>
      </c>
      <c r="AV783">
        <v>76</v>
      </c>
      <c r="AW783" t="s">
        <v>74</v>
      </c>
      <c r="AX783" t="s">
        <v>74</v>
      </c>
      <c r="AY783" t="s">
        <v>74</v>
      </c>
      <c r="AZ783" t="s">
        <v>74</v>
      </c>
      <c r="BA783" t="s">
        <v>74</v>
      </c>
      <c r="BB783">
        <v>31</v>
      </c>
      <c r="BC783">
        <v>37</v>
      </c>
      <c r="BD783" t="s">
        <v>74</v>
      </c>
      <c r="BE783" t="s">
        <v>6824</v>
      </c>
      <c r="BF783" t="str">
        <f>HYPERLINK("http://dx.doi.org/10.1016/j.diamond.2017.04.004","http://dx.doi.org/10.1016/j.diamond.2017.04.004")</f>
        <v>http://dx.doi.org/10.1016/j.diamond.2017.04.004</v>
      </c>
      <c r="BG783" t="s">
        <v>74</v>
      </c>
      <c r="BH783" t="s">
        <v>74</v>
      </c>
      <c r="BI783" t="s">
        <v>74</v>
      </c>
      <c r="BJ783" t="s">
        <v>74</v>
      </c>
      <c r="BK783" t="s">
        <v>74</v>
      </c>
      <c r="BL783" t="s">
        <v>74</v>
      </c>
      <c r="BM783" t="s">
        <v>74</v>
      </c>
      <c r="BN783" t="s">
        <v>74</v>
      </c>
      <c r="BO783" t="s">
        <v>74</v>
      </c>
      <c r="BP783" t="s">
        <v>74</v>
      </c>
      <c r="BQ783" t="s">
        <v>74</v>
      </c>
      <c r="BR783" t="s">
        <v>74</v>
      </c>
      <c r="BS783" t="s">
        <v>6825</v>
      </c>
      <c r="BT783" t="str">
        <f>HYPERLINK("https%3A%2F%2Fwww.webofscience.com%2Fwos%2Fwoscc%2Ffull-record%2FWOS:000403858500006","View Full Record in Web of Science")</f>
        <v>View Full Record in Web of Science</v>
      </c>
    </row>
    <row r="784" spans="1:72" x14ac:dyDescent="0.2">
      <c r="A784" t="s">
        <v>72</v>
      </c>
      <c r="B784" t="s">
        <v>6826</v>
      </c>
      <c r="C784" t="s">
        <v>74</v>
      </c>
      <c r="D784" t="s">
        <v>74</v>
      </c>
      <c r="E784" t="s">
        <v>74</v>
      </c>
      <c r="F784" t="s">
        <v>6827</v>
      </c>
      <c r="G784" t="s">
        <v>74</v>
      </c>
      <c r="H784" t="s">
        <v>74</v>
      </c>
      <c r="I784" t="s">
        <v>6828</v>
      </c>
      <c r="J784" t="s">
        <v>6829</v>
      </c>
      <c r="K784" t="s">
        <v>74</v>
      </c>
      <c r="L784" t="s">
        <v>74</v>
      </c>
      <c r="M784" t="s">
        <v>74</v>
      </c>
      <c r="N784" t="s">
        <v>74</v>
      </c>
      <c r="O784" t="s">
        <v>74</v>
      </c>
      <c r="P784" t="s">
        <v>74</v>
      </c>
      <c r="Q784" t="s">
        <v>74</v>
      </c>
      <c r="R784" t="s">
        <v>74</v>
      </c>
      <c r="S784" t="s">
        <v>74</v>
      </c>
      <c r="T784" t="s">
        <v>74</v>
      </c>
      <c r="U784" t="s">
        <v>74</v>
      </c>
      <c r="V784" t="s">
        <v>6830</v>
      </c>
      <c r="W784" t="s">
        <v>74</v>
      </c>
      <c r="X784" t="s">
        <v>74</v>
      </c>
      <c r="Y784" t="s">
        <v>74</v>
      </c>
      <c r="Z784" t="s">
        <v>74</v>
      </c>
      <c r="AA784" t="s">
        <v>6831</v>
      </c>
      <c r="AB784" t="s">
        <v>6832</v>
      </c>
      <c r="AC784" t="s">
        <v>74</v>
      </c>
      <c r="AD784" t="s">
        <v>74</v>
      </c>
      <c r="AE784" t="s">
        <v>74</v>
      </c>
      <c r="AF784" t="s">
        <v>74</v>
      </c>
      <c r="AG784" t="s">
        <v>74</v>
      </c>
      <c r="AH784" t="s">
        <v>74</v>
      </c>
      <c r="AI784" t="s">
        <v>74</v>
      </c>
      <c r="AJ784" t="s">
        <v>74</v>
      </c>
      <c r="AK784" t="s">
        <v>74</v>
      </c>
      <c r="AL784" t="s">
        <v>74</v>
      </c>
      <c r="AM784" t="s">
        <v>74</v>
      </c>
      <c r="AN784" t="s">
        <v>74</v>
      </c>
      <c r="AO784" t="s">
        <v>6833</v>
      </c>
      <c r="AP784" t="s">
        <v>6834</v>
      </c>
      <c r="AQ784" t="s">
        <v>74</v>
      </c>
      <c r="AR784" t="s">
        <v>74</v>
      </c>
      <c r="AS784" t="s">
        <v>74</v>
      </c>
      <c r="AT784" t="s">
        <v>670</v>
      </c>
      <c r="AU784">
        <v>2017</v>
      </c>
      <c r="AV784">
        <v>375</v>
      </c>
      <c r="AW784">
        <v>2</v>
      </c>
      <c r="AX784" t="s">
        <v>74</v>
      </c>
      <c r="AY784" t="s">
        <v>74</v>
      </c>
      <c r="AZ784" t="s">
        <v>74</v>
      </c>
      <c r="BA784" t="s">
        <v>74</v>
      </c>
      <c r="BB784" t="s">
        <v>74</v>
      </c>
      <c r="BC784" t="s">
        <v>74</v>
      </c>
      <c r="BD784">
        <v>37</v>
      </c>
      <c r="BE784" t="s">
        <v>6835</v>
      </c>
      <c r="BF784" t="str">
        <f>HYPERLINK("http://dx.doi.org/10.1007/s41061-017-0125-8","http://dx.doi.org/10.1007/s41061-017-0125-8")</f>
        <v>http://dx.doi.org/10.1007/s41061-017-0125-8</v>
      </c>
      <c r="BG784" t="s">
        <v>74</v>
      </c>
      <c r="BH784" t="s">
        <v>74</v>
      </c>
      <c r="BI784" t="s">
        <v>74</v>
      </c>
      <c r="BJ784" t="s">
        <v>74</v>
      </c>
      <c r="BK784" t="s">
        <v>74</v>
      </c>
      <c r="BL784" t="s">
        <v>74</v>
      </c>
      <c r="BM784" t="s">
        <v>74</v>
      </c>
      <c r="BN784">
        <v>28299728</v>
      </c>
      <c r="BO784" t="s">
        <v>74</v>
      </c>
      <c r="BP784" t="s">
        <v>74</v>
      </c>
      <c r="BQ784" t="s">
        <v>74</v>
      </c>
      <c r="BR784" t="s">
        <v>74</v>
      </c>
      <c r="BS784" t="s">
        <v>6836</v>
      </c>
      <c r="BT784" t="str">
        <f>HYPERLINK("https%3A%2F%2Fwww.webofscience.com%2Fwos%2Fwoscc%2Ffull-record%2FWOS:000401323200018","View Full Record in Web of Science")</f>
        <v>View Full Record in Web of Science</v>
      </c>
    </row>
    <row r="785" spans="1:72" x14ac:dyDescent="0.2">
      <c r="A785" t="s">
        <v>72</v>
      </c>
      <c r="B785" t="s">
        <v>6837</v>
      </c>
      <c r="C785" t="s">
        <v>74</v>
      </c>
      <c r="D785" t="s">
        <v>74</v>
      </c>
      <c r="E785" t="s">
        <v>74</v>
      </c>
      <c r="F785" t="s">
        <v>6838</v>
      </c>
      <c r="G785" t="s">
        <v>74</v>
      </c>
      <c r="H785" t="s">
        <v>74</v>
      </c>
      <c r="I785" t="s">
        <v>6839</v>
      </c>
      <c r="J785" t="s">
        <v>1273</v>
      </c>
      <c r="K785" t="s">
        <v>74</v>
      </c>
      <c r="L785" t="s">
        <v>74</v>
      </c>
      <c r="M785" t="s">
        <v>74</v>
      </c>
      <c r="N785" t="s">
        <v>74</v>
      </c>
      <c r="O785" t="s">
        <v>74</v>
      </c>
      <c r="P785" t="s">
        <v>74</v>
      </c>
      <c r="Q785" t="s">
        <v>74</v>
      </c>
      <c r="R785" t="s">
        <v>74</v>
      </c>
      <c r="S785" t="s">
        <v>74</v>
      </c>
      <c r="T785" t="s">
        <v>74</v>
      </c>
      <c r="U785" t="s">
        <v>74</v>
      </c>
      <c r="V785" t="s">
        <v>6840</v>
      </c>
      <c r="W785" t="s">
        <v>74</v>
      </c>
      <c r="X785" t="s">
        <v>74</v>
      </c>
      <c r="Y785" t="s">
        <v>74</v>
      </c>
      <c r="Z785" t="s">
        <v>74</v>
      </c>
      <c r="AA785" t="s">
        <v>6841</v>
      </c>
      <c r="AB785" t="s">
        <v>6842</v>
      </c>
      <c r="AC785" t="s">
        <v>74</v>
      </c>
      <c r="AD785" t="s">
        <v>74</v>
      </c>
      <c r="AE785" t="s">
        <v>74</v>
      </c>
      <c r="AF785" t="s">
        <v>74</v>
      </c>
      <c r="AG785" t="s">
        <v>74</v>
      </c>
      <c r="AH785" t="s">
        <v>74</v>
      </c>
      <c r="AI785" t="s">
        <v>74</v>
      </c>
      <c r="AJ785" t="s">
        <v>74</v>
      </c>
      <c r="AK785" t="s">
        <v>74</v>
      </c>
      <c r="AL785" t="s">
        <v>74</v>
      </c>
      <c r="AM785" t="s">
        <v>74</v>
      </c>
      <c r="AN785" t="s">
        <v>74</v>
      </c>
      <c r="AO785" t="s">
        <v>1277</v>
      </c>
      <c r="AP785" t="s">
        <v>1278</v>
      </c>
      <c r="AQ785" t="s">
        <v>74</v>
      </c>
      <c r="AR785" t="s">
        <v>74</v>
      </c>
      <c r="AS785" t="s">
        <v>74</v>
      </c>
      <c r="AT785" t="s">
        <v>6843</v>
      </c>
      <c r="AU785">
        <v>2017</v>
      </c>
      <c r="AV785">
        <v>29</v>
      </c>
      <c r="AW785">
        <v>5</v>
      </c>
      <c r="AX785" t="s">
        <v>74</v>
      </c>
      <c r="AY785" t="s">
        <v>74</v>
      </c>
      <c r="AZ785" t="s">
        <v>74</v>
      </c>
      <c r="BA785" t="s">
        <v>74</v>
      </c>
      <c r="BB785">
        <v>2141</v>
      </c>
      <c r="BC785">
        <v>2149</v>
      </c>
      <c r="BD785" t="s">
        <v>74</v>
      </c>
      <c r="BE785" t="s">
        <v>6844</v>
      </c>
      <c r="BF785" t="str">
        <f>HYPERLINK("http://dx.doi.org/10.1021/acs.chemmater.6b04784","http://dx.doi.org/10.1021/acs.chemmater.6b04784")</f>
        <v>http://dx.doi.org/10.1021/acs.chemmater.6b04784</v>
      </c>
      <c r="BG785" t="s">
        <v>74</v>
      </c>
      <c r="BH785" t="s">
        <v>74</v>
      </c>
      <c r="BI785" t="s">
        <v>74</v>
      </c>
      <c r="BJ785" t="s">
        <v>74</v>
      </c>
      <c r="BK785" t="s">
        <v>74</v>
      </c>
      <c r="BL785" t="s">
        <v>74</v>
      </c>
      <c r="BM785" t="s">
        <v>74</v>
      </c>
      <c r="BN785" t="s">
        <v>74</v>
      </c>
      <c r="BO785" t="s">
        <v>74</v>
      </c>
      <c r="BP785" t="s">
        <v>74</v>
      </c>
      <c r="BQ785" t="s">
        <v>74</v>
      </c>
      <c r="BR785" t="s">
        <v>74</v>
      </c>
      <c r="BS785" t="s">
        <v>6845</v>
      </c>
      <c r="BT785" t="str">
        <f>HYPERLINK("https%3A%2F%2Fwww.webofscience.com%2Fwos%2Fwoscc%2Ffull-record%2FWOS:000396639400026","View Full Record in Web of Science")</f>
        <v>View Full Record in Web of Science</v>
      </c>
    </row>
    <row r="786" spans="1:72" x14ac:dyDescent="0.2">
      <c r="A786" t="s">
        <v>72</v>
      </c>
      <c r="B786" t="s">
        <v>6846</v>
      </c>
      <c r="C786" t="s">
        <v>74</v>
      </c>
      <c r="D786" t="s">
        <v>74</v>
      </c>
      <c r="E786" t="s">
        <v>74</v>
      </c>
      <c r="F786" t="s">
        <v>6847</v>
      </c>
      <c r="G786" t="s">
        <v>74</v>
      </c>
      <c r="H786" t="s">
        <v>74</v>
      </c>
      <c r="I786" t="s">
        <v>6848</v>
      </c>
      <c r="J786" t="s">
        <v>6849</v>
      </c>
      <c r="K786" t="s">
        <v>74</v>
      </c>
      <c r="L786" t="s">
        <v>74</v>
      </c>
      <c r="M786" t="s">
        <v>74</v>
      </c>
      <c r="N786" t="s">
        <v>74</v>
      </c>
      <c r="O786" t="s">
        <v>74</v>
      </c>
      <c r="P786" t="s">
        <v>74</v>
      </c>
      <c r="Q786" t="s">
        <v>74</v>
      </c>
      <c r="R786" t="s">
        <v>74</v>
      </c>
      <c r="S786" t="s">
        <v>74</v>
      </c>
      <c r="T786" t="s">
        <v>74</v>
      </c>
      <c r="U786" t="s">
        <v>74</v>
      </c>
      <c r="V786" t="s">
        <v>6850</v>
      </c>
      <c r="W786" t="s">
        <v>74</v>
      </c>
      <c r="X786" t="s">
        <v>74</v>
      </c>
      <c r="Y786" t="s">
        <v>74</v>
      </c>
      <c r="Z786" t="s">
        <v>74</v>
      </c>
      <c r="AA786" t="s">
        <v>74</v>
      </c>
      <c r="AB786" t="s">
        <v>74</v>
      </c>
      <c r="AC786" t="s">
        <v>74</v>
      </c>
      <c r="AD786" t="s">
        <v>74</v>
      </c>
      <c r="AE786" t="s">
        <v>74</v>
      </c>
      <c r="AF786" t="s">
        <v>74</v>
      </c>
      <c r="AG786" t="s">
        <v>74</v>
      </c>
      <c r="AH786" t="s">
        <v>74</v>
      </c>
      <c r="AI786" t="s">
        <v>74</v>
      </c>
      <c r="AJ786" t="s">
        <v>74</v>
      </c>
      <c r="AK786" t="s">
        <v>74</v>
      </c>
      <c r="AL786" t="s">
        <v>74</v>
      </c>
      <c r="AM786" t="s">
        <v>74</v>
      </c>
      <c r="AN786" t="s">
        <v>74</v>
      </c>
      <c r="AO786" t="s">
        <v>6851</v>
      </c>
      <c r="AP786" t="s">
        <v>6852</v>
      </c>
      <c r="AQ786" t="s">
        <v>74</v>
      </c>
      <c r="AR786" t="s">
        <v>74</v>
      </c>
      <c r="AS786" t="s">
        <v>74</v>
      </c>
      <c r="AT786" t="s">
        <v>2556</v>
      </c>
      <c r="AU786">
        <v>2017</v>
      </c>
      <c r="AV786">
        <v>164</v>
      </c>
      <c r="AW786" t="s">
        <v>74</v>
      </c>
      <c r="AX786" t="s">
        <v>74</v>
      </c>
      <c r="AY786" t="s">
        <v>74</v>
      </c>
      <c r="AZ786" t="s">
        <v>74</v>
      </c>
      <c r="BA786" t="s">
        <v>74</v>
      </c>
      <c r="BB786">
        <v>100</v>
      </c>
      <c r="BC786">
        <v>109</v>
      </c>
      <c r="BD786" t="s">
        <v>74</v>
      </c>
      <c r="BE786" t="s">
        <v>6853</v>
      </c>
      <c r="BF786" t="str">
        <f>HYPERLINK("http://dx.doi.org/10.1016/j.talanta.2016.11.019","http://dx.doi.org/10.1016/j.talanta.2016.11.019")</f>
        <v>http://dx.doi.org/10.1016/j.talanta.2016.11.019</v>
      </c>
      <c r="BG786" t="s">
        <v>74</v>
      </c>
      <c r="BH786" t="s">
        <v>74</v>
      </c>
      <c r="BI786" t="s">
        <v>74</v>
      </c>
      <c r="BJ786" t="s">
        <v>74</v>
      </c>
      <c r="BK786" t="s">
        <v>74</v>
      </c>
      <c r="BL786" t="s">
        <v>74</v>
      </c>
      <c r="BM786" t="s">
        <v>74</v>
      </c>
      <c r="BN786">
        <v>28107902</v>
      </c>
      <c r="BO786" t="s">
        <v>74</v>
      </c>
      <c r="BP786" t="s">
        <v>74</v>
      </c>
      <c r="BQ786" t="s">
        <v>74</v>
      </c>
      <c r="BR786" t="s">
        <v>74</v>
      </c>
      <c r="BS786" t="s">
        <v>6854</v>
      </c>
      <c r="BT786" t="str">
        <f>HYPERLINK("https%3A%2F%2Fwww.webofscience.com%2Fwos%2Fwoscc%2Ffull-record%2FWOS:000393244400015","View Full Record in Web of Science")</f>
        <v>View Full Record in Web of Science</v>
      </c>
    </row>
    <row r="787" spans="1:72" x14ac:dyDescent="0.2">
      <c r="A787" t="s">
        <v>72</v>
      </c>
      <c r="B787" t="s">
        <v>6855</v>
      </c>
      <c r="C787" t="s">
        <v>74</v>
      </c>
      <c r="D787" t="s">
        <v>74</v>
      </c>
      <c r="E787" t="s">
        <v>74</v>
      </c>
      <c r="F787" t="s">
        <v>6856</v>
      </c>
      <c r="G787" t="s">
        <v>74</v>
      </c>
      <c r="H787" t="s">
        <v>74</v>
      </c>
      <c r="I787" t="s">
        <v>6857</v>
      </c>
      <c r="J787" t="s">
        <v>2969</v>
      </c>
      <c r="K787" t="s">
        <v>74</v>
      </c>
      <c r="L787" t="s">
        <v>74</v>
      </c>
      <c r="M787" t="s">
        <v>74</v>
      </c>
      <c r="N787" t="s">
        <v>74</v>
      </c>
      <c r="O787" t="s">
        <v>74</v>
      </c>
      <c r="P787" t="s">
        <v>74</v>
      </c>
      <c r="Q787" t="s">
        <v>74</v>
      </c>
      <c r="R787" t="s">
        <v>74</v>
      </c>
      <c r="S787" t="s">
        <v>74</v>
      </c>
      <c r="T787" t="s">
        <v>74</v>
      </c>
      <c r="U787" t="s">
        <v>74</v>
      </c>
      <c r="V787" t="s">
        <v>6858</v>
      </c>
      <c r="W787" t="s">
        <v>74</v>
      </c>
      <c r="X787" t="s">
        <v>74</v>
      </c>
      <c r="Y787" t="s">
        <v>74</v>
      </c>
      <c r="Z787" t="s">
        <v>74</v>
      </c>
      <c r="AA787" t="s">
        <v>6143</v>
      </c>
      <c r="AB787" t="s">
        <v>74</v>
      </c>
      <c r="AC787" t="s">
        <v>74</v>
      </c>
      <c r="AD787" t="s">
        <v>74</v>
      </c>
      <c r="AE787" t="s">
        <v>74</v>
      </c>
      <c r="AF787" t="s">
        <v>74</v>
      </c>
      <c r="AG787" t="s">
        <v>74</v>
      </c>
      <c r="AH787" t="s">
        <v>74</v>
      </c>
      <c r="AI787" t="s">
        <v>74</v>
      </c>
      <c r="AJ787" t="s">
        <v>74</v>
      </c>
      <c r="AK787" t="s">
        <v>74</v>
      </c>
      <c r="AL787" t="s">
        <v>74</v>
      </c>
      <c r="AM787" t="s">
        <v>74</v>
      </c>
      <c r="AN787" t="s">
        <v>74</v>
      </c>
      <c r="AO787" t="s">
        <v>2972</v>
      </c>
      <c r="AP787" t="s">
        <v>2973</v>
      </c>
      <c r="AQ787" t="s">
        <v>74</v>
      </c>
      <c r="AR787" t="s">
        <v>74</v>
      </c>
      <c r="AS787" t="s">
        <v>74</v>
      </c>
      <c r="AT787" t="s">
        <v>954</v>
      </c>
      <c r="AU787">
        <v>2017</v>
      </c>
      <c r="AV787">
        <v>21</v>
      </c>
      <c r="AW787">
        <v>3</v>
      </c>
      <c r="AX787" t="s">
        <v>74</v>
      </c>
      <c r="AY787" t="s">
        <v>74</v>
      </c>
      <c r="AZ787" t="s">
        <v>74</v>
      </c>
      <c r="BA787" t="s">
        <v>74</v>
      </c>
      <c r="BB787">
        <v>665</v>
      </c>
      <c r="BC787">
        <v>671</v>
      </c>
      <c r="BD787" t="s">
        <v>74</v>
      </c>
      <c r="BE787" t="s">
        <v>6859</v>
      </c>
      <c r="BF787" t="str">
        <f>HYPERLINK("http://dx.doi.org/10.1007/s10008-016-3412-3","http://dx.doi.org/10.1007/s10008-016-3412-3")</f>
        <v>http://dx.doi.org/10.1007/s10008-016-3412-3</v>
      </c>
      <c r="BG787" t="s">
        <v>74</v>
      </c>
      <c r="BH787" t="s">
        <v>74</v>
      </c>
      <c r="BI787" t="s">
        <v>74</v>
      </c>
      <c r="BJ787" t="s">
        <v>74</v>
      </c>
      <c r="BK787" t="s">
        <v>74</v>
      </c>
      <c r="BL787" t="s">
        <v>74</v>
      </c>
      <c r="BM787" t="s">
        <v>74</v>
      </c>
      <c r="BN787" t="s">
        <v>74</v>
      </c>
      <c r="BO787" t="s">
        <v>74</v>
      </c>
      <c r="BP787" t="s">
        <v>74</v>
      </c>
      <c r="BQ787" t="s">
        <v>74</v>
      </c>
      <c r="BR787" t="s">
        <v>74</v>
      </c>
      <c r="BS787" t="s">
        <v>6860</v>
      </c>
      <c r="BT787" t="str">
        <f>HYPERLINK("https%3A%2F%2Fwww.webofscience.com%2Fwos%2Fwoscc%2Ffull-record%2FWOS:000394379600005","View Full Record in Web of Science")</f>
        <v>View Full Record in Web of Science</v>
      </c>
    </row>
    <row r="788" spans="1:72" x14ac:dyDescent="0.2">
      <c r="A788" t="s">
        <v>72</v>
      </c>
      <c r="B788" t="s">
        <v>6861</v>
      </c>
      <c r="C788" t="s">
        <v>74</v>
      </c>
      <c r="D788" t="s">
        <v>74</v>
      </c>
      <c r="E788" t="s">
        <v>74</v>
      </c>
      <c r="F788" t="s">
        <v>6862</v>
      </c>
      <c r="G788" t="s">
        <v>74</v>
      </c>
      <c r="H788" t="s">
        <v>74</v>
      </c>
      <c r="I788" t="s">
        <v>6863</v>
      </c>
      <c r="J788" t="s">
        <v>624</v>
      </c>
      <c r="K788" t="s">
        <v>74</v>
      </c>
      <c r="L788" t="s">
        <v>74</v>
      </c>
      <c r="M788" t="s">
        <v>74</v>
      </c>
      <c r="N788" t="s">
        <v>74</v>
      </c>
      <c r="O788" t="s">
        <v>74</v>
      </c>
      <c r="P788" t="s">
        <v>74</v>
      </c>
      <c r="Q788" t="s">
        <v>74</v>
      </c>
      <c r="R788" t="s">
        <v>74</v>
      </c>
      <c r="S788" t="s">
        <v>74</v>
      </c>
      <c r="T788" t="s">
        <v>74</v>
      </c>
      <c r="U788" t="s">
        <v>74</v>
      </c>
      <c r="V788" t="s">
        <v>6864</v>
      </c>
      <c r="W788" t="s">
        <v>74</v>
      </c>
      <c r="X788" t="s">
        <v>74</v>
      </c>
      <c r="Y788" t="s">
        <v>74</v>
      </c>
      <c r="Z788" t="s">
        <v>74</v>
      </c>
      <c r="AA788" t="s">
        <v>6865</v>
      </c>
      <c r="AB788" t="s">
        <v>6866</v>
      </c>
      <c r="AC788" t="s">
        <v>74</v>
      </c>
      <c r="AD788" t="s">
        <v>74</v>
      </c>
      <c r="AE788" t="s">
        <v>74</v>
      </c>
      <c r="AF788" t="s">
        <v>74</v>
      </c>
      <c r="AG788" t="s">
        <v>74</v>
      </c>
      <c r="AH788" t="s">
        <v>74</v>
      </c>
      <c r="AI788" t="s">
        <v>74</v>
      </c>
      <c r="AJ788" t="s">
        <v>74</v>
      </c>
      <c r="AK788" t="s">
        <v>74</v>
      </c>
      <c r="AL788" t="s">
        <v>74</v>
      </c>
      <c r="AM788" t="s">
        <v>74</v>
      </c>
      <c r="AN788" t="s">
        <v>74</v>
      </c>
      <c r="AO788" t="s">
        <v>627</v>
      </c>
      <c r="AP788" t="s">
        <v>628</v>
      </c>
      <c r="AQ788" t="s">
        <v>74</v>
      </c>
      <c r="AR788" t="s">
        <v>74</v>
      </c>
      <c r="AS788" t="s">
        <v>74</v>
      </c>
      <c r="AT788" t="s">
        <v>954</v>
      </c>
      <c r="AU788">
        <v>2017</v>
      </c>
      <c r="AV788">
        <v>33</v>
      </c>
      <c r="AW788" t="s">
        <v>74</v>
      </c>
      <c r="AX788" t="s">
        <v>74</v>
      </c>
      <c r="AY788" t="s">
        <v>74</v>
      </c>
      <c r="AZ788" t="s">
        <v>74</v>
      </c>
      <c r="BA788" t="s">
        <v>74</v>
      </c>
      <c r="BB788">
        <v>195</v>
      </c>
      <c r="BC788">
        <v>204</v>
      </c>
      <c r="BD788" t="s">
        <v>74</v>
      </c>
      <c r="BE788" t="s">
        <v>6867</v>
      </c>
      <c r="BF788" t="str">
        <f>HYPERLINK("http://dx.doi.org/10.1016/j.nanoen.2017.01.042","http://dx.doi.org/10.1016/j.nanoen.2017.01.042")</f>
        <v>http://dx.doi.org/10.1016/j.nanoen.2017.01.042</v>
      </c>
      <c r="BG788" t="s">
        <v>74</v>
      </c>
      <c r="BH788" t="s">
        <v>74</v>
      </c>
      <c r="BI788" t="s">
        <v>74</v>
      </c>
      <c r="BJ788" t="s">
        <v>74</v>
      </c>
      <c r="BK788" t="s">
        <v>74</v>
      </c>
      <c r="BL788" t="s">
        <v>74</v>
      </c>
      <c r="BM788" t="s">
        <v>74</v>
      </c>
      <c r="BN788" t="s">
        <v>74</v>
      </c>
      <c r="BO788" t="s">
        <v>74</v>
      </c>
      <c r="BP788" t="s">
        <v>74</v>
      </c>
      <c r="BQ788" t="s">
        <v>74</v>
      </c>
      <c r="BR788" t="s">
        <v>74</v>
      </c>
      <c r="BS788" t="s">
        <v>6868</v>
      </c>
      <c r="BT788" t="str">
        <f>HYPERLINK("https%3A%2F%2Fwww.webofscience.com%2Fwos%2Fwoscc%2Ffull-record%2FWOS:000397314200021","View Full Record in Web of Science")</f>
        <v>View Full Record in Web of Science</v>
      </c>
    </row>
    <row r="789" spans="1:72" x14ac:dyDescent="0.2">
      <c r="A789" t="s">
        <v>72</v>
      </c>
      <c r="B789" t="s">
        <v>6869</v>
      </c>
      <c r="C789" t="s">
        <v>74</v>
      </c>
      <c r="D789" t="s">
        <v>74</v>
      </c>
      <c r="E789" t="s">
        <v>74</v>
      </c>
      <c r="F789" t="s">
        <v>6870</v>
      </c>
      <c r="G789" t="s">
        <v>74</v>
      </c>
      <c r="H789" t="s">
        <v>74</v>
      </c>
      <c r="I789" t="s">
        <v>6871</v>
      </c>
      <c r="J789" t="s">
        <v>654</v>
      </c>
      <c r="K789" t="s">
        <v>74</v>
      </c>
      <c r="L789" t="s">
        <v>74</v>
      </c>
      <c r="M789" t="s">
        <v>74</v>
      </c>
      <c r="N789" t="s">
        <v>74</v>
      </c>
      <c r="O789" t="s">
        <v>74</v>
      </c>
      <c r="P789" t="s">
        <v>74</v>
      </c>
      <c r="Q789" t="s">
        <v>74</v>
      </c>
      <c r="R789" t="s">
        <v>74</v>
      </c>
      <c r="S789" t="s">
        <v>74</v>
      </c>
      <c r="T789" t="s">
        <v>74</v>
      </c>
      <c r="U789" t="s">
        <v>74</v>
      </c>
      <c r="V789" t="s">
        <v>6872</v>
      </c>
      <c r="W789" t="s">
        <v>74</v>
      </c>
      <c r="X789" t="s">
        <v>74</v>
      </c>
      <c r="Y789" t="s">
        <v>74</v>
      </c>
      <c r="Z789" t="s">
        <v>74</v>
      </c>
      <c r="AA789" t="s">
        <v>6873</v>
      </c>
      <c r="AB789" t="s">
        <v>6874</v>
      </c>
      <c r="AC789" t="s">
        <v>74</v>
      </c>
      <c r="AD789" t="s">
        <v>74</v>
      </c>
      <c r="AE789" t="s">
        <v>74</v>
      </c>
      <c r="AF789" t="s">
        <v>74</v>
      </c>
      <c r="AG789" t="s">
        <v>74</v>
      </c>
      <c r="AH789" t="s">
        <v>74</v>
      </c>
      <c r="AI789" t="s">
        <v>74</v>
      </c>
      <c r="AJ789" t="s">
        <v>74</v>
      </c>
      <c r="AK789" t="s">
        <v>74</v>
      </c>
      <c r="AL789" t="s">
        <v>74</v>
      </c>
      <c r="AM789" t="s">
        <v>74</v>
      </c>
      <c r="AN789" t="s">
        <v>74</v>
      </c>
      <c r="AO789" t="s">
        <v>657</v>
      </c>
      <c r="AP789" t="s">
        <v>658</v>
      </c>
      <c r="AQ789" t="s">
        <v>74</v>
      </c>
      <c r="AR789" t="s">
        <v>74</v>
      </c>
      <c r="AS789" t="s">
        <v>74</v>
      </c>
      <c r="AT789" t="s">
        <v>954</v>
      </c>
      <c r="AU789">
        <v>2017</v>
      </c>
      <c r="AV789">
        <v>17</v>
      </c>
      <c r="AW789">
        <v>3</v>
      </c>
      <c r="AX789" t="s">
        <v>74</v>
      </c>
      <c r="AY789" t="s">
        <v>74</v>
      </c>
      <c r="AZ789" t="s">
        <v>74</v>
      </c>
      <c r="BA789" t="s">
        <v>74</v>
      </c>
      <c r="BB789">
        <v>1417</v>
      </c>
      <c r="BC789">
        <v>1424</v>
      </c>
      <c r="BD789" t="s">
        <v>74</v>
      </c>
      <c r="BE789" t="s">
        <v>6875</v>
      </c>
      <c r="BF789" t="str">
        <f>HYPERLINK("http://dx.doi.org/10.1021/acs.nanolett.6b04371","http://dx.doi.org/10.1021/acs.nanolett.6b04371")</f>
        <v>http://dx.doi.org/10.1021/acs.nanolett.6b04371</v>
      </c>
      <c r="BG789" t="s">
        <v>74</v>
      </c>
      <c r="BH789" t="s">
        <v>74</v>
      </c>
      <c r="BI789" t="s">
        <v>74</v>
      </c>
      <c r="BJ789" t="s">
        <v>74</v>
      </c>
      <c r="BK789" t="s">
        <v>74</v>
      </c>
      <c r="BL789" t="s">
        <v>74</v>
      </c>
      <c r="BM789" t="s">
        <v>74</v>
      </c>
      <c r="BN789">
        <v>28186765</v>
      </c>
      <c r="BO789" t="s">
        <v>74</v>
      </c>
      <c r="BP789" t="s">
        <v>74</v>
      </c>
      <c r="BQ789" t="s">
        <v>74</v>
      </c>
      <c r="BR789" t="s">
        <v>74</v>
      </c>
      <c r="BS789" t="s">
        <v>6876</v>
      </c>
      <c r="BT789" t="str">
        <f>HYPERLINK("https%3A%2F%2Fwww.webofscience.com%2Fwos%2Fwoscc%2Ffull-record%2FWOS:000396185800015","View Full Record in Web of Science")</f>
        <v>View Full Record in Web of Science</v>
      </c>
    </row>
    <row r="790" spans="1:72" x14ac:dyDescent="0.2">
      <c r="A790" t="s">
        <v>72</v>
      </c>
      <c r="B790" t="s">
        <v>6877</v>
      </c>
      <c r="C790" t="s">
        <v>74</v>
      </c>
      <c r="D790" t="s">
        <v>74</v>
      </c>
      <c r="E790" t="s">
        <v>74</v>
      </c>
      <c r="F790" t="s">
        <v>6878</v>
      </c>
      <c r="G790" t="s">
        <v>74</v>
      </c>
      <c r="H790" t="s">
        <v>74</v>
      </c>
      <c r="I790" t="s">
        <v>6879</v>
      </c>
      <c r="J790" t="s">
        <v>6623</v>
      </c>
      <c r="K790" t="s">
        <v>74</v>
      </c>
      <c r="L790" t="s">
        <v>74</v>
      </c>
      <c r="M790" t="s">
        <v>74</v>
      </c>
      <c r="N790" t="s">
        <v>74</v>
      </c>
      <c r="O790" t="s">
        <v>74</v>
      </c>
      <c r="P790" t="s">
        <v>74</v>
      </c>
      <c r="Q790" t="s">
        <v>74</v>
      </c>
      <c r="R790" t="s">
        <v>74</v>
      </c>
      <c r="S790" t="s">
        <v>74</v>
      </c>
      <c r="T790" t="s">
        <v>74</v>
      </c>
      <c r="U790" t="s">
        <v>74</v>
      </c>
      <c r="V790" t="s">
        <v>6880</v>
      </c>
      <c r="W790" t="s">
        <v>74</v>
      </c>
      <c r="X790" t="s">
        <v>74</v>
      </c>
      <c r="Y790" t="s">
        <v>74</v>
      </c>
      <c r="Z790" t="s">
        <v>74</v>
      </c>
      <c r="AA790" t="s">
        <v>6881</v>
      </c>
      <c r="AB790" t="s">
        <v>74</v>
      </c>
      <c r="AC790" t="s">
        <v>74</v>
      </c>
      <c r="AD790" t="s">
        <v>74</v>
      </c>
      <c r="AE790" t="s">
        <v>74</v>
      </c>
      <c r="AF790" t="s">
        <v>74</v>
      </c>
      <c r="AG790" t="s">
        <v>74</v>
      </c>
      <c r="AH790" t="s">
        <v>74</v>
      </c>
      <c r="AI790" t="s">
        <v>74</v>
      </c>
      <c r="AJ790" t="s">
        <v>74</v>
      </c>
      <c r="AK790" t="s">
        <v>74</v>
      </c>
      <c r="AL790" t="s">
        <v>74</v>
      </c>
      <c r="AM790" t="s">
        <v>74</v>
      </c>
      <c r="AN790" t="s">
        <v>74</v>
      </c>
      <c r="AO790" t="s">
        <v>6627</v>
      </c>
      <c r="AP790" t="s">
        <v>74</v>
      </c>
      <c r="AQ790" t="s">
        <v>74</v>
      </c>
      <c r="AR790" t="s">
        <v>74</v>
      </c>
      <c r="AS790" t="s">
        <v>74</v>
      </c>
      <c r="AT790" t="s">
        <v>6882</v>
      </c>
      <c r="AU790">
        <v>2017</v>
      </c>
      <c r="AV790">
        <v>7</v>
      </c>
      <c r="AW790" t="s">
        <v>74</v>
      </c>
      <c r="AX790" t="s">
        <v>74</v>
      </c>
      <c r="AY790" t="s">
        <v>74</v>
      </c>
      <c r="AZ790" t="s">
        <v>74</v>
      </c>
      <c r="BA790" t="s">
        <v>74</v>
      </c>
      <c r="BB790" t="s">
        <v>74</v>
      </c>
      <c r="BC790" t="s">
        <v>74</v>
      </c>
      <c r="BD790">
        <v>43366</v>
      </c>
      <c r="BE790" t="s">
        <v>6883</v>
      </c>
      <c r="BF790" t="str">
        <f>HYPERLINK("http://dx.doi.org/10.1038/srep43366","http://dx.doi.org/10.1038/srep43366")</f>
        <v>http://dx.doi.org/10.1038/srep43366</v>
      </c>
      <c r="BG790" t="s">
        <v>74</v>
      </c>
      <c r="BH790" t="s">
        <v>74</v>
      </c>
      <c r="BI790" t="s">
        <v>74</v>
      </c>
      <c r="BJ790" t="s">
        <v>74</v>
      </c>
      <c r="BK790" t="s">
        <v>74</v>
      </c>
      <c r="BL790" t="s">
        <v>74</v>
      </c>
      <c r="BM790" t="s">
        <v>74</v>
      </c>
      <c r="BN790">
        <v>28240234</v>
      </c>
      <c r="BO790" t="s">
        <v>74</v>
      </c>
      <c r="BP790" t="s">
        <v>74</v>
      </c>
      <c r="BQ790" t="s">
        <v>74</v>
      </c>
      <c r="BR790" t="s">
        <v>74</v>
      </c>
      <c r="BS790" t="s">
        <v>6884</v>
      </c>
      <c r="BT790" t="str">
        <f>HYPERLINK("https%3A%2F%2Fwww.webofscience.com%2Fwos%2Fwoscc%2Ffull-record%2FWOS:000394768100001","View Full Record in Web of Science")</f>
        <v>View Full Record in Web of Science</v>
      </c>
    </row>
    <row r="791" spans="1:72" x14ac:dyDescent="0.2">
      <c r="A791" t="s">
        <v>72</v>
      </c>
      <c r="B791" t="s">
        <v>6885</v>
      </c>
      <c r="C791" t="s">
        <v>74</v>
      </c>
      <c r="D791" t="s">
        <v>74</v>
      </c>
      <c r="E791" t="s">
        <v>74</v>
      </c>
      <c r="F791" t="s">
        <v>6886</v>
      </c>
      <c r="G791" t="s">
        <v>74</v>
      </c>
      <c r="H791" t="s">
        <v>74</v>
      </c>
      <c r="I791" t="s">
        <v>6887</v>
      </c>
      <c r="J791" t="s">
        <v>98</v>
      </c>
      <c r="K791" t="s">
        <v>74</v>
      </c>
      <c r="L791" t="s">
        <v>74</v>
      </c>
      <c r="M791" t="s">
        <v>74</v>
      </c>
      <c r="N791" t="s">
        <v>74</v>
      </c>
      <c r="O791" t="s">
        <v>74</v>
      </c>
      <c r="P791" t="s">
        <v>74</v>
      </c>
      <c r="Q791" t="s">
        <v>74</v>
      </c>
      <c r="R791" t="s">
        <v>74</v>
      </c>
      <c r="S791" t="s">
        <v>74</v>
      </c>
      <c r="T791" t="s">
        <v>74</v>
      </c>
      <c r="U791" t="s">
        <v>74</v>
      </c>
      <c r="V791" t="s">
        <v>6888</v>
      </c>
      <c r="W791" t="s">
        <v>74</v>
      </c>
      <c r="X791" t="s">
        <v>74</v>
      </c>
      <c r="Y791" t="s">
        <v>74</v>
      </c>
      <c r="Z791" t="s">
        <v>74</v>
      </c>
      <c r="AA791" t="s">
        <v>6889</v>
      </c>
      <c r="AB791" t="s">
        <v>6890</v>
      </c>
      <c r="AC791" t="s">
        <v>74</v>
      </c>
      <c r="AD791" t="s">
        <v>74</v>
      </c>
      <c r="AE791" t="s">
        <v>74</v>
      </c>
      <c r="AF791" t="s">
        <v>74</v>
      </c>
      <c r="AG791" t="s">
        <v>74</v>
      </c>
      <c r="AH791" t="s">
        <v>74</v>
      </c>
      <c r="AI791" t="s">
        <v>74</v>
      </c>
      <c r="AJ791" t="s">
        <v>74</v>
      </c>
      <c r="AK791" t="s">
        <v>74</v>
      </c>
      <c r="AL791" t="s">
        <v>74</v>
      </c>
      <c r="AM791" t="s">
        <v>74</v>
      </c>
      <c r="AN791" t="s">
        <v>74</v>
      </c>
      <c r="AO791" t="s">
        <v>101</v>
      </c>
      <c r="AP791" t="s">
        <v>102</v>
      </c>
      <c r="AQ791" t="s">
        <v>74</v>
      </c>
      <c r="AR791" t="s">
        <v>74</v>
      </c>
      <c r="AS791" t="s">
        <v>74</v>
      </c>
      <c r="AT791" t="s">
        <v>1463</v>
      </c>
      <c r="AU791">
        <v>2017</v>
      </c>
      <c r="AV791">
        <v>341</v>
      </c>
      <c r="AW791" t="s">
        <v>74</v>
      </c>
      <c r="AX791" t="s">
        <v>74</v>
      </c>
      <c r="AY791" t="s">
        <v>74</v>
      </c>
      <c r="AZ791" t="s">
        <v>74</v>
      </c>
      <c r="BA791" t="s">
        <v>74</v>
      </c>
      <c r="BB791">
        <v>257</v>
      </c>
      <c r="BC791">
        <v>263</v>
      </c>
      <c r="BD791" t="s">
        <v>74</v>
      </c>
      <c r="BE791" t="s">
        <v>6891</v>
      </c>
      <c r="BF791" t="str">
        <f>HYPERLINK("http://dx.doi.org/10.1016/j.jpowsour.2016.12.009","http://dx.doi.org/10.1016/j.jpowsour.2016.12.009")</f>
        <v>http://dx.doi.org/10.1016/j.jpowsour.2016.12.009</v>
      </c>
      <c r="BG791" t="s">
        <v>74</v>
      </c>
      <c r="BH791" t="s">
        <v>74</v>
      </c>
      <c r="BI791" t="s">
        <v>74</v>
      </c>
      <c r="BJ791" t="s">
        <v>74</v>
      </c>
      <c r="BK791" t="s">
        <v>74</v>
      </c>
      <c r="BL791" t="s">
        <v>74</v>
      </c>
      <c r="BM791" t="s">
        <v>74</v>
      </c>
      <c r="BN791" t="s">
        <v>74</v>
      </c>
      <c r="BO791" t="s">
        <v>74</v>
      </c>
      <c r="BP791" t="s">
        <v>74</v>
      </c>
      <c r="BQ791" t="s">
        <v>74</v>
      </c>
      <c r="BR791" t="s">
        <v>74</v>
      </c>
      <c r="BS791" t="s">
        <v>6892</v>
      </c>
      <c r="BT791" t="str">
        <f>HYPERLINK("https%3A%2F%2Fwww.webofscience.com%2Fwos%2Fwoscc%2Ffull-record%2FWOS:000393003400030","View Full Record in Web of Science")</f>
        <v>View Full Record in Web of Science</v>
      </c>
    </row>
    <row r="792" spans="1:72" x14ac:dyDescent="0.2">
      <c r="A792" t="s">
        <v>72</v>
      </c>
      <c r="B792" t="s">
        <v>6893</v>
      </c>
      <c r="C792" t="s">
        <v>74</v>
      </c>
      <c r="D792" t="s">
        <v>74</v>
      </c>
      <c r="E792" t="s">
        <v>74</v>
      </c>
      <c r="F792" t="s">
        <v>6894</v>
      </c>
      <c r="G792" t="s">
        <v>74</v>
      </c>
      <c r="H792" t="s">
        <v>74</v>
      </c>
      <c r="I792" t="s">
        <v>6895</v>
      </c>
      <c r="J792" t="s">
        <v>1256</v>
      </c>
      <c r="K792" t="s">
        <v>74</v>
      </c>
      <c r="L792" t="s">
        <v>74</v>
      </c>
      <c r="M792" t="s">
        <v>74</v>
      </c>
      <c r="N792" t="s">
        <v>74</v>
      </c>
      <c r="O792" t="s">
        <v>74</v>
      </c>
      <c r="P792" t="s">
        <v>74</v>
      </c>
      <c r="Q792" t="s">
        <v>74</v>
      </c>
      <c r="R792" t="s">
        <v>74</v>
      </c>
      <c r="S792" t="s">
        <v>74</v>
      </c>
      <c r="T792" t="s">
        <v>74</v>
      </c>
      <c r="U792" t="s">
        <v>74</v>
      </c>
      <c r="V792" t="s">
        <v>6896</v>
      </c>
      <c r="W792" t="s">
        <v>74</v>
      </c>
      <c r="X792" t="s">
        <v>74</v>
      </c>
      <c r="Y792" t="s">
        <v>74</v>
      </c>
      <c r="Z792" t="s">
        <v>74</v>
      </c>
      <c r="AA792" t="s">
        <v>6897</v>
      </c>
      <c r="AB792" t="s">
        <v>6898</v>
      </c>
      <c r="AC792" t="s">
        <v>74</v>
      </c>
      <c r="AD792" t="s">
        <v>74</v>
      </c>
      <c r="AE792" t="s">
        <v>74</v>
      </c>
      <c r="AF792" t="s">
        <v>74</v>
      </c>
      <c r="AG792" t="s">
        <v>74</v>
      </c>
      <c r="AH792" t="s">
        <v>74</v>
      </c>
      <c r="AI792" t="s">
        <v>74</v>
      </c>
      <c r="AJ792" t="s">
        <v>74</v>
      </c>
      <c r="AK792" t="s">
        <v>74</v>
      </c>
      <c r="AL792" t="s">
        <v>74</v>
      </c>
      <c r="AM792" t="s">
        <v>74</v>
      </c>
      <c r="AN792" t="s">
        <v>74</v>
      </c>
      <c r="AO792" t="s">
        <v>1258</v>
      </c>
      <c r="AP792" t="s">
        <v>1259</v>
      </c>
      <c r="AQ792" t="s">
        <v>74</v>
      </c>
      <c r="AR792" t="s">
        <v>74</v>
      </c>
      <c r="AS792" t="s">
        <v>74</v>
      </c>
      <c r="AT792" t="s">
        <v>6899</v>
      </c>
      <c r="AU792">
        <v>2017</v>
      </c>
      <c r="AV792">
        <v>227</v>
      </c>
      <c r="AW792" t="s">
        <v>74</v>
      </c>
      <c r="AX792" t="s">
        <v>74</v>
      </c>
      <c r="AY792" t="s">
        <v>74</v>
      </c>
      <c r="AZ792" t="s">
        <v>74</v>
      </c>
      <c r="BA792" t="s">
        <v>74</v>
      </c>
      <c r="BB792">
        <v>455</v>
      </c>
      <c r="BC792">
        <v>461</v>
      </c>
      <c r="BD792" t="s">
        <v>74</v>
      </c>
      <c r="BE792" t="s">
        <v>6900</v>
      </c>
      <c r="BF792" t="str">
        <f>HYPERLINK("http://dx.doi.org/10.1016/j.electacta.2017.01.045","http://dx.doi.org/10.1016/j.electacta.2017.01.045")</f>
        <v>http://dx.doi.org/10.1016/j.electacta.2017.01.045</v>
      </c>
      <c r="BG792" t="s">
        <v>74</v>
      </c>
      <c r="BH792" t="s">
        <v>74</v>
      </c>
      <c r="BI792" t="s">
        <v>74</v>
      </c>
      <c r="BJ792" t="s">
        <v>74</v>
      </c>
      <c r="BK792" t="s">
        <v>74</v>
      </c>
      <c r="BL792" t="s">
        <v>74</v>
      </c>
      <c r="BM792" t="s">
        <v>74</v>
      </c>
      <c r="BN792" t="s">
        <v>74</v>
      </c>
      <c r="BO792" t="s">
        <v>74</v>
      </c>
      <c r="BP792" t="s">
        <v>74</v>
      </c>
      <c r="BQ792" t="s">
        <v>74</v>
      </c>
      <c r="BR792" t="s">
        <v>74</v>
      </c>
      <c r="BS792" t="s">
        <v>6901</v>
      </c>
      <c r="BT792" t="str">
        <f>HYPERLINK("https%3A%2F%2Fwww.webofscience.com%2Fwos%2Fwoscc%2Ffull-record%2FWOS:000394399600049","View Full Record in Web of Science")</f>
        <v>View Full Record in Web of Science</v>
      </c>
    </row>
    <row r="793" spans="1:72" x14ac:dyDescent="0.2">
      <c r="A793" t="s">
        <v>72</v>
      </c>
      <c r="B793" t="s">
        <v>6902</v>
      </c>
      <c r="C793" t="s">
        <v>74</v>
      </c>
      <c r="D793" t="s">
        <v>74</v>
      </c>
      <c r="E793" t="s">
        <v>74</v>
      </c>
      <c r="F793" t="s">
        <v>6903</v>
      </c>
      <c r="G793" t="s">
        <v>74</v>
      </c>
      <c r="H793" t="s">
        <v>74</v>
      </c>
      <c r="I793" t="s">
        <v>6904</v>
      </c>
      <c r="J793" t="s">
        <v>1256</v>
      </c>
      <c r="K793" t="s">
        <v>74</v>
      </c>
      <c r="L793" t="s">
        <v>74</v>
      </c>
      <c r="M793" t="s">
        <v>74</v>
      </c>
      <c r="N793" t="s">
        <v>74</v>
      </c>
      <c r="O793" t="s">
        <v>74</v>
      </c>
      <c r="P793" t="s">
        <v>74</v>
      </c>
      <c r="Q793" t="s">
        <v>74</v>
      </c>
      <c r="R793" t="s">
        <v>74</v>
      </c>
      <c r="S793" t="s">
        <v>74</v>
      </c>
      <c r="T793" t="s">
        <v>74</v>
      </c>
      <c r="U793" t="s">
        <v>74</v>
      </c>
      <c r="V793" t="s">
        <v>6905</v>
      </c>
      <c r="W793" t="s">
        <v>74</v>
      </c>
      <c r="X793" t="s">
        <v>74</v>
      </c>
      <c r="Y793" t="s">
        <v>74</v>
      </c>
      <c r="Z793" t="s">
        <v>74</v>
      </c>
      <c r="AA793" t="s">
        <v>6906</v>
      </c>
      <c r="AB793" t="s">
        <v>6907</v>
      </c>
      <c r="AC793" t="s">
        <v>74</v>
      </c>
      <c r="AD793" t="s">
        <v>74</v>
      </c>
      <c r="AE793" t="s">
        <v>74</v>
      </c>
      <c r="AF793" t="s">
        <v>74</v>
      </c>
      <c r="AG793" t="s">
        <v>74</v>
      </c>
      <c r="AH793" t="s">
        <v>74</v>
      </c>
      <c r="AI793" t="s">
        <v>74</v>
      </c>
      <c r="AJ793" t="s">
        <v>74</v>
      </c>
      <c r="AK793" t="s">
        <v>74</v>
      </c>
      <c r="AL793" t="s">
        <v>74</v>
      </c>
      <c r="AM793" t="s">
        <v>74</v>
      </c>
      <c r="AN793" t="s">
        <v>74</v>
      </c>
      <c r="AO793" t="s">
        <v>1258</v>
      </c>
      <c r="AP793" t="s">
        <v>1259</v>
      </c>
      <c r="AQ793" t="s">
        <v>74</v>
      </c>
      <c r="AR793" t="s">
        <v>74</v>
      </c>
      <c r="AS793" t="s">
        <v>74</v>
      </c>
      <c r="AT793" t="s">
        <v>6899</v>
      </c>
      <c r="AU793">
        <v>2017</v>
      </c>
      <c r="AV793">
        <v>227</v>
      </c>
      <c r="AW793" t="s">
        <v>74</v>
      </c>
      <c r="AX793" t="s">
        <v>74</v>
      </c>
      <c r="AY793" t="s">
        <v>74</v>
      </c>
      <c r="AZ793" t="s">
        <v>74</v>
      </c>
      <c r="BA793" t="s">
        <v>74</v>
      </c>
      <c r="BB793">
        <v>24</v>
      </c>
      <c r="BC793">
        <v>32</v>
      </c>
      <c r="BD793" t="s">
        <v>74</v>
      </c>
      <c r="BE793" t="s">
        <v>6908</v>
      </c>
      <c r="BF793" t="str">
        <f>HYPERLINK("http://dx.doi.org/10.1016/j.electacta.2017.01.005","http://dx.doi.org/10.1016/j.electacta.2017.01.005")</f>
        <v>http://dx.doi.org/10.1016/j.electacta.2017.01.005</v>
      </c>
      <c r="BG793" t="s">
        <v>74</v>
      </c>
      <c r="BH793" t="s">
        <v>74</v>
      </c>
      <c r="BI793" t="s">
        <v>74</v>
      </c>
      <c r="BJ793" t="s">
        <v>74</v>
      </c>
      <c r="BK793" t="s">
        <v>74</v>
      </c>
      <c r="BL793" t="s">
        <v>74</v>
      </c>
      <c r="BM793" t="s">
        <v>74</v>
      </c>
      <c r="BN793" t="s">
        <v>74</v>
      </c>
      <c r="BO793" t="s">
        <v>74</v>
      </c>
      <c r="BP793" t="s">
        <v>74</v>
      </c>
      <c r="BQ793" t="s">
        <v>74</v>
      </c>
      <c r="BR793" t="s">
        <v>74</v>
      </c>
      <c r="BS793" t="s">
        <v>6909</v>
      </c>
      <c r="BT793" t="str">
        <f>HYPERLINK("https%3A%2F%2Fwww.webofscience.com%2Fwos%2Fwoscc%2Ffull-record%2FWOS:000394399600005","View Full Record in Web of Science")</f>
        <v>View Full Record in Web of Science</v>
      </c>
    </row>
    <row r="794" spans="1:72" x14ac:dyDescent="0.2">
      <c r="A794" t="s">
        <v>72</v>
      </c>
      <c r="B794" t="s">
        <v>6910</v>
      </c>
      <c r="C794" t="s">
        <v>74</v>
      </c>
      <c r="D794" t="s">
        <v>74</v>
      </c>
      <c r="E794" t="s">
        <v>74</v>
      </c>
      <c r="F794" t="s">
        <v>6911</v>
      </c>
      <c r="G794" t="s">
        <v>74</v>
      </c>
      <c r="H794" t="s">
        <v>74</v>
      </c>
      <c r="I794" t="s">
        <v>6912</v>
      </c>
      <c r="J794" t="s">
        <v>560</v>
      </c>
      <c r="K794" t="s">
        <v>74</v>
      </c>
      <c r="L794" t="s">
        <v>74</v>
      </c>
      <c r="M794" t="s">
        <v>74</v>
      </c>
      <c r="N794" t="s">
        <v>74</v>
      </c>
      <c r="O794" t="s">
        <v>74</v>
      </c>
      <c r="P794" t="s">
        <v>74</v>
      </c>
      <c r="Q794" t="s">
        <v>74</v>
      </c>
      <c r="R794" t="s">
        <v>74</v>
      </c>
      <c r="S794" t="s">
        <v>74</v>
      </c>
      <c r="T794" t="s">
        <v>74</v>
      </c>
      <c r="U794" t="s">
        <v>74</v>
      </c>
      <c r="V794" t="s">
        <v>6913</v>
      </c>
      <c r="W794" t="s">
        <v>74</v>
      </c>
      <c r="X794" t="s">
        <v>74</v>
      </c>
      <c r="Y794" t="s">
        <v>74</v>
      </c>
      <c r="Z794" t="s">
        <v>74</v>
      </c>
      <c r="AA794" t="s">
        <v>6914</v>
      </c>
      <c r="AB794" t="s">
        <v>6915</v>
      </c>
      <c r="AC794" t="s">
        <v>74</v>
      </c>
      <c r="AD794" t="s">
        <v>74</v>
      </c>
      <c r="AE794" t="s">
        <v>74</v>
      </c>
      <c r="AF794" t="s">
        <v>74</v>
      </c>
      <c r="AG794" t="s">
        <v>74</v>
      </c>
      <c r="AH794" t="s">
        <v>74</v>
      </c>
      <c r="AI794" t="s">
        <v>74</v>
      </c>
      <c r="AJ794" t="s">
        <v>74</v>
      </c>
      <c r="AK794" t="s">
        <v>74</v>
      </c>
      <c r="AL794" t="s">
        <v>74</v>
      </c>
      <c r="AM794" t="s">
        <v>74</v>
      </c>
      <c r="AN794" t="s">
        <v>74</v>
      </c>
      <c r="AO794" t="s">
        <v>563</v>
      </c>
      <c r="AP794" t="s">
        <v>564</v>
      </c>
      <c r="AQ794" t="s">
        <v>74</v>
      </c>
      <c r="AR794" t="s">
        <v>74</v>
      </c>
      <c r="AS794" t="s">
        <v>74</v>
      </c>
      <c r="AT794" t="s">
        <v>1026</v>
      </c>
      <c r="AU794">
        <v>2017</v>
      </c>
      <c r="AV794">
        <v>23</v>
      </c>
      <c r="AW794">
        <v>10</v>
      </c>
      <c r="AX794" t="s">
        <v>74</v>
      </c>
      <c r="AY794" t="s">
        <v>74</v>
      </c>
      <c r="AZ794" t="s">
        <v>74</v>
      </c>
      <c r="BA794" t="s">
        <v>74</v>
      </c>
      <c r="BB794">
        <v>2261</v>
      </c>
      <c r="BC794">
        <v>2264</v>
      </c>
      <c r="BD794" t="s">
        <v>74</v>
      </c>
      <c r="BE794" t="s">
        <v>6916</v>
      </c>
      <c r="BF794" t="str">
        <f>HYPERLINK("http://dx.doi.org/10.1002/chem.201604461","http://dx.doi.org/10.1002/chem.201604461")</f>
        <v>http://dx.doi.org/10.1002/chem.201604461</v>
      </c>
      <c r="BG794" t="s">
        <v>74</v>
      </c>
      <c r="BH794" t="s">
        <v>74</v>
      </c>
      <c r="BI794" t="s">
        <v>74</v>
      </c>
      <c r="BJ794" t="s">
        <v>74</v>
      </c>
      <c r="BK794" t="s">
        <v>74</v>
      </c>
      <c r="BL794" t="s">
        <v>74</v>
      </c>
      <c r="BM794" t="s">
        <v>74</v>
      </c>
      <c r="BN794">
        <v>28112849</v>
      </c>
      <c r="BO794" t="s">
        <v>74</v>
      </c>
      <c r="BP794" t="s">
        <v>74</v>
      </c>
      <c r="BQ794" t="s">
        <v>74</v>
      </c>
      <c r="BR794" t="s">
        <v>74</v>
      </c>
      <c r="BS794" t="s">
        <v>6917</v>
      </c>
      <c r="BT794" t="str">
        <f>HYPERLINK("https%3A%2F%2Fwww.webofscience.com%2Fwos%2Fwoscc%2Ffull-record%2FWOS:000395583200004","View Full Record in Web of Science")</f>
        <v>View Full Record in Web of Science</v>
      </c>
    </row>
    <row r="795" spans="1:72" x14ac:dyDescent="0.2">
      <c r="A795" t="s">
        <v>72</v>
      </c>
      <c r="B795" t="s">
        <v>6918</v>
      </c>
      <c r="C795" t="s">
        <v>74</v>
      </c>
      <c r="D795" t="s">
        <v>74</v>
      </c>
      <c r="E795" t="s">
        <v>74</v>
      </c>
      <c r="F795" t="s">
        <v>6919</v>
      </c>
      <c r="G795" t="s">
        <v>74</v>
      </c>
      <c r="H795" t="s">
        <v>74</v>
      </c>
      <c r="I795" t="s">
        <v>6920</v>
      </c>
      <c r="J795" t="s">
        <v>1293</v>
      </c>
      <c r="K795" t="s">
        <v>74</v>
      </c>
      <c r="L795" t="s">
        <v>74</v>
      </c>
      <c r="M795" t="s">
        <v>74</v>
      </c>
      <c r="N795" t="s">
        <v>74</v>
      </c>
      <c r="O795" t="s">
        <v>6921</v>
      </c>
      <c r="P795" t="s">
        <v>6922</v>
      </c>
      <c r="Q795" t="s">
        <v>6923</v>
      </c>
      <c r="R795" t="s">
        <v>74</v>
      </c>
      <c r="S795" t="s">
        <v>74</v>
      </c>
      <c r="T795" t="s">
        <v>74</v>
      </c>
      <c r="U795" t="s">
        <v>74</v>
      </c>
      <c r="V795" t="s">
        <v>6924</v>
      </c>
      <c r="W795" t="s">
        <v>74</v>
      </c>
      <c r="X795" t="s">
        <v>74</v>
      </c>
      <c r="Y795" t="s">
        <v>74</v>
      </c>
      <c r="Z795" t="s">
        <v>74</v>
      </c>
      <c r="AA795" t="s">
        <v>6925</v>
      </c>
      <c r="AB795" t="s">
        <v>6926</v>
      </c>
      <c r="AC795" t="s">
        <v>74</v>
      </c>
      <c r="AD795" t="s">
        <v>74</v>
      </c>
      <c r="AE795" t="s">
        <v>74</v>
      </c>
      <c r="AF795" t="s">
        <v>74</v>
      </c>
      <c r="AG795" t="s">
        <v>74</v>
      </c>
      <c r="AH795" t="s">
        <v>74</v>
      </c>
      <c r="AI795" t="s">
        <v>74</v>
      </c>
      <c r="AJ795" t="s">
        <v>74</v>
      </c>
      <c r="AK795" t="s">
        <v>74</v>
      </c>
      <c r="AL795" t="s">
        <v>74</v>
      </c>
      <c r="AM795" t="s">
        <v>74</v>
      </c>
      <c r="AN795" t="s">
        <v>74</v>
      </c>
      <c r="AO795" t="s">
        <v>1297</v>
      </c>
      <c r="AP795" t="s">
        <v>1298</v>
      </c>
      <c r="AQ795" t="s">
        <v>74</v>
      </c>
      <c r="AR795" t="s">
        <v>74</v>
      </c>
      <c r="AS795" t="s">
        <v>74</v>
      </c>
      <c r="AT795" t="s">
        <v>74</v>
      </c>
      <c r="AU795">
        <v>2017</v>
      </c>
      <c r="AV795">
        <v>164</v>
      </c>
      <c r="AW795">
        <v>1</v>
      </c>
      <c r="AX795" t="s">
        <v>74</v>
      </c>
      <c r="AY795" t="s">
        <v>74</v>
      </c>
      <c r="AZ795" t="s">
        <v>74</v>
      </c>
      <c r="BA795" t="s">
        <v>74</v>
      </c>
      <c r="BB795" t="s">
        <v>6927</v>
      </c>
      <c r="BC795" t="s">
        <v>6928</v>
      </c>
      <c r="BD795" t="s">
        <v>74</v>
      </c>
      <c r="BE795" t="s">
        <v>6929</v>
      </c>
      <c r="BF795" t="str">
        <f>HYPERLINK("http://dx.doi.org/10.1149/2.0191701jes","http://dx.doi.org/10.1149/2.0191701jes")</f>
        <v>http://dx.doi.org/10.1149/2.0191701jes</v>
      </c>
      <c r="BG795" t="s">
        <v>74</v>
      </c>
      <c r="BH795" t="s">
        <v>74</v>
      </c>
      <c r="BI795" t="s">
        <v>74</v>
      </c>
      <c r="BJ795" t="s">
        <v>74</v>
      </c>
      <c r="BK795" t="s">
        <v>74</v>
      </c>
      <c r="BL795" t="s">
        <v>74</v>
      </c>
      <c r="BM795" t="s">
        <v>74</v>
      </c>
      <c r="BN795" t="s">
        <v>74</v>
      </c>
      <c r="BO795" t="s">
        <v>74</v>
      </c>
      <c r="BP795" t="s">
        <v>74</v>
      </c>
      <c r="BQ795" t="s">
        <v>74</v>
      </c>
      <c r="BR795" t="s">
        <v>74</v>
      </c>
      <c r="BS795" t="s">
        <v>6930</v>
      </c>
      <c r="BT795" t="str">
        <f>HYPERLINK("https%3A%2F%2Fwww.webofscience.com%2Fwos%2Fwoscc%2Ffull-record%2FWOS:000394508400002","View Full Record in Web of Science")</f>
        <v>View Full Record in Web of Science</v>
      </c>
    </row>
    <row r="796" spans="1:72" x14ac:dyDescent="0.2">
      <c r="A796" t="s">
        <v>72</v>
      </c>
      <c r="B796" t="s">
        <v>6931</v>
      </c>
      <c r="C796" t="s">
        <v>74</v>
      </c>
      <c r="D796" t="s">
        <v>74</v>
      </c>
      <c r="E796" t="s">
        <v>74</v>
      </c>
      <c r="F796" t="s">
        <v>6932</v>
      </c>
      <c r="G796" t="s">
        <v>74</v>
      </c>
      <c r="H796" t="s">
        <v>74</v>
      </c>
      <c r="I796" t="s">
        <v>6933</v>
      </c>
      <c r="J796" t="s">
        <v>1051</v>
      </c>
      <c r="K796" t="s">
        <v>74</v>
      </c>
      <c r="L796" t="s">
        <v>74</v>
      </c>
      <c r="M796" t="s">
        <v>74</v>
      </c>
      <c r="N796" t="s">
        <v>74</v>
      </c>
      <c r="O796" t="s">
        <v>74</v>
      </c>
      <c r="P796" t="s">
        <v>74</v>
      </c>
      <c r="Q796" t="s">
        <v>74</v>
      </c>
      <c r="R796" t="s">
        <v>74</v>
      </c>
      <c r="S796" t="s">
        <v>74</v>
      </c>
      <c r="T796" t="s">
        <v>74</v>
      </c>
      <c r="U796" t="s">
        <v>74</v>
      </c>
      <c r="V796" t="s">
        <v>6934</v>
      </c>
      <c r="W796" t="s">
        <v>74</v>
      </c>
      <c r="X796" t="s">
        <v>74</v>
      </c>
      <c r="Y796" t="s">
        <v>74</v>
      </c>
      <c r="Z796" t="s">
        <v>74</v>
      </c>
      <c r="AA796" t="s">
        <v>6935</v>
      </c>
      <c r="AB796" t="s">
        <v>6936</v>
      </c>
      <c r="AC796" t="s">
        <v>74</v>
      </c>
      <c r="AD796" t="s">
        <v>74</v>
      </c>
      <c r="AE796" t="s">
        <v>74</v>
      </c>
      <c r="AF796" t="s">
        <v>74</v>
      </c>
      <c r="AG796" t="s">
        <v>74</v>
      </c>
      <c r="AH796" t="s">
        <v>74</v>
      </c>
      <c r="AI796" t="s">
        <v>74</v>
      </c>
      <c r="AJ796" t="s">
        <v>74</v>
      </c>
      <c r="AK796" t="s">
        <v>74</v>
      </c>
      <c r="AL796" t="s">
        <v>74</v>
      </c>
      <c r="AM796" t="s">
        <v>74</v>
      </c>
      <c r="AN796" t="s">
        <v>74</v>
      </c>
      <c r="AO796" t="s">
        <v>1054</v>
      </c>
      <c r="AP796" t="s">
        <v>1055</v>
      </c>
      <c r="AQ796" t="s">
        <v>74</v>
      </c>
      <c r="AR796" t="s">
        <v>74</v>
      </c>
      <c r="AS796" t="s">
        <v>74</v>
      </c>
      <c r="AT796" t="s">
        <v>1194</v>
      </c>
      <c r="AU796">
        <v>2017</v>
      </c>
      <c r="AV796">
        <v>74</v>
      </c>
      <c r="AW796" t="s">
        <v>74</v>
      </c>
      <c r="AX796" t="s">
        <v>74</v>
      </c>
      <c r="AY796" t="s">
        <v>74</v>
      </c>
      <c r="AZ796" t="s">
        <v>74</v>
      </c>
      <c r="BA796" t="s">
        <v>74</v>
      </c>
      <c r="BB796">
        <v>38</v>
      </c>
      <c r="BC796">
        <v>41</v>
      </c>
      <c r="BD796" t="s">
        <v>74</v>
      </c>
      <c r="BE796" t="s">
        <v>6937</v>
      </c>
      <c r="BF796" t="str">
        <f>HYPERLINK("http://dx.doi.org/10.1016/j.elecom.2016.11.016","http://dx.doi.org/10.1016/j.elecom.2016.11.016")</f>
        <v>http://dx.doi.org/10.1016/j.elecom.2016.11.016</v>
      </c>
      <c r="BG796" t="s">
        <v>74</v>
      </c>
      <c r="BH796" t="s">
        <v>74</v>
      </c>
      <c r="BI796" t="s">
        <v>74</v>
      </c>
      <c r="BJ796" t="s">
        <v>74</v>
      </c>
      <c r="BK796" t="s">
        <v>74</v>
      </c>
      <c r="BL796" t="s">
        <v>74</v>
      </c>
      <c r="BM796" t="s">
        <v>74</v>
      </c>
      <c r="BN796" t="s">
        <v>74</v>
      </c>
      <c r="BO796" t="s">
        <v>74</v>
      </c>
      <c r="BP796" t="s">
        <v>74</v>
      </c>
      <c r="BQ796" t="s">
        <v>74</v>
      </c>
      <c r="BR796" t="s">
        <v>74</v>
      </c>
      <c r="BS796" t="s">
        <v>6938</v>
      </c>
      <c r="BT796" t="str">
        <f>HYPERLINK("https%3A%2F%2Fwww.webofscience.com%2Fwos%2Fwoscc%2Ffull-record%2FWOS:000391422400009","View Full Record in Web of Science")</f>
        <v>View Full Record in Web of Science</v>
      </c>
    </row>
    <row r="797" spans="1:72" x14ac:dyDescent="0.2">
      <c r="A797" t="s">
        <v>72</v>
      </c>
      <c r="B797" t="s">
        <v>6939</v>
      </c>
      <c r="C797" t="s">
        <v>74</v>
      </c>
      <c r="D797" t="s">
        <v>74</v>
      </c>
      <c r="E797" t="s">
        <v>74</v>
      </c>
      <c r="F797" t="s">
        <v>6940</v>
      </c>
      <c r="G797" t="s">
        <v>74</v>
      </c>
      <c r="H797" t="s">
        <v>74</v>
      </c>
      <c r="I797" t="s">
        <v>6941</v>
      </c>
      <c r="J797" t="s">
        <v>6942</v>
      </c>
      <c r="K797" t="s">
        <v>74</v>
      </c>
      <c r="L797" t="s">
        <v>74</v>
      </c>
      <c r="M797" t="s">
        <v>74</v>
      </c>
      <c r="N797" t="s">
        <v>74</v>
      </c>
      <c r="O797" t="s">
        <v>74</v>
      </c>
      <c r="P797" t="s">
        <v>74</v>
      </c>
      <c r="Q797" t="s">
        <v>74</v>
      </c>
      <c r="R797" t="s">
        <v>74</v>
      </c>
      <c r="S797" t="s">
        <v>74</v>
      </c>
      <c r="T797" t="s">
        <v>74</v>
      </c>
      <c r="U797" t="s">
        <v>74</v>
      </c>
      <c r="V797" t="s">
        <v>6943</v>
      </c>
      <c r="W797" t="s">
        <v>74</v>
      </c>
      <c r="X797" t="s">
        <v>74</v>
      </c>
      <c r="Y797" t="s">
        <v>74</v>
      </c>
      <c r="Z797" t="s">
        <v>74</v>
      </c>
      <c r="AA797" t="s">
        <v>6944</v>
      </c>
      <c r="AB797" t="s">
        <v>6945</v>
      </c>
      <c r="AC797" t="s">
        <v>74</v>
      </c>
      <c r="AD797" t="s">
        <v>74</v>
      </c>
      <c r="AE797" t="s">
        <v>74</v>
      </c>
      <c r="AF797" t="s">
        <v>74</v>
      </c>
      <c r="AG797" t="s">
        <v>74</v>
      </c>
      <c r="AH797" t="s">
        <v>74</v>
      </c>
      <c r="AI797" t="s">
        <v>74</v>
      </c>
      <c r="AJ797" t="s">
        <v>74</v>
      </c>
      <c r="AK797" t="s">
        <v>74</v>
      </c>
      <c r="AL797" t="s">
        <v>74</v>
      </c>
      <c r="AM797" t="s">
        <v>74</v>
      </c>
      <c r="AN797" t="s">
        <v>74</v>
      </c>
      <c r="AO797" t="s">
        <v>6946</v>
      </c>
      <c r="AP797" t="s">
        <v>6947</v>
      </c>
      <c r="AQ797" t="s">
        <v>74</v>
      </c>
      <c r="AR797" t="s">
        <v>74</v>
      </c>
      <c r="AS797" t="s">
        <v>74</v>
      </c>
      <c r="AT797" t="s">
        <v>74</v>
      </c>
      <c r="AU797">
        <v>2017</v>
      </c>
      <c r="AV797">
        <v>52</v>
      </c>
      <c r="AW797">
        <v>9</v>
      </c>
      <c r="AX797" t="s">
        <v>74</v>
      </c>
      <c r="AY797" t="s">
        <v>74</v>
      </c>
      <c r="AZ797" t="s">
        <v>74</v>
      </c>
      <c r="BA797" t="s">
        <v>74</v>
      </c>
      <c r="BB797">
        <v>1602</v>
      </c>
      <c r="BC797">
        <v>1614</v>
      </c>
      <c r="BD797" t="s">
        <v>74</v>
      </c>
      <c r="BE797" t="s">
        <v>6948</v>
      </c>
      <c r="BF797" t="str">
        <f>HYPERLINK("http://dx.doi.org/10.1080/01496395.2017.1291681","http://dx.doi.org/10.1080/01496395.2017.1291681")</f>
        <v>http://dx.doi.org/10.1080/01496395.2017.1291681</v>
      </c>
      <c r="BG797" t="s">
        <v>74</v>
      </c>
      <c r="BH797" t="s">
        <v>74</v>
      </c>
      <c r="BI797" t="s">
        <v>74</v>
      </c>
      <c r="BJ797" t="s">
        <v>74</v>
      </c>
      <c r="BK797" t="s">
        <v>74</v>
      </c>
      <c r="BL797" t="s">
        <v>74</v>
      </c>
      <c r="BM797" t="s">
        <v>74</v>
      </c>
      <c r="BN797" t="s">
        <v>74</v>
      </c>
      <c r="BO797" t="s">
        <v>74</v>
      </c>
      <c r="BP797" t="s">
        <v>74</v>
      </c>
      <c r="BQ797" t="s">
        <v>74</v>
      </c>
      <c r="BR797" t="s">
        <v>74</v>
      </c>
      <c r="BS797" t="s">
        <v>6949</v>
      </c>
      <c r="BT797" t="str">
        <f>HYPERLINK("https%3A%2F%2Fwww.webofscience.com%2Fwos%2Fwoscc%2Ffull-record%2FWOS:000401197000011","View Full Record in Web of Science")</f>
        <v>View Full Record in Web of Science</v>
      </c>
    </row>
    <row r="798" spans="1:72" x14ac:dyDescent="0.2">
      <c r="A798" t="s">
        <v>72</v>
      </c>
      <c r="B798" t="s">
        <v>6950</v>
      </c>
      <c r="C798" t="s">
        <v>74</v>
      </c>
      <c r="D798" t="s">
        <v>74</v>
      </c>
      <c r="E798" t="s">
        <v>74</v>
      </c>
      <c r="F798" t="s">
        <v>6951</v>
      </c>
      <c r="G798" t="s">
        <v>74</v>
      </c>
      <c r="H798" t="s">
        <v>74</v>
      </c>
      <c r="I798" t="s">
        <v>6952</v>
      </c>
      <c r="J798" t="s">
        <v>6953</v>
      </c>
      <c r="K798" t="s">
        <v>74</v>
      </c>
      <c r="L798" t="s">
        <v>74</v>
      </c>
      <c r="M798" t="s">
        <v>74</v>
      </c>
      <c r="N798" t="s">
        <v>74</v>
      </c>
      <c r="O798" t="s">
        <v>74</v>
      </c>
      <c r="P798" t="s">
        <v>74</v>
      </c>
      <c r="Q798" t="s">
        <v>74</v>
      </c>
      <c r="R798" t="s">
        <v>74</v>
      </c>
      <c r="S798" t="s">
        <v>74</v>
      </c>
      <c r="T798" t="s">
        <v>74</v>
      </c>
      <c r="U798" t="s">
        <v>74</v>
      </c>
      <c r="V798" t="s">
        <v>6954</v>
      </c>
      <c r="W798" t="s">
        <v>74</v>
      </c>
      <c r="X798" t="s">
        <v>74</v>
      </c>
      <c r="Y798" t="s">
        <v>74</v>
      </c>
      <c r="Z798" t="s">
        <v>74</v>
      </c>
      <c r="AA798" t="s">
        <v>6955</v>
      </c>
      <c r="AB798" t="s">
        <v>6956</v>
      </c>
      <c r="AC798" t="s">
        <v>74</v>
      </c>
      <c r="AD798" t="s">
        <v>74</v>
      </c>
      <c r="AE798" t="s">
        <v>74</v>
      </c>
      <c r="AF798" t="s">
        <v>74</v>
      </c>
      <c r="AG798" t="s">
        <v>74</v>
      </c>
      <c r="AH798" t="s">
        <v>74</v>
      </c>
      <c r="AI798" t="s">
        <v>74</v>
      </c>
      <c r="AJ798" t="s">
        <v>74</v>
      </c>
      <c r="AK798" t="s">
        <v>74</v>
      </c>
      <c r="AL798" t="s">
        <v>74</v>
      </c>
      <c r="AM798" t="s">
        <v>74</v>
      </c>
      <c r="AN798" t="s">
        <v>74</v>
      </c>
      <c r="AO798" t="s">
        <v>6957</v>
      </c>
      <c r="AP798" t="s">
        <v>6958</v>
      </c>
      <c r="AQ798" t="s">
        <v>74</v>
      </c>
      <c r="AR798" t="s">
        <v>74</v>
      </c>
      <c r="AS798" t="s">
        <v>74</v>
      </c>
      <c r="AT798" t="s">
        <v>74</v>
      </c>
      <c r="AU798">
        <v>2017</v>
      </c>
      <c r="AV798">
        <v>2017</v>
      </c>
      <c r="AW798" t="s">
        <v>74</v>
      </c>
      <c r="AX798" t="s">
        <v>74</v>
      </c>
      <c r="AY798" t="s">
        <v>74</v>
      </c>
      <c r="AZ798" t="s">
        <v>74</v>
      </c>
      <c r="BA798" t="s">
        <v>74</v>
      </c>
      <c r="BB798" t="s">
        <v>74</v>
      </c>
      <c r="BC798" t="s">
        <v>74</v>
      </c>
      <c r="BD798">
        <v>4839410</v>
      </c>
      <c r="BE798" t="s">
        <v>6959</v>
      </c>
      <c r="BF798" t="str">
        <f>HYPERLINK("http://dx.doi.org/10.1155/2017/4839410","http://dx.doi.org/10.1155/2017/4839410")</f>
        <v>http://dx.doi.org/10.1155/2017/4839410</v>
      </c>
      <c r="BG798" t="s">
        <v>74</v>
      </c>
      <c r="BH798" t="s">
        <v>74</v>
      </c>
      <c r="BI798" t="s">
        <v>74</v>
      </c>
      <c r="BJ798" t="s">
        <v>74</v>
      </c>
      <c r="BK798" t="s">
        <v>74</v>
      </c>
      <c r="BL798" t="s">
        <v>74</v>
      </c>
      <c r="BM798" t="s">
        <v>74</v>
      </c>
      <c r="BN798" t="s">
        <v>74</v>
      </c>
      <c r="BO798" t="s">
        <v>74</v>
      </c>
      <c r="BP798" t="s">
        <v>74</v>
      </c>
      <c r="BQ798" t="s">
        <v>74</v>
      </c>
      <c r="BR798" t="s">
        <v>74</v>
      </c>
      <c r="BS798" t="s">
        <v>6960</v>
      </c>
      <c r="BT798" t="str">
        <f>HYPERLINK("https%3A%2F%2Fwww.webofscience.com%2Fwos%2Fwoscc%2Ffull-record%2FWOS:000413046700001","View Full Record in Web of Science")</f>
        <v>View Full Record in Web of Science</v>
      </c>
    </row>
    <row r="799" spans="1:72" x14ac:dyDescent="0.2">
      <c r="A799" t="s">
        <v>72</v>
      </c>
      <c r="B799" t="s">
        <v>6961</v>
      </c>
      <c r="C799" t="s">
        <v>74</v>
      </c>
      <c r="D799" t="s">
        <v>74</v>
      </c>
      <c r="E799" t="s">
        <v>74</v>
      </c>
      <c r="F799" t="s">
        <v>6962</v>
      </c>
      <c r="G799" t="s">
        <v>74</v>
      </c>
      <c r="H799" t="s">
        <v>74</v>
      </c>
      <c r="I799" t="s">
        <v>6963</v>
      </c>
      <c r="J799" t="s">
        <v>1293</v>
      </c>
      <c r="K799" t="s">
        <v>74</v>
      </c>
      <c r="L799" t="s">
        <v>74</v>
      </c>
      <c r="M799" t="s">
        <v>74</v>
      </c>
      <c r="N799" t="s">
        <v>74</v>
      </c>
      <c r="O799" t="s">
        <v>74</v>
      </c>
      <c r="P799" t="s">
        <v>74</v>
      </c>
      <c r="Q799" t="s">
        <v>74</v>
      </c>
      <c r="R799" t="s">
        <v>74</v>
      </c>
      <c r="S799" t="s">
        <v>74</v>
      </c>
      <c r="T799" t="s">
        <v>74</v>
      </c>
      <c r="U799" t="s">
        <v>74</v>
      </c>
      <c r="V799" t="s">
        <v>6964</v>
      </c>
      <c r="W799" t="s">
        <v>74</v>
      </c>
      <c r="X799" t="s">
        <v>74</v>
      </c>
      <c r="Y799" t="s">
        <v>74</v>
      </c>
      <c r="Z799" t="s">
        <v>74</v>
      </c>
      <c r="AA799" t="s">
        <v>74</v>
      </c>
      <c r="AB799" t="s">
        <v>74</v>
      </c>
      <c r="AC799" t="s">
        <v>74</v>
      </c>
      <c r="AD799" t="s">
        <v>74</v>
      </c>
      <c r="AE799" t="s">
        <v>74</v>
      </c>
      <c r="AF799" t="s">
        <v>74</v>
      </c>
      <c r="AG799" t="s">
        <v>74</v>
      </c>
      <c r="AH799" t="s">
        <v>74</v>
      </c>
      <c r="AI799" t="s">
        <v>74</v>
      </c>
      <c r="AJ799" t="s">
        <v>74</v>
      </c>
      <c r="AK799" t="s">
        <v>74</v>
      </c>
      <c r="AL799" t="s">
        <v>74</v>
      </c>
      <c r="AM799" t="s">
        <v>74</v>
      </c>
      <c r="AN799" t="s">
        <v>74</v>
      </c>
      <c r="AO799" t="s">
        <v>1297</v>
      </c>
      <c r="AP799" t="s">
        <v>1298</v>
      </c>
      <c r="AQ799" t="s">
        <v>74</v>
      </c>
      <c r="AR799" t="s">
        <v>74</v>
      </c>
      <c r="AS799" t="s">
        <v>74</v>
      </c>
      <c r="AT799" t="s">
        <v>74</v>
      </c>
      <c r="AU799">
        <v>2017</v>
      </c>
      <c r="AV799">
        <v>164</v>
      </c>
      <c r="AW799">
        <v>2</v>
      </c>
      <c r="AX799" t="s">
        <v>74</v>
      </c>
      <c r="AY799" t="s">
        <v>74</v>
      </c>
      <c r="AZ799" t="s">
        <v>74</v>
      </c>
      <c r="BA799" t="s">
        <v>74</v>
      </c>
      <c r="BB799" t="s">
        <v>6965</v>
      </c>
      <c r="BC799" t="s">
        <v>6966</v>
      </c>
      <c r="BD799" t="s">
        <v>74</v>
      </c>
      <c r="BE799" t="s">
        <v>6967</v>
      </c>
      <c r="BF799" t="str">
        <f>HYPERLINK("http://dx.doi.org/10.1149/2.1091702jes","http://dx.doi.org/10.1149/2.1091702jes")</f>
        <v>http://dx.doi.org/10.1149/2.1091702jes</v>
      </c>
      <c r="BG799" t="s">
        <v>74</v>
      </c>
      <c r="BH799" t="s">
        <v>74</v>
      </c>
      <c r="BI799" t="s">
        <v>74</v>
      </c>
      <c r="BJ799" t="s">
        <v>74</v>
      </c>
      <c r="BK799" t="s">
        <v>74</v>
      </c>
      <c r="BL799" t="s">
        <v>74</v>
      </c>
      <c r="BM799" t="s">
        <v>74</v>
      </c>
      <c r="BN799" t="s">
        <v>74</v>
      </c>
      <c r="BO799" t="s">
        <v>74</v>
      </c>
      <c r="BP799" t="s">
        <v>74</v>
      </c>
      <c r="BQ799" t="s">
        <v>74</v>
      </c>
      <c r="BR799" t="s">
        <v>74</v>
      </c>
      <c r="BS799" t="s">
        <v>6968</v>
      </c>
      <c r="BT799" t="str">
        <f>HYPERLINK("https%3A%2F%2Fwww.webofscience.com%2Fwos%2Fwoscc%2Ffull-record%2FWOS:000397850800133","View Full Record in Web of Science")</f>
        <v>View Full Record in Web of Science</v>
      </c>
    </row>
    <row r="800" spans="1:72" x14ac:dyDescent="0.2">
      <c r="A800" t="s">
        <v>72</v>
      </c>
      <c r="B800" t="s">
        <v>6969</v>
      </c>
      <c r="C800" t="s">
        <v>74</v>
      </c>
      <c r="D800" t="s">
        <v>74</v>
      </c>
      <c r="E800" t="s">
        <v>74</v>
      </c>
      <c r="F800" t="s">
        <v>6970</v>
      </c>
      <c r="G800" t="s">
        <v>74</v>
      </c>
      <c r="H800" t="s">
        <v>74</v>
      </c>
      <c r="I800" t="s">
        <v>6971</v>
      </c>
      <c r="J800" t="s">
        <v>6972</v>
      </c>
      <c r="K800" t="s">
        <v>74</v>
      </c>
      <c r="L800" t="s">
        <v>74</v>
      </c>
      <c r="M800" t="s">
        <v>74</v>
      </c>
      <c r="N800" t="s">
        <v>74</v>
      </c>
      <c r="O800" t="s">
        <v>74</v>
      </c>
      <c r="P800" t="s">
        <v>74</v>
      </c>
      <c r="Q800" t="s">
        <v>74</v>
      </c>
      <c r="R800" t="s">
        <v>74</v>
      </c>
      <c r="S800" t="s">
        <v>74</v>
      </c>
      <c r="T800" t="s">
        <v>74</v>
      </c>
      <c r="U800" t="s">
        <v>74</v>
      </c>
      <c r="V800" t="s">
        <v>6973</v>
      </c>
      <c r="W800" t="s">
        <v>74</v>
      </c>
      <c r="X800" t="s">
        <v>74</v>
      </c>
      <c r="Y800" t="s">
        <v>74</v>
      </c>
      <c r="Z800" t="s">
        <v>74</v>
      </c>
      <c r="AA800" t="s">
        <v>74</v>
      </c>
      <c r="AB800" t="s">
        <v>6974</v>
      </c>
      <c r="AC800" t="s">
        <v>74</v>
      </c>
      <c r="AD800" t="s">
        <v>74</v>
      </c>
      <c r="AE800" t="s">
        <v>74</v>
      </c>
      <c r="AF800" t="s">
        <v>74</v>
      </c>
      <c r="AG800" t="s">
        <v>74</v>
      </c>
      <c r="AH800" t="s">
        <v>74</v>
      </c>
      <c r="AI800" t="s">
        <v>74</v>
      </c>
      <c r="AJ800" t="s">
        <v>74</v>
      </c>
      <c r="AK800" t="s">
        <v>74</v>
      </c>
      <c r="AL800" t="s">
        <v>74</v>
      </c>
      <c r="AM800" t="s">
        <v>74</v>
      </c>
      <c r="AN800" t="s">
        <v>74</v>
      </c>
      <c r="AO800" t="s">
        <v>6975</v>
      </c>
      <c r="AP800" t="s">
        <v>6976</v>
      </c>
      <c r="AQ800" t="s">
        <v>74</v>
      </c>
      <c r="AR800" t="s">
        <v>74</v>
      </c>
      <c r="AS800" t="s">
        <v>74</v>
      </c>
      <c r="AT800" t="s">
        <v>1194</v>
      </c>
      <c r="AU800">
        <v>2017</v>
      </c>
      <c r="AV800">
        <v>643</v>
      </c>
      <c r="AW800">
        <v>1</v>
      </c>
      <c r="AX800" t="s">
        <v>74</v>
      </c>
      <c r="AY800" t="s">
        <v>74</v>
      </c>
      <c r="AZ800" t="s">
        <v>2280</v>
      </c>
      <c r="BA800" t="s">
        <v>74</v>
      </c>
      <c r="BB800">
        <v>53</v>
      </c>
      <c r="BC800">
        <v>59</v>
      </c>
      <c r="BD800" t="s">
        <v>74</v>
      </c>
      <c r="BE800" t="s">
        <v>6977</v>
      </c>
      <c r="BF800" t="str">
        <f>HYPERLINK("http://dx.doi.org/10.1002/zaac.201600319","http://dx.doi.org/10.1002/zaac.201600319")</f>
        <v>http://dx.doi.org/10.1002/zaac.201600319</v>
      </c>
      <c r="BG800" t="s">
        <v>74</v>
      </c>
      <c r="BH800" t="s">
        <v>74</v>
      </c>
      <c r="BI800" t="s">
        <v>74</v>
      </c>
      <c r="BJ800" t="s">
        <v>74</v>
      </c>
      <c r="BK800" t="s">
        <v>74</v>
      </c>
      <c r="BL800" t="s">
        <v>74</v>
      </c>
      <c r="BM800" t="s">
        <v>74</v>
      </c>
      <c r="BN800" t="s">
        <v>74</v>
      </c>
      <c r="BO800" t="s">
        <v>74</v>
      </c>
      <c r="BP800" t="s">
        <v>74</v>
      </c>
      <c r="BQ800" t="s">
        <v>74</v>
      </c>
      <c r="BR800" t="s">
        <v>74</v>
      </c>
      <c r="BS800" t="s">
        <v>6978</v>
      </c>
      <c r="BT800" t="str">
        <f>HYPERLINK("https%3A%2F%2Fwww.webofscience.com%2Fwos%2Fwoscc%2Ffull-record%2FWOS:000394225100008","View Full Record in Web of Science")</f>
        <v>View Full Record in Web of Science</v>
      </c>
    </row>
    <row r="801" spans="1:72" x14ac:dyDescent="0.2">
      <c r="A801" t="s">
        <v>72</v>
      </c>
      <c r="B801" t="s">
        <v>6979</v>
      </c>
      <c r="C801" t="s">
        <v>74</v>
      </c>
      <c r="D801" t="s">
        <v>74</v>
      </c>
      <c r="E801" t="s">
        <v>74</v>
      </c>
      <c r="F801" t="s">
        <v>6980</v>
      </c>
      <c r="G801" t="s">
        <v>74</v>
      </c>
      <c r="H801" t="s">
        <v>74</v>
      </c>
      <c r="I801" t="s">
        <v>6981</v>
      </c>
      <c r="J801" t="s">
        <v>598</v>
      </c>
      <c r="K801" t="s">
        <v>74</v>
      </c>
      <c r="L801" t="s">
        <v>74</v>
      </c>
      <c r="M801" t="s">
        <v>74</v>
      </c>
      <c r="N801" t="s">
        <v>74</v>
      </c>
      <c r="O801" t="s">
        <v>74</v>
      </c>
      <c r="P801" t="s">
        <v>74</v>
      </c>
      <c r="Q801" t="s">
        <v>74</v>
      </c>
      <c r="R801" t="s">
        <v>74</v>
      </c>
      <c r="S801" t="s">
        <v>74</v>
      </c>
      <c r="T801" t="s">
        <v>74</v>
      </c>
      <c r="U801" t="s">
        <v>74</v>
      </c>
      <c r="V801" t="s">
        <v>6982</v>
      </c>
      <c r="W801" t="s">
        <v>74</v>
      </c>
      <c r="X801" t="s">
        <v>74</v>
      </c>
      <c r="Y801" t="s">
        <v>74</v>
      </c>
      <c r="Z801" t="s">
        <v>74</v>
      </c>
      <c r="AA801" t="s">
        <v>6983</v>
      </c>
      <c r="AB801" t="s">
        <v>6984</v>
      </c>
      <c r="AC801" t="s">
        <v>74</v>
      </c>
      <c r="AD801" t="s">
        <v>74</v>
      </c>
      <c r="AE801" t="s">
        <v>74</v>
      </c>
      <c r="AF801" t="s">
        <v>74</v>
      </c>
      <c r="AG801" t="s">
        <v>74</v>
      </c>
      <c r="AH801" t="s">
        <v>74</v>
      </c>
      <c r="AI801" t="s">
        <v>74</v>
      </c>
      <c r="AJ801" t="s">
        <v>74</v>
      </c>
      <c r="AK801" t="s">
        <v>74</v>
      </c>
      <c r="AL801" t="s">
        <v>74</v>
      </c>
      <c r="AM801" t="s">
        <v>74</v>
      </c>
      <c r="AN801" t="s">
        <v>74</v>
      </c>
      <c r="AO801" t="s">
        <v>601</v>
      </c>
      <c r="AP801" t="s">
        <v>602</v>
      </c>
      <c r="AQ801" t="s">
        <v>74</v>
      </c>
      <c r="AR801" t="s">
        <v>74</v>
      </c>
      <c r="AS801" t="s">
        <v>74</v>
      </c>
      <c r="AT801" t="s">
        <v>6985</v>
      </c>
      <c r="AU801">
        <v>2016</v>
      </c>
      <c r="AV801">
        <v>9</v>
      </c>
      <c r="AW801">
        <v>23</v>
      </c>
      <c r="AX801" t="s">
        <v>74</v>
      </c>
      <c r="AY801" t="s">
        <v>74</v>
      </c>
      <c r="AZ801" t="s">
        <v>74</v>
      </c>
      <c r="BA801" t="s">
        <v>74</v>
      </c>
      <c r="BB801">
        <v>3317</v>
      </c>
      <c r="BC801">
        <v>3323</v>
      </c>
      <c r="BD801" t="s">
        <v>74</v>
      </c>
      <c r="BE801" t="s">
        <v>6986</v>
      </c>
      <c r="BF801" t="str">
        <f>HYPERLINK("http://dx.doi.org/10.1002/cssc.201601104","http://dx.doi.org/10.1002/cssc.201601104")</f>
        <v>http://dx.doi.org/10.1002/cssc.201601104</v>
      </c>
      <c r="BG801" t="s">
        <v>74</v>
      </c>
      <c r="BH801" t="s">
        <v>74</v>
      </c>
      <c r="BI801" t="s">
        <v>74</v>
      </c>
      <c r="BJ801" t="s">
        <v>74</v>
      </c>
      <c r="BK801" t="s">
        <v>74</v>
      </c>
      <c r="BL801" t="s">
        <v>74</v>
      </c>
      <c r="BM801" t="s">
        <v>74</v>
      </c>
      <c r="BN801">
        <v>27863048</v>
      </c>
      <c r="BO801" t="s">
        <v>74</v>
      </c>
      <c r="BP801" t="s">
        <v>74</v>
      </c>
      <c r="BQ801" t="s">
        <v>74</v>
      </c>
      <c r="BR801" t="s">
        <v>74</v>
      </c>
      <c r="BS801" t="s">
        <v>6987</v>
      </c>
      <c r="BT801" t="str">
        <f>HYPERLINK("https%3A%2F%2Fwww.webofscience.com%2Fwos%2Fwoscc%2Ffull-record%2FWOS:000394571400009","View Full Record in Web of Science")</f>
        <v>View Full Record in Web of Science</v>
      </c>
    </row>
    <row r="802" spans="1:72" x14ac:dyDescent="0.2">
      <c r="A802" t="s">
        <v>72</v>
      </c>
      <c r="B802" t="s">
        <v>6988</v>
      </c>
      <c r="C802" t="s">
        <v>74</v>
      </c>
      <c r="D802" t="s">
        <v>74</v>
      </c>
      <c r="E802" t="s">
        <v>74</v>
      </c>
      <c r="F802" t="s">
        <v>6989</v>
      </c>
      <c r="G802" t="s">
        <v>74</v>
      </c>
      <c r="H802" t="s">
        <v>74</v>
      </c>
      <c r="I802" t="s">
        <v>6990</v>
      </c>
      <c r="J802" t="s">
        <v>2969</v>
      </c>
      <c r="K802" t="s">
        <v>74</v>
      </c>
      <c r="L802" t="s">
        <v>74</v>
      </c>
      <c r="M802" t="s">
        <v>74</v>
      </c>
      <c r="N802" t="s">
        <v>74</v>
      </c>
      <c r="O802" t="s">
        <v>74</v>
      </c>
      <c r="P802" t="s">
        <v>74</v>
      </c>
      <c r="Q802" t="s">
        <v>74</v>
      </c>
      <c r="R802" t="s">
        <v>74</v>
      </c>
      <c r="S802" t="s">
        <v>74</v>
      </c>
      <c r="T802" t="s">
        <v>74</v>
      </c>
      <c r="U802" t="s">
        <v>74</v>
      </c>
      <c r="V802" t="s">
        <v>6991</v>
      </c>
      <c r="W802" t="s">
        <v>74</v>
      </c>
      <c r="X802" t="s">
        <v>74</v>
      </c>
      <c r="Y802" t="s">
        <v>74</v>
      </c>
      <c r="Z802" t="s">
        <v>74</v>
      </c>
      <c r="AA802" t="s">
        <v>6992</v>
      </c>
      <c r="AB802" t="s">
        <v>6993</v>
      </c>
      <c r="AC802" t="s">
        <v>74</v>
      </c>
      <c r="AD802" t="s">
        <v>74</v>
      </c>
      <c r="AE802" t="s">
        <v>74</v>
      </c>
      <c r="AF802" t="s">
        <v>74</v>
      </c>
      <c r="AG802" t="s">
        <v>74</v>
      </c>
      <c r="AH802" t="s">
        <v>74</v>
      </c>
      <c r="AI802" t="s">
        <v>74</v>
      </c>
      <c r="AJ802" t="s">
        <v>74</v>
      </c>
      <c r="AK802" t="s">
        <v>74</v>
      </c>
      <c r="AL802" t="s">
        <v>74</v>
      </c>
      <c r="AM802" t="s">
        <v>74</v>
      </c>
      <c r="AN802" t="s">
        <v>74</v>
      </c>
      <c r="AO802" t="s">
        <v>2972</v>
      </c>
      <c r="AP802" t="s">
        <v>2973</v>
      </c>
      <c r="AQ802" t="s">
        <v>74</v>
      </c>
      <c r="AR802" t="s">
        <v>74</v>
      </c>
      <c r="AS802" t="s">
        <v>74</v>
      </c>
      <c r="AT802" t="s">
        <v>1318</v>
      </c>
      <c r="AU802">
        <v>2016</v>
      </c>
      <c r="AV802">
        <v>20</v>
      </c>
      <c r="AW802">
        <v>12</v>
      </c>
      <c r="AX802" t="s">
        <v>74</v>
      </c>
      <c r="AY802" t="s">
        <v>74</v>
      </c>
      <c r="AZ802" t="s">
        <v>2280</v>
      </c>
      <c r="BA802" t="s">
        <v>74</v>
      </c>
      <c r="BB802">
        <v>3491</v>
      </c>
      <c r="BC802">
        <v>3498</v>
      </c>
      <c r="BD802" t="s">
        <v>74</v>
      </c>
      <c r="BE802" t="s">
        <v>6994</v>
      </c>
      <c r="BF802" t="str">
        <f>HYPERLINK("http://dx.doi.org/10.1007/s10008-016-3313-5","http://dx.doi.org/10.1007/s10008-016-3313-5")</f>
        <v>http://dx.doi.org/10.1007/s10008-016-3313-5</v>
      </c>
      <c r="BG802" t="s">
        <v>74</v>
      </c>
      <c r="BH802" t="s">
        <v>74</v>
      </c>
      <c r="BI802" t="s">
        <v>74</v>
      </c>
      <c r="BJ802" t="s">
        <v>74</v>
      </c>
      <c r="BK802" t="s">
        <v>74</v>
      </c>
      <c r="BL802" t="s">
        <v>74</v>
      </c>
      <c r="BM802" t="s">
        <v>74</v>
      </c>
      <c r="BN802" t="s">
        <v>74</v>
      </c>
      <c r="BO802" t="s">
        <v>74</v>
      </c>
      <c r="BP802" t="s">
        <v>74</v>
      </c>
      <c r="BQ802" t="s">
        <v>74</v>
      </c>
      <c r="BR802" t="s">
        <v>74</v>
      </c>
      <c r="BS802" t="s">
        <v>6995</v>
      </c>
      <c r="BT802" t="str">
        <f>HYPERLINK("https%3A%2F%2Fwww.webofscience.com%2Fwos%2Fwoscc%2Ffull-record%2FWOS:000388506300029","View Full Record in Web of Science")</f>
        <v>View Full Record in Web of Science</v>
      </c>
    </row>
    <row r="803" spans="1:72" x14ac:dyDescent="0.2">
      <c r="A803" t="s">
        <v>72</v>
      </c>
      <c r="B803" t="s">
        <v>6996</v>
      </c>
      <c r="C803" t="s">
        <v>74</v>
      </c>
      <c r="D803" t="s">
        <v>74</v>
      </c>
      <c r="E803" t="s">
        <v>74</v>
      </c>
      <c r="F803" t="s">
        <v>6997</v>
      </c>
      <c r="G803" t="s">
        <v>74</v>
      </c>
      <c r="H803" t="s">
        <v>74</v>
      </c>
      <c r="I803" t="s">
        <v>6998</v>
      </c>
      <c r="J803" t="s">
        <v>498</v>
      </c>
      <c r="K803" t="s">
        <v>74</v>
      </c>
      <c r="L803" t="s">
        <v>74</v>
      </c>
      <c r="M803" t="s">
        <v>74</v>
      </c>
      <c r="N803" t="s">
        <v>74</v>
      </c>
      <c r="O803" t="s">
        <v>74</v>
      </c>
      <c r="P803" t="s">
        <v>74</v>
      </c>
      <c r="Q803" t="s">
        <v>74</v>
      </c>
      <c r="R803" t="s">
        <v>74</v>
      </c>
      <c r="S803" t="s">
        <v>74</v>
      </c>
      <c r="T803" t="s">
        <v>74</v>
      </c>
      <c r="U803" t="s">
        <v>74</v>
      </c>
      <c r="V803" t="s">
        <v>6999</v>
      </c>
      <c r="W803" t="s">
        <v>74</v>
      </c>
      <c r="X803" t="s">
        <v>74</v>
      </c>
      <c r="Y803" t="s">
        <v>74</v>
      </c>
      <c r="Z803" t="s">
        <v>74</v>
      </c>
      <c r="AA803" t="s">
        <v>7000</v>
      </c>
      <c r="AB803" t="s">
        <v>7001</v>
      </c>
      <c r="AC803" t="s">
        <v>74</v>
      </c>
      <c r="AD803" t="s">
        <v>74</v>
      </c>
      <c r="AE803" t="s">
        <v>74</v>
      </c>
      <c r="AF803" t="s">
        <v>74</v>
      </c>
      <c r="AG803" t="s">
        <v>74</v>
      </c>
      <c r="AH803" t="s">
        <v>74</v>
      </c>
      <c r="AI803" t="s">
        <v>74</v>
      </c>
      <c r="AJ803" t="s">
        <v>74</v>
      </c>
      <c r="AK803" t="s">
        <v>74</v>
      </c>
      <c r="AL803" t="s">
        <v>74</v>
      </c>
      <c r="AM803" t="s">
        <v>74</v>
      </c>
      <c r="AN803" t="s">
        <v>74</v>
      </c>
      <c r="AO803" t="s">
        <v>502</v>
      </c>
      <c r="AP803" t="s">
        <v>74</v>
      </c>
      <c r="AQ803" t="s">
        <v>74</v>
      </c>
      <c r="AR803" t="s">
        <v>74</v>
      </c>
      <c r="AS803" t="s">
        <v>74</v>
      </c>
      <c r="AT803" t="s">
        <v>2571</v>
      </c>
      <c r="AU803">
        <v>2016</v>
      </c>
      <c r="AV803">
        <v>120</v>
      </c>
      <c r="AW803">
        <v>47</v>
      </c>
      <c r="AX803" t="s">
        <v>74</v>
      </c>
      <c r="AY803" t="s">
        <v>74</v>
      </c>
      <c r="AZ803" t="s">
        <v>74</v>
      </c>
      <c r="BA803" t="s">
        <v>74</v>
      </c>
      <c r="BB803">
        <v>26899</v>
      </c>
      <c r="BC803">
        <v>26907</v>
      </c>
      <c r="BD803" t="s">
        <v>74</v>
      </c>
      <c r="BE803" t="s">
        <v>7002</v>
      </c>
      <c r="BF803" t="str">
        <f>HYPERLINK("http://dx.doi.org/10.1021/acs.jpcc.6b09097","http://dx.doi.org/10.1021/acs.jpcc.6b09097")</f>
        <v>http://dx.doi.org/10.1021/acs.jpcc.6b09097</v>
      </c>
      <c r="BG803" t="s">
        <v>74</v>
      </c>
      <c r="BH803" t="s">
        <v>74</v>
      </c>
      <c r="BI803" t="s">
        <v>74</v>
      </c>
      <c r="BJ803" t="s">
        <v>74</v>
      </c>
      <c r="BK803" t="s">
        <v>74</v>
      </c>
      <c r="BL803" t="s">
        <v>74</v>
      </c>
      <c r="BM803" t="s">
        <v>74</v>
      </c>
      <c r="BN803" t="s">
        <v>74</v>
      </c>
      <c r="BO803" t="s">
        <v>74</v>
      </c>
      <c r="BP803" t="s">
        <v>74</v>
      </c>
      <c r="BQ803" t="s">
        <v>74</v>
      </c>
      <c r="BR803" t="s">
        <v>74</v>
      </c>
      <c r="BS803" t="s">
        <v>7003</v>
      </c>
      <c r="BT803" t="str">
        <f>HYPERLINK("https%3A%2F%2Fwww.webofscience.com%2Fwos%2Fwoscc%2Ffull-record%2FWOS:000389161300033","View Full Record in Web of Science")</f>
        <v>View Full Record in Web of Science</v>
      </c>
    </row>
    <row r="804" spans="1:72" x14ac:dyDescent="0.2">
      <c r="A804" t="s">
        <v>72</v>
      </c>
      <c r="B804" t="s">
        <v>7004</v>
      </c>
      <c r="C804" t="s">
        <v>74</v>
      </c>
      <c r="D804" t="s">
        <v>74</v>
      </c>
      <c r="E804" t="s">
        <v>74</v>
      </c>
      <c r="F804" t="s">
        <v>7005</v>
      </c>
      <c r="G804" t="s">
        <v>74</v>
      </c>
      <c r="H804" t="s">
        <v>74</v>
      </c>
      <c r="I804" t="s">
        <v>7006</v>
      </c>
      <c r="J804" t="s">
        <v>1728</v>
      </c>
      <c r="K804" t="s">
        <v>74</v>
      </c>
      <c r="L804" t="s">
        <v>74</v>
      </c>
      <c r="M804" t="s">
        <v>74</v>
      </c>
      <c r="N804" t="s">
        <v>74</v>
      </c>
      <c r="O804" t="s">
        <v>74</v>
      </c>
      <c r="P804" t="s">
        <v>74</v>
      </c>
      <c r="Q804" t="s">
        <v>74</v>
      </c>
      <c r="R804" t="s">
        <v>74</v>
      </c>
      <c r="S804" t="s">
        <v>74</v>
      </c>
      <c r="T804" t="s">
        <v>74</v>
      </c>
      <c r="U804" t="s">
        <v>74</v>
      </c>
      <c r="V804" t="s">
        <v>7007</v>
      </c>
      <c r="W804" t="s">
        <v>74</v>
      </c>
      <c r="X804" t="s">
        <v>74</v>
      </c>
      <c r="Y804" t="s">
        <v>74</v>
      </c>
      <c r="Z804" t="s">
        <v>74</v>
      </c>
      <c r="AA804" t="s">
        <v>7008</v>
      </c>
      <c r="AB804" t="s">
        <v>7009</v>
      </c>
      <c r="AC804" t="s">
        <v>74</v>
      </c>
      <c r="AD804" t="s">
        <v>74</v>
      </c>
      <c r="AE804" t="s">
        <v>74</v>
      </c>
      <c r="AF804" t="s">
        <v>74</v>
      </c>
      <c r="AG804" t="s">
        <v>74</v>
      </c>
      <c r="AH804" t="s">
        <v>74</v>
      </c>
      <c r="AI804" t="s">
        <v>74</v>
      </c>
      <c r="AJ804" t="s">
        <v>74</v>
      </c>
      <c r="AK804" t="s">
        <v>74</v>
      </c>
      <c r="AL804" t="s">
        <v>74</v>
      </c>
      <c r="AM804" t="s">
        <v>74</v>
      </c>
      <c r="AN804" t="s">
        <v>74</v>
      </c>
      <c r="AO804" t="s">
        <v>1731</v>
      </c>
      <c r="AP804" t="s">
        <v>1732</v>
      </c>
      <c r="AQ804" t="s">
        <v>74</v>
      </c>
      <c r="AR804" t="s">
        <v>74</v>
      </c>
      <c r="AS804" t="s">
        <v>74</v>
      </c>
      <c r="AT804" t="s">
        <v>92</v>
      </c>
      <c r="AU804">
        <v>2016</v>
      </c>
      <c r="AV804">
        <v>9</v>
      </c>
      <c r="AW804">
        <v>11</v>
      </c>
      <c r="AX804" t="s">
        <v>74</v>
      </c>
      <c r="AY804" t="s">
        <v>74</v>
      </c>
      <c r="AZ804" t="s">
        <v>74</v>
      </c>
      <c r="BA804" t="s">
        <v>74</v>
      </c>
      <c r="BB804">
        <v>3209</v>
      </c>
      <c r="BC804">
        <v>3221</v>
      </c>
      <c r="BD804" t="s">
        <v>74</v>
      </c>
      <c r="BE804" t="s">
        <v>7010</v>
      </c>
      <c r="BF804" t="str">
        <f>HYPERLINK("http://dx.doi.org/10.1007/s12274-016-1199-2","http://dx.doi.org/10.1007/s12274-016-1199-2")</f>
        <v>http://dx.doi.org/10.1007/s12274-016-1199-2</v>
      </c>
      <c r="BG804" t="s">
        <v>74</v>
      </c>
      <c r="BH804" t="s">
        <v>74</v>
      </c>
      <c r="BI804" t="s">
        <v>74</v>
      </c>
      <c r="BJ804" t="s">
        <v>74</v>
      </c>
      <c r="BK804" t="s">
        <v>74</v>
      </c>
      <c r="BL804" t="s">
        <v>74</v>
      </c>
      <c r="BM804" t="s">
        <v>74</v>
      </c>
      <c r="BN804" t="s">
        <v>74</v>
      </c>
      <c r="BO804" t="s">
        <v>74</v>
      </c>
      <c r="BP804" t="s">
        <v>74</v>
      </c>
      <c r="BQ804" t="s">
        <v>74</v>
      </c>
      <c r="BR804" t="s">
        <v>74</v>
      </c>
      <c r="BS804" t="s">
        <v>7011</v>
      </c>
      <c r="BT804" t="str">
        <f>HYPERLINK("https%3A%2F%2Fwww.webofscience.com%2Fwos%2Fwoscc%2Ffull-record%2FWOS:000386770300002","View Full Record in Web of Science")</f>
        <v>View Full Record in Web of Science</v>
      </c>
    </row>
    <row r="805" spans="1:72" x14ac:dyDescent="0.2">
      <c r="A805" t="s">
        <v>72</v>
      </c>
      <c r="B805" t="s">
        <v>7012</v>
      </c>
      <c r="C805" t="s">
        <v>74</v>
      </c>
      <c r="D805" t="s">
        <v>74</v>
      </c>
      <c r="E805" t="s">
        <v>74</v>
      </c>
      <c r="F805" t="s">
        <v>7013</v>
      </c>
      <c r="G805" t="s">
        <v>74</v>
      </c>
      <c r="H805" t="s">
        <v>74</v>
      </c>
      <c r="I805" t="s">
        <v>7014</v>
      </c>
      <c r="J805" t="s">
        <v>98</v>
      </c>
      <c r="K805" t="s">
        <v>74</v>
      </c>
      <c r="L805" t="s">
        <v>74</v>
      </c>
      <c r="M805" t="s">
        <v>74</v>
      </c>
      <c r="N805" t="s">
        <v>74</v>
      </c>
      <c r="O805" t="s">
        <v>74</v>
      </c>
      <c r="P805" t="s">
        <v>74</v>
      </c>
      <c r="Q805" t="s">
        <v>74</v>
      </c>
      <c r="R805" t="s">
        <v>74</v>
      </c>
      <c r="S805" t="s">
        <v>74</v>
      </c>
      <c r="T805" t="s">
        <v>74</v>
      </c>
      <c r="U805" t="s">
        <v>74</v>
      </c>
      <c r="V805" t="s">
        <v>7015</v>
      </c>
      <c r="W805" t="s">
        <v>74</v>
      </c>
      <c r="X805" t="s">
        <v>74</v>
      </c>
      <c r="Y805" t="s">
        <v>74</v>
      </c>
      <c r="Z805" t="s">
        <v>74</v>
      </c>
      <c r="AA805" t="s">
        <v>74</v>
      </c>
      <c r="AB805" t="s">
        <v>74</v>
      </c>
      <c r="AC805" t="s">
        <v>74</v>
      </c>
      <c r="AD805" t="s">
        <v>74</v>
      </c>
      <c r="AE805" t="s">
        <v>74</v>
      </c>
      <c r="AF805" t="s">
        <v>74</v>
      </c>
      <c r="AG805" t="s">
        <v>74</v>
      </c>
      <c r="AH805" t="s">
        <v>74</v>
      </c>
      <c r="AI805" t="s">
        <v>74</v>
      </c>
      <c r="AJ805" t="s">
        <v>74</v>
      </c>
      <c r="AK805" t="s">
        <v>74</v>
      </c>
      <c r="AL805" t="s">
        <v>74</v>
      </c>
      <c r="AM805" t="s">
        <v>74</v>
      </c>
      <c r="AN805" t="s">
        <v>74</v>
      </c>
      <c r="AO805" t="s">
        <v>101</v>
      </c>
      <c r="AP805" t="s">
        <v>102</v>
      </c>
      <c r="AQ805" t="s">
        <v>74</v>
      </c>
      <c r="AR805" t="s">
        <v>74</v>
      </c>
      <c r="AS805" t="s">
        <v>74</v>
      </c>
      <c r="AT805" t="s">
        <v>5785</v>
      </c>
      <c r="AU805">
        <v>2016</v>
      </c>
      <c r="AV805">
        <v>330</v>
      </c>
      <c r="AW805" t="s">
        <v>74</v>
      </c>
      <c r="AX805" t="s">
        <v>74</v>
      </c>
      <c r="AY805" t="s">
        <v>74</v>
      </c>
      <c r="AZ805" t="s">
        <v>74</v>
      </c>
      <c r="BA805" t="s">
        <v>74</v>
      </c>
      <c r="BB805">
        <v>175</v>
      </c>
      <c r="BC805">
        <v>185</v>
      </c>
      <c r="BD805" t="s">
        <v>74</v>
      </c>
      <c r="BE805" t="s">
        <v>7016</v>
      </c>
      <c r="BF805" t="str">
        <f>HYPERLINK("http://dx.doi.org/10.1016/j.jpowsour.2016.09.012","http://dx.doi.org/10.1016/j.jpowsour.2016.09.012")</f>
        <v>http://dx.doi.org/10.1016/j.jpowsour.2016.09.012</v>
      </c>
      <c r="BG805" t="s">
        <v>74</v>
      </c>
      <c r="BH805" t="s">
        <v>74</v>
      </c>
      <c r="BI805" t="s">
        <v>74</v>
      </c>
      <c r="BJ805" t="s">
        <v>74</v>
      </c>
      <c r="BK805" t="s">
        <v>74</v>
      </c>
      <c r="BL805" t="s">
        <v>74</v>
      </c>
      <c r="BM805" t="s">
        <v>74</v>
      </c>
      <c r="BN805" t="s">
        <v>74</v>
      </c>
      <c r="BO805" t="s">
        <v>74</v>
      </c>
      <c r="BP805" t="s">
        <v>74</v>
      </c>
      <c r="BQ805" t="s">
        <v>74</v>
      </c>
      <c r="BR805" t="s">
        <v>74</v>
      </c>
      <c r="BS805" t="s">
        <v>7017</v>
      </c>
      <c r="BT805" t="str">
        <f>HYPERLINK("https%3A%2F%2Fwww.webofscience.com%2Fwos%2Fwoscc%2Ffull-record%2FWOS:000385329400022","View Full Record in Web of Science")</f>
        <v>View Full Record in Web of Science</v>
      </c>
    </row>
    <row r="806" spans="1:72" x14ac:dyDescent="0.2">
      <c r="A806" t="s">
        <v>72</v>
      </c>
      <c r="B806" t="s">
        <v>7018</v>
      </c>
      <c r="C806" t="s">
        <v>74</v>
      </c>
      <c r="D806" t="s">
        <v>74</v>
      </c>
      <c r="E806" t="s">
        <v>74</v>
      </c>
      <c r="F806" t="s">
        <v>7019</v>
      </c>
      <c r="G806" t="s">
        <v>74</v>
      </c>
      <c r="H806" t="s">
        <v>74</v>
      </c>
      <c r="I806" t="s">
        <v>7020</v>
      </c>
      <c r="J806" t="s">
        <v>528</v>
      </c>
      <c r="K806" t="s">
        <v>74</v>
      </c>
      <c r="L806" t="s">
        <v>74</v>
      </c>
      <c r="M806" t="s">
        <v>74</v>
      </c>
      <c r="N806" t="s">
        <v>74</v>
      </c>
      <c r="O806" t="s">
        <v>74</v>
      </c>
      <c r="P806" t="s">
        <v>74</v>
      </c>
      <c r="Q806" t="s">
        <v>74</v>
      </c>
      <c r="R806" t="s">
        <v>74</v>
      </c>
      <c r="S806" t="s">
        <v>74</v>
      </c>
      <c r="T806" t="s">
        <v>74</v>
      </c>
      <c r="U806" t="s">
        <v>74</v>
      </c>
      <c r="V806" t="s">
        <v>7021</v>
      </c>
      <c r="W806" t="s">
        <v>74</v>
      </c>
      <c r="X806" t="s">
        <v>74</v>
      </c>
      <c r="Y806" t="s">
        <v>74</v>
      </c>
      <c r="Z806" t="s">
        <v>74</v>
      </c>
      <c r="AA806" t="s">
        <v>7022</v>
      </c>
      <c r="AB806" t="s">
        <v>7023</v>
      </c>
      <c r="AC806" t="s">
        <v>74</v>
      </c>
      <c r="AD806" t="s">
        <v>74</v>
      </c>
      <c r="AE806" t="s">
        <v>74</v>
      </c>
      <c r="AF806" t="s">
        <v>74</v>
      </c>
      <c r="AG806" t="s">
        <v>74</v>
      </c>
      <c r="AH806" t="s">
        <v>74</v>
      </c>
      <c r="AI806" t="s">
        <v>74</v>
      </c>
      <c r="AJ806" t="s">
        <v>74</v>
      </c>
      <c r="AK806" t="s">
        <v>74</v>
      </c>
      <c r="AL806" t="s">
        <v>74</v>
      </c>
      <c r="AM806" t="s">
        <v>74</v>
      </c>
      <c r="AN806" t="s">
        <v>74</v>
      </c>
      <c r="AO806" t="s">
        <v>532</v>
      </c>
      <c r="AP806" t="s">
        <v>74</v>
      </c>
      <c r="AQ806" t="s">
        <v>74</v>
      </c>
      <c r="AR806" t="s">
        <v>74</v>
      </c>
      <c r="AS806" t="s">
        <v>74</v>
      </c>
      <c r="AT806" t="s">
        <v>3549</v>
      </c>
      <c r="AU806">
        <v>2016</v>
      </c>
      <c r="AV806">
        <v>8</v>
      </c>
      <c r="AW806">
        <v>41</v>
      </c>
      <c r="AX806" t="s">
        <v>74</v>
      </c>
      <c r="AY806" t="s">
        <v>74</v>
      </c>
      <c r="AZ806" t="s">
        <v>74</v>
      </c>
      <c r="BA806" t="s">
        <v>74</v>
      </c>
      <c r="BB806">
        <v>27740</v>
      </c>
      <c r="BC806">
        <v>27752</v>
      </c>
      <c r="BD806" t="s">
        <v>74</v>
      </c>
      <c r="BE806" t="s">
        <v>7024</v>
      </c>
      <c r="BF806" t="str">
        <f>HYPERLINK("http://dx.doi.org/10.1021/acsami.6b09601","http://dx.doi.org/10.1021/acsami.6b09601")</f>
        <v>http://dx.doi.org/10.1021/acsami.6b09601</v>
      </c>
      <c r="BG806" t="s">
        <v>74</v>
      </c>
      <c r="BH806" t="s">
        <v>74</v>
      </c>
      <c r="BI806" t="s">
        <v>74</v>
      </c>
      <c r="BJ806" t="s">
        <v>74</v>
      </c>
      <c r="BK806" t="s">
        <v>74</v>
      </c>
      <c r="BL806" t="s">
        <v>74</v>
      </c>
      <c r="BM806" t="s">
        <v>74</v>
      </c>
      <c r="BN806">
        <v>27700024</v>
      </c>
      <c r="BO806" t="s">
        <v>74</v>
      </c>
      <c r="BP806" t="s">
        <v>74</v>
      </c>
      <c r="BQ806" t="s">
        <v>74</v>
      </c>
      <c r="BR806" t="s">
        <v>74</v>
      </c>
      <c r="BS806" t="s">
        <v>7025</v>
      </c>
      <c r="BT806" t="str">
        <f>HYPERLINK("https%3A%2F%2Fwww.webofscience.com%2Fwos%2Fwoscc%2Ffull-record%2FWOS:000385992400037","View Full Record in Web of Science")</f>
        <v>View Full Record in Web of Science</v>
      </c>
    </row>
    <row r="807" spans="1:72" x14ac:dyDescent="0.2">
      <c r="A807" t="s">
        <v>72</v>
      </c>
      <c r="B807" t="s">
        <v>7026</v>
      </c>
      <c r="C807" t="s">
        <v>74</v>
      </c>
      <c r="D807" t="s">
        <v>74</v>
      </c>
      <c r="E807" t="s">
        <v>74</v>
      </c>
      <c r="F807" t="s">
        <v>7027</v>
      </c>
      <c r="G807" t="s">
        <v>74</v>
      </c>
      <c r="H807" t="s">
        <v>74</v>
      </c>
      <c r="I807" t="s">
        <v>7028</v>
      </c>
      <c r="J807" t="s">
        <v>665</v>
      </c>
      <c r="K807" t="s">
        <v>74</v>
      </c>
      <c r="L807" t="s">
        <v>74</v>
      </c>
      <c r="M807" t="s">
        <v>74</v>
      </c>
      <c r="N807" t="s">
        <v>74</v>
      </c>
      <c r="O807" t="s">
        <v>74</v>
      </c>
      <c r="P807" t="s">
        <v>74</v>
      </c>
      <c r="Q807" t="s">
        <v>74</v>
      </c>
      <c r="R807" t="s">
        <v>74</v>
      </c>
      <c r="S807" t="s">
        <v>74</v>
      </c>
      <c r="T807" t="s">
        <v>74</v>
      </c>
      <c r="U807" t="s">
        <v>74</v>
      </c>
      <c r="V807" t="s">
        <v>7029</v>
      </c>
      <c r="W807" t="s">
        <v>74</v>
      </c>
      <c r="X807" t="s">
        <v>74</v>
      </c>
      <c r="Y807" t="s">
        <v>74</v>
      </c>
      <c r="Z807" t="s">
        <v>74</v>
      </c>
      <c r="AA807" t="s">
        <v>7030</v>
      </c>
      <c r="AB807" t="s">
        <v>7031</v>
      </c>
      <c r="AC807" t="s">
        <v>74</v>
      </c>
      <c r="AD807" t="s">
        <v>74</v>
      </c>
      <c r="AE807" t="s">
        <v>74</v>
      </c>
      <c r="AF807" t="s">
        <v>74</v>
      </c>
      <c r="AG807" t="s">
        <v>74</v>
      </c>
      <c r="AH807" t="s">
        <v>74</v>
      </c>
      <c r="AI807" t="s">
        <v>74</v>
      </c>
      <c r="AJ807" t="s">
        <v>74</v>
      </c>
      <c r="AK807" t="s">
        <v>74</v>
      </c>
      <c r="AL807" t="s">
        <v>74</v>
      </c>
      <c r="AM807" t="s">
        <v>74</v>
      </c>
      <c r="AN807" t="s">
        <v>74</v>
      </c>
      <c r="AO807" t="s">
        <v>668</v>
      </c>
      <c r="AP807" t="s">
        <v>669</v>
      </c>
      <c r="AQ807" t="s">
        <v>74</v>
      </c>
      <c r="AR807" t="s">
        <v>74</v>
      </c>
      <c r="AS807" t="s">
        <v>74</v>
      </c>
      <c r="AT807" t="s">
        <v>134</v>
      </c>
      <c r="AU807">
        <v>2016</v>
      </c>
      <c r="AV807">
        <v>293</v>
      </c>
      <c r="AW807" t="s">
        <v>74</v>
      </c>
      <c r="AX807" t="s">
        <v>74</v>
      </c>
      <c r="AY807" t="s">
        <v>74</v>
      </c>
      <c r="AZ807" t="s">
        <v>74</v>
      </c>
      <c r="BA807" t="s">
        <v>74</v>
      </c>
      <c r="BB807">
        <v>72</v>
      </c>
      <c r="BC807">
        <v>76</v>
      </c>
      <c r="BD807" t="s">
        <v>74</v>
      </c>
      <c r="BE807" t="s">
        <v>7032</v>
      </c>
      <c r="BF807" t="str">
        <f>HYPERLINK("http://dx.doi.org/10.1016/j.ssi.2016.06.010","http://dx.doi.org/10.1016/j.ssi.2016.06.010")</f>
        <v>http://dx.doi.org/10.1016/j.ssi.2016.06.010</v>
      </c>
      <c r="BG807" t="s">
        <v>74</v>
      </c>
      <c r="BH807" t="s">
        <v>74</v>
      </c>
      <c r="BI807" t="s">
        <v>74</v>
      </c>
      <c r="BJ807" t="s">
        <v>74</v>
      </c>
      <c r="BK807" t="s">
        <v>74</v>
      </c>
      <c r="BL807" t="s">
        <v>74</v>
      </c>
      <c r="BM807" t="s">
        <v>74</v>
      </c>
      <c r="BN807" t="s">
        <v>74</v>
      </c>
      <c r="BO807" t="s">
        <v>74</v>
      </c>
      <c r="BP807" t="s">
        <v>74</v>
      </c>
      <c r="BQ807" t="s">
        <v>74</v>
      </c>
      <c r="BR807" t="s">
        <v>74</v>
      </c>
      <c r="BS807" t="s">
        <v>7033</v>
      </c>
      <c r="BT807" t="str">
        <f>HYPERLINK("https%3A%2F%2Fwww.webofscience.com%2Fwos%2Fwoscc%2Ffull-record%2FWOS:000380602200011","View Full Record in Web of Science")</f>
        <v>View Full Record in Web of Science</v>
      </c>
    </row>
    <row r="808" spans="1:72" x14ac:dyDescent="0.2">
      <c r="A808" t="s">
        <v>72</v>
      </c>
      <c r="B808" t="s">
        <v>7034</v>
      </c>
      <c r="C808" t="s">
        <v>74</v>
      </c>
      <c r="D808" t="s">
        <v>74</v>
      </c>
      <c r="E808" t="s">
        <v>74</v>
      </c>
      <c r="F808" t="s">
        <v>7035</v>
      </c>
      <c r="G808" t="s">
        <v>74</v>
      </c>
      <c r="H808" t="s">
        <v>74</v>
      </c>
      <c r="I808" t="s">
        <v>7036</v>
      </c>
      <c r="J808" t="s">
        <v>1256</v>
      </c>
      <c r="K808" t="s">
        <v>74</v>
      </c>
      <c r="L808" t="s">
        <v>74</v>
      </c>
      <c r="M808" t="s">
        <v>74</v>
      </c>
      <c r="N808" t="s">
        <v>74</v>
      </c>
      <c r="O808" t="s">
        <v>74</v>
      </c>
      <c r="P808" t="s">
        <v>74</v>
      </c>
      <c r="Q808" t="s">
        <v>74</v>
      </c>
      <c r="R808" t="s">
        <v>74</v>
      </c>
      <c r="S808" t="s">
        <v>74</v>
      </c>
      <c r="T808" t="s">
        <v>74</v>
      </c>
      <c r="U808" t="s">
        <v>74</v>
      </c>
      <c r="V808" t="s">
        <v>7037</v>
      </c>
      <c r="W808" t="s">
        <v>74</v>
      </c>
      <c r="X808" t="s">
        <v>74</v>
      </c>
      <c r="Y808" t="s">
        <v>74</v>
      </c>
      <c r="Z808" t="s">
        <v>74</v>
      </c>
      <c r="AA808" t="s">
        <v>7038</v>
      </c>
      <c r="AB808" t="s">
        <v>7039</v>
      </c>
      <c r="AC808" t="s">
        <v>74</v>
      </c>
      <c r="AD808" t="s">
        <v>74</v>
      </c>
      <c r="AE808" t="s">
        <v>74</v>
      </c>
      <c r="AF808" t="s">
        <v>74</v>
      </c>
      <c r="AG808" t="s">
        <v>74</v>
      </c>
      <c r="AH808" t="s">
        <v>74</v>
      </c>
      <c r="AI808" t="s">
        <v>74</v>
      </c>
      <c r="AJ808" t="s">
        <v>74</v>
      </c>
      <c r="AK808" t="s">
        <v>74</v>
      </c>
      <c r="AL808" t="s">
        <v>74</v>
      </c>
      <c r="AM808" t="s">
        <v>74</v>
      </c>
      <c r="AN808" t="s">
        <v>74</v>
      </c>
      <c r="AO808" t="s">
        <v>1258</v>
      </c>
      <c r="AP808" t="s">
        <v>1259</v>
      </c>
      <c r="AQ808" t="s">
        <v>74</v>
      </c>
      <c r="AR808" t="s">
        <v>74</v>
      </c>
      <c r="AS808" t="s">
        <v>74</v>
      </c>
      <c r="AT808" t="s">
        <v>113</v>
      </c>
      <c r="AU808">
        <v>2016</v>
      </c>
      <c r="AV808">
        <v>215</v>
      </c>
      <c r="AW808" t="s">
        <v>74</v>
      </c>
      <c r="AX808" t="s">
        <v>74</v>
      </c>
      <c r="AY808" t="s">
        <v>74</v>
      </c>
      <c r="AZ808" t="s">
        <v>74</v>
      </c>
      <c r="BA808" t="s">
        <v>74</v>
      </c>
      <c r="BB808">
        <v>36</v>
      </c>
      <c r="BC808">
        <v>41</v>
      </c>
      <c r="BD808" t="s">
        <v>74</v>
      </c>
      <c r="BE808" t="s">
        <v>7040</v>
      </c>
      <c r="BF808" t="str">
        <f>HYPERLINK("http://dx.doi.org/10.1016/j.electacta.2016.08.084","http://dx.doi.org/10.1016/j.electacta.2016.08.084")</f>
        <v>http://dx.doi.org/10.1016/j.electacta.2016.08.084</v>
      </c>
      <c r="BG808" t="s">
        <v>74</v>
      </c>
      <c r="BH808" t="s">
        <v>74</v>
      </c>
      <c r="BI808" t="s">
        <v>74</v>
      </c>
      <c r="BJ808" t="s">
        <v>74</v>
      </c>
      <c r="BK808" t="s">
        <v>74</v>
      </c>
      <c r="BL808" t="s">
        <v>74</v>
      </c>
      <c r="BM808" t="s">
        <v>74</v>
      </c>
      <c r="BN808" t="s">
        <v>74</v>
      </c>
      <c r="BO808" t="s">
        <v>74</v>
      </c>
      <c r="BP808" t="s">
        <v>74</v>
      </c>
      <c r="BQ808" t="s">
        <v>74</v>
      </c>
      <c r="BR808" t="s">
        <v>74</v>
      </c>
      <c r="BS808" t="s">
        <v>7041</v>
      </c>
      <c r="BT808" t="str">
        <f>HYPERLINK("https%3A%2F%2Fwww.webofscience.com%2Fwos%2Fwoscc%2Ffull-record%2FWOS:000384008900005","View Full Record in Web of Science")</f>
        <v>View Full Record in Web of Science</v>
      </c>
    </row>
    <row r="809" spans="1:72" x14ac:dyDescent="0.2">
      <c r="A809" t="s">
        <v>72</v>
      </c>
      <c r="B809" t="s">
        <v>7042</v>
      </c>
      <c r="C809" t="s">
        <v>74</v>
      </c>
      <c r="D809" t="s">
        <v>74</v>
      </c>
      <c r="E809" t="s">
        <v>74</v>
      </c>
      <c r="F809" t="s">
        <v>7043</v>
      </c>
      <c r="G809" t="s">
        <v>74</v>
      </c>
      <c r="H809" t="s">
        <v>74</v>
      </c>
      <c r="I809" t="s">
        <v>7044</v>
      </c>
      <c r="J809" t="s">
        <v>98</v>
      </c>
      <c r="K809" t="s">
        <v>74</v>
      </c>
      <c r="L809" t="s">
        <v>74</v>
      </c>
      <c r="M809" t="s">
        <v>74</v>
      </c>
      <c r="N809" t="s">
        <v>74</v>
      </c>
      <c r="O809" t="s">
        <v>74</v>
      </c>
      <c r="P809" t="s">
        <v>74</v>
      </c>
      <c r="Q809" t="s">
        <v>74</v>
      </c>
      <c r="R809" t="s">
        <v>74</v>
      </c>
      <c r="S809" t="s">
        <v>74</v>
      </c>
      <c r="T809" t="s">
        <v>74</v>
      </c>
      <c r="U809" t="s">
        <v>74</v>
      </c>
      <c r="V809" t="s">
        <v>7045</v>
      </c>
      <c r="W809" t="s">
        <v>74</v>
      </c>
      <c r="X809" t="s">
        <v>74</v>
      </c>
      <c r="Y809" t="s">
        <v>74</v>
      </c>
      <c r="Z809" t="s">
        <v>74</v>
      </c>
      <c r="AA809" t="s">
        <v>7046</v>
      </c>
      <c r="AB809" t="s">
        <v>7047</v>
      </c>
      <c r="AC809" t="s">
        <v>74</v>
      </c>
      <c r="AD809" t="s">
        <v>74</v>
      </c>
      <c r="AE809" t="s">
        <v>74</v>
      </c>
      <c r="AF809" t="s">
        <v>74</v>
      </c>
      <c r="AG809" t="s">
        <v>74</v>
      </c>
      <c r="AH809" t="s">
        <v>74</v>
      </c>
      <c r="AI809" t="s">
        <v>74</v>
      </c>
      <c r="AJ809" t="s">
        <v>74</v>
      </c>
      <c r="AK809" t="s">
        <v>74</v>
      </c>
      <c r="AL809" t="s">
        <v>74</v>
      </c>
      <c r="AM809" t="s">
        <v>74</v>
      </c>
      <c r="AN809" t="s">
        <v>74</v>
      </c>
      <c r="AO809" t="s">
        <v>101</v>
      </c>
      <c r="AP809" t="s">
        <v>102</v>
      </c>
      <c r="AQ809" t="s">
        <v>74</v>
      </c>
      <c r="AR809" t="s">
        <v>74</v>
      </c>
      <c r="AS809" t="s">
        <v>74</v>
      </c>
      <c r="AT809" t="s">
        <v>134</v>
      </c>
      <c r="AU809">
        <v>2016</v>
      </c>
      <c r="AV809">
        <v>328</v>
      </c>
      <c r="AW809" t="s">
        <v>74</v>
      </c>
      <c r="AX809" t="s">
        <v>74</v>
      </c>
      <c r="AY809" t="s">
        <v>74</v>
      </c>
      <c r="AZ809" t="s">
        <v>74</v>
      </c>
      <c r="BA809" t="s">
        <v>74</v>
      </c>
      <c r="BB809">
        <v>433</v>
      </c>
      <c r="BC809">
        <v>442</v>
      </c>
      <c r="BD809" t="s">
        <v>74</v>
      </c>
      <c r="BE809" t="s">
        <v>7048</v>
      </c>
      <c r="BF809" t="str">
        <f>HYPERLINK("http://dx.doi.org/10.1016/j.jpowsour.2016.08.048","http://dx.doi.org/10.1016/j.jpowsour.2016.08.048")</f>
        <v>http://dx.doi.org/10.1016/j.jpowsour.2016.08.048</v>
      </c>
      <c r="BG809" t="s">
        <v>74</v>
      </c>
      <c r="BH809" t="s">
        <v>74</v>
      </c>
      <c r="BI809" t="s">
        <v>74</v>
      </c>
      <c r="BJ809" t="s">
        <v>74</v>
      </c>
      <c r="BK809" t="s">
        <v>74</v>
      </c>
      <c r="BL809" t="s">
        <v>74</v>
      </c>
      <c r="BM809" t="s">
        <v>74</v>
      </c>
      <c r="BN809" t="s">
        <v>74</v>
      </c>
      <c r="BO809" t="s">
        <v>74</v>
      </c>
      <c r="BP809" t="s">
        <v>74</v>
      </c>
      <c r="BQ809" t="s">
        <v>74</v>
      </c>
      <c r="BR809" t="s">
        <v>74</v>
      </c>
      <c r="BS809" t="s">
        <v>7049</v>
      </c>
      <c r="BT809" t="str">
        <f>HYPERLINK("https%3A%2F%2Fwww.webofscience.com%2Fwos%2Fwoscc%2Ffull-record%2FWOS:000383293400048","View Full Record in Web of Science")</f>
        <v>View Full Record in Web of Science</v>
      </c>
    </row>
    <row r="810" spans="1:72" x14ac:dyDescent="0.2">
      <c r="A810" t="s">
        <v>72</v>
      </c>
      <c r="B810" t="s">
        <v>7050</v>
      </c>
      <c r="C810" t="s">
        <v>74</v>
      </c>
      <c r="D810" t="s">
        <v>74</v>
      </c>
      <c r="E810" t="s">
        <v>74</v>
      </c>
      <c r="F810" t="s">
        <v>7051</v>
      </c>
      <c r="G810" t="s">
        <v>74</v>
      </c>
      <c r="H810" t="s">
        <v>74</v>
      </c>
      <c r="I810" t="s">
        <v>7052</v>
      </c>
      <c r="J810" t="s">
        <v>98</v>
      </c>
      <c r="K810" t="s">
        <v>74</v>
      </c>
      <c r="L810" t="s">
        <v>74</v>
      </c>
      <c r="M810" t="s">
        <v>74</v>
      </c>
      <c r="N810" t="s">
        <v>74</v>
      </c>
      <c r="O810" t="s">
        <v>74</v>
      </c>
      <c r="P810" t="s">
        <v>74</v>
      </c>
      <c r="Q810" t="s">
        <v>74</v>
      </c>
      <c r="R810" t="s">
        <v>74</v>
      </c>
      <c r="S810" t="s">
        <v>74</v>
      </c>
      <c r="T810" t="s">
        <v>74</v>
      </c>
      <c r="U810" t="s">
        <v>74</v>
      </c>
      <c r="V810" t="s">
        <v>7053</v>
      </c>
      <c r="W810" t="s">
        <v>74</v>
      </c>
      <c r="X810" t="s">
        <v>74</v>
      </c>
      <c r="Y810" t="s">
        <v>74</v>
      </c>
      <c r="Z810" t="s">
        <v>74</v>
      </c>
      <c r="AA810" t="s">
        <v>74</v>
      </c>
      <c r="AB810" t="s">
        <v>7054</v>
      </c>
      <c r="AC810" t="s">
        <v>74</v>
      </c>
      <c r="AD810" t="s">
        <v>74</v>
      </c>
      <c r="AE810" t="s">
        <v>74</v>
      </c>
      <c r="AF810" t="s">
        <v>74</v>
      </c>
      <c r="AG810" t="s">
        <v>74</v>
      </c>
      <c r="AH810" t="s">
        <v>74</v>
      </c>
      <c r="AI810" t="s">
        <v>74</v>
      </c>
      <c r="AJ810" t="s">
        <v>74</v>
      </c>
      <c r="AK810" t="s">
        <v>74</v>
      </c>
      <c r="AL810" t="s">
        <v>74</v>
      </c>
      <c r="AM810" t="s">
        <v>74</v>
      </c>
      <c r="AN810" t="s">
        <v>74</v>
      </c>
      <c r="AO810" t="s">
        <v>101</v>
      </c>
      <c r="AP810" t="s">
        <v>102</v>
      </c>
      <c r="AQ810" t="s">
        <v>74</v>
      </c>
      <c r="AR810" t="s">
        <v>74</v>
      </c>
      <c r="AS810" t="s">
        <v>74</v>
      </c>
      <c r="AT810" t="s">
        <v>134</v>
      </c>
      <c r="AU810">
        <v>2016</v>
      </c>
      <c r="AV810">
        <v>328</v>
      </c>
      <c r="AW810" t="s">
        <v>74</v>
      </c>
      <c r="AX810" t="s">
        <v>74</v>
      </c>
      <c r="AY810" t="s">
        <v>74</v>
      </c>
      <c r="AZ810" t="s">
        <v>74</v>
      </c>
      <c r="BA810" t="s">
        <v>74</v>
      </c>
      <c r="BB810">
        <v>311</v>
      </c>
      <c r="BC810">
        <v>317</v>
      </c>
      <c r="BD810" t="s">
        <v>74</v>
      </c>
      <c r="BE810" t="s">
        <v>7055</v>
      </c>
      <c r="BF810" t="str">
        <f>HYPERLINK("http://dx.doi.org/10.1016/j.jpowsour.2016.07.114","http://dx.doi.org/10.1016/j.jpowsour.2016.07.114")</f>
        <v>http://dx.doi.org/10.1016/j.jpowsour.2016.07.114</v>
      </c>
      <c r="BG810" t="s">
        <v>74</v>
      </c>
      <c r="BH810" t="s">
        <v>74</v>
      </c>
      <c r="BI810" t="s">
        <v>74</v>
      </c>
      <c r="BJ810" t="s">
        <v>74</v>
      </c>
      <c r="BK810" t="s">
        <v>74</v>
      </c>
      <c r="BL810" t="s">
        <v>74</v>
      </c>
      <c r="BM810" t="s">
        <v>74</v>
      </c>
      <c r="BN810" t="s">
        <v>74</v>
      </c>
      <c r="BO810" t="s">
        <v>74</v>
      </c>
      <c r="BP810" t="s">
        <v>74</v>
      </c>
      <c r="BQ810" t="s">
        <v>74</v>
      </c>
      <c r="BR810" t="s">
        <v>74</v>
      </c>
      <c r="BS810" t="s">
        <v>7056</v>
      </c>
      <c r="BT810" t="str">
        <f>HYPERLINK("https%3A%2F%2Fwww.webofscience.com%2Fwos%2Fwoscc%2Ffull-record%2FWOS:000383293400035","View Full Record in Web of Science")</f>
        <v>View Full Record in Web of Science</v>
      </c>
    </row>
    <row r="811" spans="1:72" x14ac:dyDescent="0.2">
      <c r="A811" t="s">
        <v>72</v>
      </c>
      <c r="B811" t="s">
        <v>7057</v>
      </c>
      <c r="C811" t="s">
        <v>74</v>
      </c>
      <c r="D811" t="s">
        <v>74</v>
      </c>
      <c r="E811" t="s">
        <v>74</v>
      </c>
      <c r="F811" t="s">
        <v>7058</v>
      </c>
      <c r="G811" t="s">
        <v>74</v>
      </c>
      <c r="H811" t="s">
        <v>74</v>
      </c>
      <c r="I811" t="s">
        <v>7059</v>
      </c>
      <c r="J811" t="s">
        <v>98</v>
      </c>
      <c r="K811" t="s">
        <v>74</v>
      </c>
      <c r="L811" t="s">
        <v>74</v>
      </c>
      <c r="M811" t="s">
        <v>74</v>
      </c>
      <c r="N811" t="s">
        <v>74</v>
      </c>
      <c r="O811" t="s">
        <v>74</v>
      </c>
      <c r="P811" t="s">
        <v>74</v>
      </c>
      <c r="Q811" t="s">
        <v>74</v>
      </c>
      <c r="R811" t="s">
        <v>74</v>
      </c>
      <c r="S811" t="s">
        <v>74</v>
      </c>
      <c r="T811" t="s">
        <v>74</v>
      </c>
      <c r="U811" t="s">
        <v>74</v>
      </c>
      <c r="V811" t="s">
        <v>7060</v>
      </c>
      <c r="W811" t="s">
        <v>74</v>
      </c>
      <c r="X811" t="s">
        <v>74</v>
      </c>
      <c r="Y811" t="s">
        <v>74</v>
      </c>
      <c r="Z811" t="s">
        <v>74</v>
      </c>
      <c r="AA811" t="s">
        <v>7061</v>
      </c>
      <c r="AB811" t="s">
        <v>6926</v>
      </c>
      <c r="AC811" t="s">
        <v>74</v>
      </c>
      <c r="AD811" t="s">
        <v>74</v>
      </c>
      <c r="AE811" t="s">
        <v>74</v>
      </c>
      <c r="AF811" t="s">
        <v>74</v>
      </c>
      <c r="AG811" t="s">
        <v>74</v>
      </c>
      <c r="AH811" t="s">
        <v>74</v>
      </c>
      <c r="AI811" t="s">
        <v>74</v>
      </c>
      <c r="AJ811" t="s">
        <v>74</v>
      </c>
      <c r="AK811" t="s">
        <v>74</v>
      </c>
      <c r="AL811" t="s">
        <v>74</v>
      </c>
      <c r="AM811" t="s">
        <v>74</v>
      </c>
      <c r="AN811" t="s">
        <v>74</v>
      </c>
      <c r="AO811" t="s">
        <v>101</v>
      </c>
      <c r="AP811" t="s">
        <v>102</v>
      </c>
      <c r="AQ811" t="s">
        <v>74</v>
      </c>
      <c r="AR811" t="s">
        <v>74</v>
      </c>
      <c r="AS811" t="s">
        <v>74</v>
      </c>
      <c r="AT811" t="s">
        <v>134</v>
      </c>
      <c r="AU811">
        <v>2016</v>
      </c>
      <c r="AV811">
        <v>328</v>
      </c>
      <c r="AW811" t="s">
        <v>74</v>
      </c>
      <c r="AX811" t="s">
        <v>74</v>
      </c>
      <c r="AY811" t="s">
        <v>74</v>
      </c>
      <c r="AZ811" t="s">
        <v>74</v>
      </c>
      <c r="BA811" t="s">
        <v>74</v>
      </c>
      <c r="BB811">
        <v>124</v>
      </c>
      <c r="BC811">
        <v>135</v>
      </c>
      <c r="BD811" t="s">
        <v>74</v>
      </c>
      <c r="BE811" t="s">
        <v>7062</v>
      </c>
      <c r="BF811" t="str">
        <f>HYPERLINK("http://dx.doi.org/10.1016/j.jpowsour.2016.08.015","http://dx.doi.org/10.1016/j.jpowsour.2016.08.015")</f>
        <v>http://dx.doi.org/10.1016/j.jpowsour.2016.08.015</v>
      </c>
      <c r="BG811" t="s">
        <v>74</v>
      </c>
      <c r="BH811" t="s">
        <v>74</v>
      </c>
      <c r="BI811" t="s">
        <v>74</v>
      </c>
      <c r="BJ811" t="s">
        <v>74</v>
      </c>
      <c r="BK811" t="s">
        <v>74</v>
      </c>
      <c r="BL811" t="s">
        <v>74</v>
      </c>
      <c r="BM811" t="s">
        <v>74</v>
      </c>
      <c r="BN811" t="s">
        <v>74</v>
      </c>
      <c r="BO811" t="s">
        <v>74</v>
      </c>
      <c r="BP811" t="s">
        <v>74</v>
      </c>
      <c r="BQ811" t="s">
        <v>74</v>
      </c>
      <c r="BR811" t="s">
        <v>74</v>
      </c>
      <c r="BS811" t="s">
        <v>7063</v>
      </c>
      <c r="BT811" t="str">
        <f>HYPERLINK("https%3A%2F%2Fwww.webofscience.com%2Fwos%2Fwoscc%2Ffull-record%2FWOS:000383293400014","View Full Record in Web of Science")</f>
        <v>View Full Record in Web of Science</v>
      </c>
    </row>
    <row r="812" spans="1:72" x14ac:dyDescent="0.2">
      <c r="A812" t="s">
        <v>72</v>
      </c>
      <c r="B812" t="s">
        <v>7064</v>
      </c>
      <c r="C812" t="s">
        <v>74</v>
      </c>
      <c r="D812" t="s">
        <v>74</v>
      </c>
      <c r="E812" t="s">
        <v>74</v>
      </c>
      <c r="F812" t="s">
        <v>7065</v>
      </c>
      <c r="G812" t="s">
        <v>74</v>
      </c>
      <c r="H812" t="s">
        <v>74</v>
      </c>
      <c r="I812" t="s">
        <v>7066</v>
      </c>
      <c r="J812" t="s">
        <v>528</v>
      </c>
      <c r="K812" t="s">
        <v>74</v>
      </c>
      <c r="L812" t="s">
        <v>74</v>
      </c>
      <c r="M812" t="s">
        <v>74</v>
      </c>
      <c r="N812" t="s">
        <v>74</v>
      </c>
      <c r="O812" t="s">
        <v>74</v>
      </c>
      <c r="P812" t="s">
        <v>74</v>
      </c>
      <c r="Q812" t="s">
        <v>74</v>
      </c>
      <c r="R812" t="s">
        <v>74</v>
      </c>
      <c r="S812" t="s">
        <v>74</v>
      </c>
      <c r="T812" t="s">
        <v>74</v>
      </c>
      <c r="U812" t="s">
        <v>74</v>
      </c>
      <c r="V812" t="s">
        <v>7067</v>
      </c>
      <c r="W812" t="s">
        <v>74</v>
      </c>
      <c r="X812" t="s">
        <v>74</v>
      </c>
      <c r="Y812" t="s">
        <v>74</v>
      </c>
      <c r="Z812" t="s">
        <v>74</v>
      </c>
      <c r="AA812" t="s">
        <v>7068</v>
      </c>
      <c r="AB812" t="s">
        <v>7069</v>
      </c>
      <c r="AC812" t="s">
        <v>74</v>
      </c>
      <c r="AD812" t="s">
        <v>74</v>
      </c>
      <c r="AE812" t="s">
        <v>74</v>
      </c>
      <c r="AF812" t="s">
        <v>74</v>
      </c>
      <c r="AG812" t="s">
        <v>74</v>
      </c>
      <c r="AH812" t="s">
        <v>74</v>
      </c>
      <c r="AI812" t="s">
        <v>74</v>
      </c>
      <c r="AJ812" t="s">
        <v>74</v>
      </c>
      <c r="AK812" t="s">
        <v>74</v>
      </c>
      <c r="AL812" t="s">
        <v>74</v>
      </c>
      <c r="AM812" t="s">
        <v>74</v>
      </c>
      <c r="AN812" t="s">
        <v>74</v>
      </c>
      <c r="AO812" t="s">
        <v>532</v>
      </c>
      <c r="AP812" t="s">
        <v>533</v>
      </c>
      <c r="AQ812" t="s">
        <v>74</v>
      </c>
      <c r="AR812" t="s">
        <v>74</v>
      </c>
      <c r="AS812" t="s">
        <v>74</v>
      </c>
      <c r="AT812" t="s">
        <v>5887</v>
      </c>
      <c r="AU812">
        <v>2016</v>
      </c>
      <c r="AV812">
        <v>8</v>
      </c>
      <c r="AW812">
        <v>36</v>
      </c>
      <c r="AX812" t="s">
        <v>74</v>
      </c>
      <c r="AY812" t="s">
        <v>74</v>
      </c>
      <c r="AZ812" t="s">
        <v>74</v>
      </c>
      <c r="BA812" t="s">
        <v>74</v>
      </c>
      <c r="BB812">
        <v>23635</v>
      </c>
      <c r="BC812">
        <v>23645</v>
      </c>
      <c r="BD812" t="s">
        <v>74</v>
      </c>
      <c r="BE812" t="s">
        <v>7070</v>
      </c>
      <c r="BF812" t="str">
        <f>HYPERLINK("http://dx.doi.org/10.1021/acsami.6b05403","http://dx.doi.org/10.1021/acsami.6b05403")</f>
        <v>http://dx.doi.org/10.1021/acsami.6b05403</v>
      </c>
      <c r="BG812" t="s">
        <v>74</v>
      </c>
      <c r="BH812" t="s">
        <v>74</v>
      </c>
      <c r="BI812" t="s">
        <v>74</v>
      </c>
      <c r="BJ812" t="s">
        <v>74</v>
      </c>
      <c r="BK812" t="s">
        <v>74</v>
      </c>
      <c r="BL812" t="s">
        <v>74</v>
      </c>
      <c r="BM812" t="s">
        <v>74</v>
      </c>
      <c r="BN812">
        <v>27549204</v>
      </c>
      <c r="BO812" t="s">
        <v>74</v>
      </c>
      <c r="BP812" t="s">
        <v>74</v>
      </c>
      <c r="BQ812" t="s">
        <v>74</v>
      </c>
      <c r="BR812" t="s">
        <v>74</v>
      </c>
      <c r="BS812" t="s">
        <v>7071</v>
      </c>
      <c r="BT812" t="str">
        <f>HYPERLINK("https%3A%2F%2Fwww.webofscience.com%2Fwos%2Fwoscc%2Ffull-record%2FWOS:000383412000022","View Full Record in Web of Science")</f>
        <v>View Full Record in Web of Science</v>
      </c>
    </row>
    <row r="813" spans="1:72" x14ac:dyDescent="0.2">
      <c r="A813" t="s">
        <v>72</v>
      </c>
      <c r="B813" t="s">
        <v>7072</v>
      </c>
      <c r="C813" t="s">
        <v>74</v>
      </c>
      <c r="D813" t="s">
        <v>74</v>
      </c>
      <c r="E813" t="s">
        <v>74</v>
      </c>
      <c r="F813" t="s">
        <v>7073</v>
      </c>
      <c r="G813" t="s">
        <v>74</v>
      </c>
      <c r="H813" t="s">
        <v>74</v>
      </c>
      <c r="I813" t="s">
        <v>7074</v>
      </c>
      <c r="J813" t="s">
        <v>665</v>
      </c>
      <c r="K813" t="s">
        <v>74</v>
      </c>
      <c r="L813" t="s">
        <v>74</v>
      </c>
      <c r="M813" t="s">
        <v>74</v>
      </c>
      <c r="N813" t="s">
        <v>74</v>
      </c>
      <c r="O813" t="s">
        <v>74</v>
      </c>
      <c r="P813" t="s">
        <v>74</v>
      </c>
      <c r="Q813" t="s">
        <v>74</v>
      </c>
      <c r="R813" t="s">
        <v>74</v>
      </c>
      <c r="S813" t="s">
        <v>74</v>
      </c>
      <c r="T813" t="s">
        <v>74</v>
      </c>
      <c r="U813" t="s">
        <v>74</v>
      </c>
      <c r="V813" t="s">
        <v>7075</v>
      </c>
      <c r="W813" t="s">
        <v>74</v>
      </c>
      <c r="X813" t="s">
        <v>74</v>
      </c>
      <c r="Y813" t="s">
        <v>74</v>
      </c>
      <c r="Z813" t="s">
        <v>74</v>
      </c>
      <c r="AA813" t="s">
        <v>7076</v>
      </c>
      <c r="AB813" t="s">
        <v>74</v>
      </c>
      <c r="AC813" t="s">
        <v>74</v>
      </c>
      <c r="AD813" t="s">
        <v>74</v>
      </c>
      <c r="AE813" t="s">
        <v>74</v>
      </c>
      <c r="AF813" t="s">
        <v>74</v>
      </c>
      <c r="AG813" t="s">
        <v>74</v>
      </c>
      <c r="AH813" t="s">
        <v>74</v>
      </c>
      <c r="AI813" t="s">
        <v>74</v>
      </c>
      <c r="AJ813" t="s">
        <v>74</v>
      </c>
      <c r="AK813" t="s">
        <v>74</v>
      </c>
      <c r="AL813" t="s">
        <v>74</v>
      </c>
      <c r="AM813" t="s">
        <v>74</v>
      </c>
      <c r="AN813" t="s">
        <v>74</v>
      </c>
      <c r="AO813" t="s">
        <v>668</v>
      </c>
      <c r="AP813" t="s">
        <v>669</v>
      </c>
      <c r="AQ813" t="s">
        <v>74</v>
      </c>
      <c r="AR813" t="s">
        <v>74</v>
      </c>
      <c r="AS813" t="s">
        <v>74</v>
      </c>
      <c r="AT813" t="s">
        <v>155</v>
      </c>
      <c r="AU813">
        <v>2016</v>
      </c>
      <c r="AV813">
        <v>292</v>
      </c>
      <c r="AW813" t="s">
        <v>74</v>
      </c>
      <c r="AX813" t="s">
        <v>74</v>
      </c>
      <c r="AY813" t="s">
        <v>74</v>
      </c>
      <c r="AZ813" t="s">
        <v>74</v>
      </c>
      <c r="BA813" t="s">
        <v>74</v>
      </c>
      <c r="BB813">
        <v>66</v>
      </c>
      <c r="BC813">
        <v>69</v>
      </c>
      <c r="BD813" t="s">
        <v>74</v>
      </c>
      <c r="BE813" t="s">
        <v>7077</v>
      </c>
      <c r="BF813" t="str">
        <f>HYPERLINK("http://dx.doi.org/10.1016/j.ssi.2016.05.013","http://dx.doi.org/10.1016/j.ssi.2016.05.013")</f>
        <v>http://dx.doi.org/10.1016/j.ssi.2016.05.013</v>
      </c>
      <c r="BG813" t="s">
        <v>74</v>
      </c>
      <c r="BH813" t="s">
        <v>74</v>
      </c>
      <c r="BI813" t="s">
        <v>74</v>
      </c>
      <c r="BJ813" t="s">
        <v>74</v>
      </c>
      <c r="BK813" t="s">
        <v>74</v>
      </c>
      <c r="BL813" t="s">
        <v>74</v>
      </c>
      <c r="BM813" t="s">
        <v>74</v>
      </c>
      <c r="BN813" t="s">
        <v>74</v>
      </c>
      <c r="BO813" t="s">
        <v>74</v>
      </c>
      <c r="BP813" t="s">
        <v>74</v>
      </c>
      <c r="BQ813" t="s">
        <v>74</v>
      </c>
      <c r="BR813" t="s">
        <v>74</v>
      </c>
      <c r="BS813" t="s">
        <v>7078</v>
      </c>
      <c r="BT813" t="str">
        <f>HYPERLINK("https%3A%2F%2Fwww.webofscience.com%2Fwos%2Fwoscc%2Ffull-record%2FWOS:000379633100011","View Full Record in Web of Science")</f>
        <v>View Full Record in Web of Science</v>
      </c>
    </row>
    <row r="814" spans="1:72" x14ac:dyDescent="0.2">
      <c r="A814" t="s">
        <v>72</v>
      </c>
      <c r="B814" t="s">
        <v>7079</v>
      </c>
      <c r="C814" t="s">
        <v>74</v>
      </c>
      <c r="D814" t="s">
        <v>74</v>
      </c>
      <c r="E814" t="s">
        <v>74</v>
      </c>
      <c r="F814" t="s">
        <v>7080</v>
      </c>
      <c r="G814" t="s">
        <v>74</v>
      </c>
      <c r="H814" t="s">
        <v>74</v>
      </c>
      <c r="I814" t="s">
        <v>7081</v>
      </c>
      <c r="J814" t="s">
        <v>98</v>
      </c>
      <c r="K814" t="s">
        <v>74</v>
      </c>
      <c r="L814" t="s">
        <v>74</v>
      </c>
      <c r="M814" t="s">
        <v>74</v>
      </c>
      <c r="N814" t="s">
        <v>74</v>
      </c>
      <c r="O814" t="s">
        <v>74</v>
      </c>
      <c r="P814" t="s">
        <v>74</v>
      </c>
      <c r="Q814" t="s">
        <v>74</v>
      </c>
      <c r="R814" t="s">
        <v>74</v>
      </c>
      <c r="S814" t="s">
        <v>74</v>
      </c>
      <c r="T814" t="s">
        <v>74</v>
      </c>
      <c r="U814" t="s">
        <v>74</v>
      </c>
      <c r="V814" t="s">
        <v>7082</v>
      </c>
      <c r="W814" t="s">
        <v>74</v>
      </c>
      <c r="X814" t="s">
        <v>74</v>
      </c>
      <c r="Y814" t="s">
        <v>74</v>
      </c>
      <c r="Z814" t="s">
        <v>74</v>
      </c>
      <c r="AA814" t="s">
        <v>7083</v>
      </c>
      <c r="AB814" t="s">
        <v>74</v>
      </c>
      <c r="AC814" t="s">
        <v>74</v>
      </c>
      <c r="AD814" t="s">
        <v>74</v>
      </c>
      <c r="AE814" t="s">
        <v>74</v>
      </c>
      <c r="AF814" t="s">
        <v>74</v>
      </c>
      <c r="AG814" t="s">
        <v>74</v>
      </c>
      <c r="AH814" t="s">
        <v>74</v>
      </c>
      <c r="AI814" t="s">
        <v>74</v>
      </c>
      <c r="AJ814" t="s">
        <v>74</v>
      </c>
      <c r="AK814" t="s">
        <v>74</v>
      </c>
      <c r="AL814" t="s">
        <v>74</v>
      </c>
      <c r="AM814" t="s">
        <v>74</v>
      </c>
      <c r="AN814" t="s">
        <v>74</v>
      </c>
      <c r="AO814" t="s">
        <v>101</v>
      </c>
      <c r="AP814" t="s">
        <v>102</v>
      </c>
      <c r="AQ814" t="s">
        <v>74</v>
      </c>
      <c r="AR814" t="s">
        <v>74</v>
      </c>
      <c r="AS814" t="s">
        <v>74</v>
      </c>
      <c r="AT814" t="s">
        <v>865</v>
      </c>
      <c r="AU814">
        <v>2016</v>
      </c>
      <c r="AV814">
        <v>324</v>
      </c>
      <c r="AW814" t="s">
        <v>74</v>
      </c>
      <c r="AX814" t="s">
        <v>74</v>
      </c>
      <c r="AY814" t="s">
        <v>74</v>
      </c>
      <c r="AZ814" t="s">
        <v>74</v>
      </c>
      <c r="BA814" t="s">
        <v>74</v>
      </c>
      <c r="BB814">
        <v>17</v>
      </c>
      <c r="BC814">
        <v>25</v>
      </c>
      <c r="BD814" t="s">
        <v>74</v>
      </c>
      <c r="BE814" t="s">
        <v>7084</v>
      </c>
      <c r="BF814" t="str">
        <f>HYPERLINK("http://dx.doi.org/10.1016/j.jpowsour.2016.05.074","http://dx.doi.org/10.1016/j.jpowsour.2016.05.074")</f>
        <v>http://dx.doi.org/10.1016/j.jpowsour.2016.05.074</v>
      </c>
      <c r="BG814" t="s">
        <v>74</v>
      </c>
      <c r="BH814" t="s">
        <v>74</v>
      </c>
      <c r="BI814" t="s">
        <v>74</v>
      </c>
      <c r="BJ814" t="s">
        <v>74</v>
      </c>
      <c r="BK814" t="s">
        <v>74</v>
      </c>
      <c r="BL814" t="s">
        <v>74</v>
      </c>
      <c r="BM814" t="s">
        <v>74</v>
      </c>
      <c r="BN814" t="s">
        <v>74</v>
      </c>
      <c r="BO814" t="s">
        <v>74</v>
      </c>
      <c r="BP814" t="s">
        <v>74</v>
      </c>
      <c r="BQ814" t="s">
        <v>74</v>
      </c>
      <c r="BR814" t="s">
        <v>74</v>
      </c>
      <c r="BS814" t="s">
        <v>7085</v>
      </c>
      <c r="BT814" t="str">
        <f>HYPERLINK("https%3A%2F%2Fwww.webofscience.com%2Fwos%2Fwoscc%2Ffull-record%2FWOS:000380076700003","View Full Record in Web of Science")</f>
        <v>View Full Record in Web of Science</v>
      </c>
    </row>
    <row r="815" spans="1:72" x14ac:dyDescent="0.2">
      <c r="A815" t="s">
        <v>72</v>
      </c>
      <c r="B815" t="s">
        <v>7086</v>
      </c>
      <c r="C815" t="s">
        <v>74</v>
      </c>
      <c r="D815" t="s">
        <v>74</v>
      </c>
      <c r="E815" t="s">
        <v>74</v>
      </c>
      <c r="F815" t="s">
        <v>7087</v>
      </c>
      <c r="G815" t="s">
        <v>74</v>
      </c>
      <c r="H815" t="s">
        <v>74</v>
      </c>
      <c r="I815" t="s">
        <v>7088</v>
      </c>
      <c r="J815" t="s">
        <v>754</v>
      </c>
      <c r="K815" t="s">
        <v>74</v>
      </c>
      <c r="L815" t="s">
        <v>74</v>
      </c>
      <c r="M815" t="s">
        <v>74</v>
      </c>
      <c r="N815" t="s">
        <v>74</v>
      </c>
      <c r="O815" t="s">
        <v>74</v>
      </c>
      <c r="P815" t="s">
        <v>74</v>
      </c>
      <c r="Q815" t="s">
        <v>74</v>
      </c>
      <c r="R815" t="s">
        <v>74</v>
      </c>
      <c r="S815" t="s">
        <v>74</v>
      </c>
      <c r="T815" t="s">
        <v>74</v>
      </c>
      <c r="U815" t="s">
        <v>74</v>
      </c>
      <c r="V815" t="s">
        <v>7089</v>
      </c>
      <c r="W815" t="s">
        <v>74</v>
      </c>
      <c r="X815" t="s">
        <v>74</v>
      </c>
      <c r="Y815" t="s">
        <v>74</v>
      </c>
      <c r="Z815" t="s">
        <v>74</v>
      </c>
      <c r="AA815" t="s">
        <v>7090</v>
      </c>
      <c r="AB815" t="s">
        <v>7091</v>
      </c>
      <c r="AC815" t="s">
        <v>74</v>
      </c>
      <c r="AD815" t="s">
        <v>74</v>
      </c>
      <c r="AE815" t="s">
        <v>74</v>
      </c>
      <c r="AF815" t="s">
        <v>74</v>
      </c>
      <c r="AG815" t="s">
        <v>74</v>
      </c>
      <c r="AH815" t="s">
        <v>74</v>
      </c>
      <c r="AI815" t="s">
        <v>74</v>
      </c>
      <c r="AJ815" t="s">
        <v>74</v>
      </c>
      <c r="AK815" t="s">
        <v>74</v>
      </c>
      <c r="AL815" t="s">
        <v>74</v>
      </c>
      <c r="AM815" t="s">
        <v>74</v>
      </c>
      <c r="AN815" t="s">
        <v>74</v>
      </c>
      <c r="AO815" t="s">
        <v>757</v>
      </c>
      <c r="AP815" t="s">
        <v>758</v>
      </c>
      <c r="AQ815" t="s">
        <v>74</v>
      </c>
      <c r="AR815" t="s">
        <v>74</v>
      </c>
      <c r="AS815" t="s">
        <v>74</v>
      </c>
      <c r="AT815" t="s">
        <v>165</v>
      </c>
      <c r="AU815">
        <v>2016</v>
      </c>
      <c r="AV815">
        <v>775</v>
      </c>
      <c r="AW815" t="s">
        <v>74</v>
      </c>
      <c r="AX815" t="s">
        <v>74</v>
      </c>
      <c r="AY815" t="s">
        <v>74</v>
      </c>
      <c r="AZ815" t="s">
        <v>74</v>
      </c>
      <c r="BA815" t="s">
        <v>74</v>
      </c>
      <c r="BB815">
        <v>292</v>
      </c>
      <c r="BC815">
        <v>298</v>
      </c>
      <c r="BD815" t="s">
        <v>74</v>
      </c>
      <c r="BE815" t="s">
        <v>7092</v>
      </c>
      <c r="BF815" t="str">
        <f>HYPERLINK("http://dx.doi.org/10.1016/j.jelechem.2016.06.023","http://dx.doi.org/10.1016/j.jelechem.2016.06.023")</f>
        <v>http://dx.doi.org/10.1016/j.jelechem.2016.06.023</v>
      </c>
      <c r="BG815" t="s">
        <v>74</v>
      </c>
      <c r="BH815" t="s">
        <v>74</v>
      </c>
      <c r="BI815" t="s">
        <v>74</v>
      </c>
      <c r="BJ815" t="s">
        <v>74</v>
      </c>
      <c r="BK815" t="s">
        <v>74</v>
      </c>
      <c r="BL815" t="s">
        <v>74</v>
      </c>
      <c r="BM815" t="s">
        <v>74</v>
      </c>
      <c r="BN815" t="s">
        <v>74</v>
      </c>
      <c r="BO815" t="s">
        <v>74</v>
      </c>
      <c r="BP815" t="s">
        <v>74</v>
      </c>
      <c r="BQ815" t="s">
        <v>74</v>
      </c>
      <c r="BR815" t="s">
        <v>74</v>
      </c>
      <c r="BS815" t="s">
        <v>7093</v>
      </c>
      <c r="BT815" t="str">
        <f>HYPERLINK("https%3A%2F%2Fwww.webofscience.com%2Fwos%2Fwoscc%2Ffull-record%2FWOS:000381323100038","View Full Record in Web of Science")</f>
        <v>View Full Record in Web of Science</v>
      </c>
    </row>
    <row r="816" spans="1:72" x14ac:dyDescent="0.2">
      <c r="A816" t="s">
        <v>72</v>
      </c>
      <c r="B816" t="s">
        <v>7094</v>
      </c>
      <c r="C816" t="s">
        <v>74</v>
      </c>
      <c r="D816" t="s">
        <v>74</v>
      </c>
      <c r="E816" t="s">
        <v>74</v>
      </c>
      <c r="F816" t="s">
        <v>7095</v>
      </c>
      <c r="G816" t="s">
        <v>74</v>
      </c>
      <c r="H816" t="s">
        <v>74</v>
      </c>
      <c r="I816" t="s">
        <v>7096</v>
      </c>
      <c r="J816" t="s">
        <v>411</v>
      </c>
      <c r="K816" t="s">
        <v>74</v>
      </c>
      <c r="L816" t="s">
        <v>74</v>
      </c>
      <c r="M816" t="s">
        <v>74</v>
      </c>
      <c r="N816" t="s">
        <v>74</v>
      </c>
      <c r="O816" t="s">
        <v>74</v>
      </c>
      <c r="P816" t="s">
        <v>74</v>
      </c>
      <c r="Q816" t="s">
        <v>74</v>
      </c>
      <c r="R816" t="s">
        <v>74</v>
      </c>
      <c r="S816" t="s">
        <v>74</v>
      </c>
      <c r="T816" t="s">
        <v>74</v>
      </c>
      <c r="U816" t="s">
        <v>74</v>
      </c>
      <c r="V816" t="s">
        <v>7097</v>
      </c>
      <c r="W816" t="s">
        <v>74</v>
      </c>
      <c r="X816" t="s">
        <v>74</v>
      </c>
      <c r="Y816" t="s">
        <v>74</v>
      </c>
      <c r="Z816" t="s">
        <v>74</v>
      </c>
      <c r="AA816" t="s">
        <v>7098</v>
      </c>
      <c r="AB816" t="s">
        <v>7099</v>
      </c>
      <c r="AC816" t="s">
        <v>74</v>
      </c>
      <c r="AD816" t="s">
        <v>74</v>
      </c>
      <c r="AE816" t="s">
        <v>74</v>
      </c>
      <c r="AF816" t="s">
        <v>74</v>
      </c>
      <c r="AG816" t="s">
        <v>74</v>
      </c>
      <c r="AH816" t="s">
        <v>74</v>
      </c>
      <c r="AI816" t="s">
        <v>74</v>
      </c>
      <c r="AJ816" t="s">
        <v>74</v>
      </c>
      <c r="AK816" t="s">
        <v>74</v>
      </c>
      <c r="AL816" t="s">
        <v>74</v>
      </c>
      <c r="AM816" t="s">
        <v>74</v>
      </c>
      <c r="AN816" t="s">
        <v>74</v>
      </c>
      <c r="AO816" t="s">
        <v>414</v>
      </c>
      <c r="AP816" t="s">
        <v>415</v>
      </c>
      <c r="AQ816" t="s">
        <v>74</v>
      </c>
      <c r="AR816" t="s">
        <v>74</v>
      </c>
      <c r="AS816" t="s">
        <v>74</v>
      </c>
      <c r="AT816" t="s">
        <v>7100</v>
      </c>
      <c r="AU816">
        <v>2016</v>
      </c>
      <c r="AV816">
        <v>12</v>
      </c>
      <c r="AW816">
        <v>26</v>
      </c>
      <c r="AX816" t="s">
        <v>74</v>
      </c>
      <c r="AY816" t="s">
        <v>74</v>
      </c>
      <c r="AZ816" t="s">
        <v>74</v>
      </c>
      <c r="BA816" t="s">
        <v>74</v>
      </c>
      <c r="BB816">
        <v>3535</v>
      </c>
      <c r="BC816">
        <v>3542</v>
      </c>
      <c r="BD816" t="s">
        <v>74</v>
      </c>
      <c r="BE816" t="s">
        <v>7101</v>
      </c>
      <c r="BF816" t="str">
        <f>HYPERLINK("http://dx.doi.org/10.1002/smll.201600358","http://dx.doi.org/10.1002/smll.201600358")</f>
        <v>http://dx.doi.org/10.1002/smll.201600358</v>
      </c>
      <c r="BG816" t="s">
        <v>74</v>
      </c>
      <c r="BH816" t="s">
        <v>74</v>
      </c>
      <c r="BI816" t="s">
        <v>74</v>
      </c>
      <c r="BJ816" t="s">
        <v>74</v>
      </c>
      <c r="BK816" t="s">
        <v>74</v>
      </c>
      <c r="BL816" t="s">
        <v>74</v>
      </c>
      <c r="BM816" t="s">
        <v>74</v>
      </c>
      <c r="BN816">
        <v>27225944</v>
      </c>
      <c r="BO816" t="s">
        <v>74</v>
      </c>
      <c r="BP816" t="s">
        <v>74</v>
      </c>
      <c r="BQ816" t="s">
        <v>74</v>
      </c>
      <c r="BR816" t="s">
        <v>74</v>
      </c>
      <c r="BS816" t="s">
        <v>7102</v>
      </c>
      <c r="BT816" t="str">
        <f>HYPERLINK("https%3A%2F%2Fwww.webofscience.com%2Fwos%2Fwoscc%2Ffull-record%2FWOS:000383374600007","View Full Record in Web of Science")</f>
        <v>View Full Record in Web of Science</v>
      </c>
    </row>
    <row r="817" spans="1:72" x14ac:dyDescent="0.2">
      <c r="A817" t="s">
        <v>72</v>
      </c>
      <c r="B817" t="s">
        <v>7103</v>
      </c>
      <c r="C817" t="s">
        <v>74</v>
      </c>
      <c r="D817" t="s">
        <v>74</v>
      </c>
      <c r="E817" t="s">
        <v>74</v>
      </c>
      <c r="F817" t="s">
        <v>7104</v>
      </c>
      <c r="G817" t="s">
        <v>74</v>
      </c>
      <c r="H817" t="s">
        <v>74</v>
      </c>
      <c r="I817" t="s">
        <v>7105</v>
      </c>
      <c r="J817" t="s">
        <v>1040</v>
      </c>
      <c r="K817" t="s">
        <v>74</v>
      </c>
      <c r="L817" t="s">
        <v>74</v>
      </c>
      <c r="M817" t="s">
        <v>74</v>
      </c>
      <c r="N817" t="s">
        <v>74</v>
      </c>
      <c r="O817" t="s">
        <v>74</v>
      </c>
      <c r="P817" t="s">
        <v>74</v>
      </c>
      <c r="Q817" t="s">
        <v>74</v>
      </c>
      <c r="R817" t="s">
        <v>74</v>
      </c>
      <c r="S817" t="s">
        <v>74</v>
      </c>
      <c r="T817" t="s">
        <v>74</v>
      </c>
      <c r="U817" t="s">
        <v>74</v>
      </c>
      <c r="V817" t="s">
        <v>7106</v>
      </c>
      <c r="W817" t="s">
        <v>74</v>
      </c>
      <c r="X817" t="s">
        <v>74</v>
      </c>
      <c r="Y817" t="s">
        <v>74</v>
      </c>
      <c r="Z817" t="s">
        <v>74</v>
      </c>
      <c r="AA817" t="s">
        <v>7107</v>
      </c>
      <c r="AB817" t="s">
        <v>7108</v>
      </c>
      <c r="AC817" t="s">
        <v>74</v>
      </c>
      <c r="AD817" t="s">
        <v>74</v>
      </c>
      <c r="AE817" t="s">
        <v>74</v>
      </c>
      <c r="AF817" t="s">
        <v>74</v>
      </c>
      <c r="AG817" t="s">
        <v>74</v>
      </c>
      <c r="AH817" t="s">
        <v>74</v>
      </c>
      <c r="AI817" t="s">
        <v>74</v>
      </c>
      <c r="AJ817" t="s">
        <v>74</v>
      </c>
      <c r="AK817" t="s">
        <v>74</v>
      </c>
      <c r="AL817" t="s">
        <v>74</v>
      </c>
      <c r="AM817" t="s">
        <v>74</v>
      </c>
      <c r="AN817" t="s">
        <v>74</v>
      </c>
      <c r="AO817" t="s">
        <v>1043</v>
      </c>
      <c r="AP817" t="s">
        <v>1044</v>
      </c>
      <c r="AQ817" t="s">
        <v>74</v>
      </c>
      <c r="AR817" t="s">
        <v>74</v>
      </c>
      <c r="AS817" t="s">
        <v>74</v>
      </c>
      <c r="AT817" t="s">
        <v>7109</v>
      </c>
      <c r="AU817">
        <v>2016</v>
      </c>
      <c r="AV817">
        <v>18</v>
      </c>
      <c r="AW817">
        <v>24</v>
      </c>
      <c r="AX817" t="s">
        <v>74</v>
      </c>
      <c r="AY817" t="s">
        <v>74</v>
      </c>
      <c r="AZ817" t="s">
        <v>74</v>
      </c>
      <c r="BA817" t="s">
        <v>74</v>
      </c>
      <c r="BB817">
        <v>16274</v>
      </c>
      <c r="BC817">
        <v>16280</v>
      </c>
      <c r="BD817" t="s">
        <v>74</v>
      </c>
      <c r="BE817" t="s">
        <v>7110</v>
      </c>
      <c r="BF817" t="str">
        <f>HYPERLINK("http://dx.doi.org/10.1039/c6cp02409b","http://dx.doi.org/10.1039/c6cp02409b")</f>
        <v>http://dx.doi.org/10.1039/c6cp02409b</v>
      </c>
      <c r="BG817" t="s">
        <v>74</v>
      </c>
      <c r="BH817" t="s">
        <v>74</v>
      </c>
      <c r="BI817" t="s">
        <v>74</v>
      </c>
      <c r="BJ817" t="s">
        <v>74</v>
      </c>
      <c r="BK817" t="s">
        <v>74</v>
      </c>
      <c r="BL817" t="s">
        <v>74</v>
      </c>
      <c r="BM817" t="s">
        <v>74</v>
      </c>
      <c r="BN817">
        <v>27253752</v>
      </c>
      <c r="BO817" t="s">
        <v>74</v>
      </c>
      <c r="BP817" t="s">
        <v>74</v>
      </c>
      <c r="BQ817" t="s">
        <v>74</v>
      </c>
      <c r="BR817" t="s">
        <v>74</v>
      </c>
      <c r="BS817" t="s">
        <v>7111</v>
      </c>
      <c r="BT817" t="str">
        <f>HYPERLINK("https%3A%2F%2Fwww.webofscience.com%2Fwos%2Fwoscc%2Ffull-record%2FWOS:000381056500026","View Full Record in Web of Science")</f>
        <v>View Full Record in Web of Science</v>
      </c>
    </row>
    <row r="818" spans="1:72" x14ac:dyDescent="0.2">
      <c r="A818" t="s">
        <v>72</v>
      </c>
      <c r="B818" t="s">
        <v>7112</v>
      </c>
      <c r="C818" t="s">
        <v>74</v>
      </c>
      <c r="D818" t="s">
        <v>74</v>
      </c>
      <c r="E818" t="s">
        <v>74</v>
      </c>
      <c r="F818" t="s">
        <v>7113</v>
      </c>
      <c r="G818" t="s">
        <v>74</v>
      </c>
      <c r="H818" t="s">
        <v>74</v>
      </c>
      <c r="I818" t="s">
        <v>7114</v>
      </c>
      <c r="J818" t="s">
        <v>352</v>
      </c>
      <c r="K818" t="s">
        <v>74</v>
      </c>
      <c r="L818" t="s">
        <v>74</v>
      </c>
      <c r="M818" t="s">
        <v>74</v>
      </c>
      <c r="N818" t="s">
        <v>74</v>
      </c>
      <c r="O818" t="s">
        <v>74</v>
      </c>
      <c r="P818" t="s">
        <v>74</v>
      </c>
      <c r="Q818" t="s">
        <v>74</v>
      </c>
      <c r="R818" t="s">
        <v>74</v>
      </c>
      <c r="S818" t="s">
        <v>74</v>
      </c>
      <c r="T818" t="s">
        <v>74</v>
      </c>
      <c r="U818" t="s">
        <v>74</v>
      </c>
      <c r="V818" t="s">
        <v>7115</v>
      </c>
      <c r="W818" t="s">
        <v>74</v>
      </c>
      <c r="X818" t="s">
        <v>74</v>
      </c>
      <c r="Y818" t="s">
        <v>74</v>
      </c>
      <c r="Z818" t="s">
        <v>74</v>
      </c>
      <c r="AA818" t="s">
        <v>7116</v>
      </c>
      <c r="AB818" t="s">
        <v>7117</v>
      </c>
      <c r="AC818" t="s">
        <v>74</v>
      </c>
      <c r="AD818" t="s">
        <v>74</v>
      </c>
      <c r="AE818" t="s">
        <v>74</v>
      </c>
      <c r="AF818" t="s">
        <v>74</v>
      </c>
      <c r="AG818" t="s">
        <v>74</v>
      </c>
      <c r="AH818" t="s">
        <v>74</v>
      </c>
      <c r="AI818" t="s">
        <v>74</v>
      </c>
      <c r="AJ818" t="s">
        <v>74</v>
      </c>
      <c r="AK818" t="s">
        <v>74</v>
      </c>
      <c r="AL818" t="s">
        <v>74</v>
      </c>
      <c r="AM818" t="s">
        <v>74</v>
      </c>
      <c r="AN818" t="s">
        <v>74</v>
      </c>
      <c r="AO818" t="s">
        <v>354</v>
      </c>
      <c r="AP818" t="s">
        <v>355</v>
      </c>
      <c r="AQ818" t="s">
        <v>74</v>
      </c>
      <c r="AR818" t="s">
        <v>74</v>
      </c>
      <c r="AS818" t="s">
        <v>74</v>
      </c>
      <c r="AT818" t="s">
        <v>7118</v>
      </c>
      <c r="AU818">
        <v>2016</v>
      </c>
      <c r="AV818">
        <v>6</v>
      </c>
      <c r="AW818">
        <v>12</v>
      </c>
      <c r="AX818" t="s">
        <v>74</v>
      </c>
      <c r="AY818" t="s">
        <v>74</v>
      </c>
      <c r="AZ818" t="s">
        <v>74</v>
      </c>
      <c r="BA818" t="s">
        <v>74</v>
      </c>
      <c r="BB818" t="s">
        <v>74</v>
      </c>
      <c r="BC818" t="s">
        <v>74</v>
      </c>
      <c r="BD818">
        <v>1600218</v>
      </c>
      <c r="BE818" t="s">
        <v>7119</v>
      </c>
      <c r="BF818" t="str">
        <f>HYPERLINK("http://dx.doi.org/10.1002/aenm.201600218","http://dx.doi.org/10.1002/aenm.201600218")</f>
        <v>http://dx.doi.org/10.1002/aenm.201600218</v>
      </c>
      <c r="BG818" t="s">
        <v>74</v>
      </c>
      <c r="BH818" t="s">
        <v>74</v>
      </c>
      <c r="BI818" t="s">
        <v>74</v>
      </c>
      <c r="BJ818" t="s">
        <v>74</v>
      </c>
      <c r="BK818" t="s">
        <v>74</v>
      </c>
      <c r="BL818" t="s">
        <v>74</v>
      </c>
      <c r="BM818" t="s">
        <v>74</v>
      </c>
      <c r="BN818" t="s">
        <v>74</v>
      </c>
      <c r="BO818" t="s">
        <v>74</v>
      </c>
      <c r="BP818" t="s">
        <v>74</v>
      </c>
      <c r="BQ818" t="s">
        <v>74</v>
      </c>
      <c r="BR818" t="s">
        <v>74</v>
      </c>
      <c r="BS818" t="s">
        <v>7120</v>
      </c>
      <c r="BT818" t="str">
        <f>HYPERLINK("https%3A%2F%2Fwww.webofscience.com%2Fwos%2Fwoscc%2Ffull-record%2FWOS:000379313400015","View Full Record in Web of Science")</f>
        <v>View Full Record in Web of Science</v>
      </c>
    </row>
    <row r="819" spans="1:72" x14ac:dyDescent="0.2">
      <c r="A819" t="s">
        <v>72</v>
      </c>
      <c r="B819" t="s">
        <v>7121</v>
      </c>
      <c r="C819" t="s">
        <v>74</v>
      </c>
      <c r="D819" t="s">
        <v>74</v>
      </c>
      <c r="E819" t="s">
        <v>74</v>
      </c>
      <c r="F819" t="s">
        <v>7122</v>
      </c>
      <c r="G819" t="s">
        <v>74</v>
      </c>
      <c r="H819" t="s">
        <v>74</v>
      </c>
      <c r="I819" t="s">
        <v>7123</v>
      </c>
      <c r="J819" t="s">
        <v>231</v>
      </c>
      <c r="K819" t="s">
        <v>74</v>
      </c>
      <c r="L819" t="s">
        <v>74</v>
      </c>
      <c r="M819" t="s">
        <v>74</v>
      </c>
      <c r="N819" t="s">
        <v>74</v>
      </c>
      <c r="O819" t="s">
        <v>74</v>
      </c>
      <c r="P819" t="s">
        <v>74</v>
      </c>
      <c r="Q819" t="s">
        <v>74</v>
      </c>
      <c r="R819" t="s">
        <v>74</v>
      </c>
      <c r="S819" t="s">
        <v>74</v>
      </c>
      <c r="T819" t="s">
        <v>74</v>
      </c>
      <c r="U819" t="s">
        <v>74</v>
      </c>
      <c r="V819" t="s">
        <v>7124</v>
      </c>
      <c r="W819" t="s">
        <v>74</v>
      </c>
      <c r="X819" t="s">
        <v>74</v>
      </c>
      <c r="Y819" t="s">
        <v>74</v>
      </c>
      <c r="Z819" t="s">
        <v>74</v>
      </c>
      <c r="AA819" t="s">
        <v>7125</v>
      </c>
      <c r="AB819" t="s">
        <v>7126</v>
      </c>
      <c r="AC819" t="s">
        <v>74</v>
      </c>
      <c r="AD819" t="s">
        <v>74</v>
      </c>
      <c r="AE819" t="s">
        <v>74</v>
      </c>
      <c r="AF819" t="s">
        <v>74</v>
      </c>
      <c r="AG819" t="s">
        <v>74</v>
      </c>
      <c r="AH819" t="s">
        <v>74</v>
      </c>
      <c r="AI819" t="s">
        <v>74</v>
      </c>
      <c r="AJ819" t="s">
        <v>74</v>
      </c>
      <c r="AK819" t="s">
        <v>74</v>
      </c>
      <c r="AL819" t="s">
        <v>74</v>
      </c>
      <c r="AM819" t="s">
        <v>74</v>
      </c>
      <c r="AN819" t="s">
        <v>74</v>
      </c>
      <c r="AO819" t="s">
        <v>1363</v>
      </c>
      <c r="AP819" t="s">
        <v>234</v>
      </c>
      <c r="AQ819" t="s">
        <v>74</v>
      </c>
      <c r="AR819" t="s">
        <v>74</v>
      </c>
      <c r="AS819" t="s">
        <v>74</v>
      </c>
      <c r="AT819" t="s">
        <v>7127</v>
      </c>
      <c r="AU819">
        <v>2016</v>
      </c>
      <c r="AV819">
        <v>55</v>
      </c>
      <c r="AW819">
        <v>22</v>
      </c>
      <c r="AX819" t="s">
        <v>74</v>
      </c>
      <c r="AY819" t="s">
        <v>74</v>
      </c>
      <c r="AZ819" t="s">
        <v>74</v>
      </c>
      <c r="BA819" t="s">
        <v>74</v>
      </c>
      <c r="BB819">
        <v>6482</v>
      </c>
      <c r="BC819">
        <v>6486</v>
      </c>
      <c r="BD819" t="s">
        <v>74</v>
      </c>
      <c r="BE819" t="s">
        <v>7128</v>
      </c>
      <c r="BF819" t="str">
        <f>HYPERLINK("http://dx.doi.org/10.1002/anie.201602504","http://dx.doi.org/10.1002/anie.201602504")</f>
        <v>http://dx.doi.org/10.1002/anie.201602504</v>
      </c>
      <c r="BG819" t="s">
        <v>74</v>
      </c>
      <c r="BH819" t="s">
        <v>74</v>
      </c>
      <c r="BI819" t="s">
        <v>74</v>
      </c>
      <c r="BJ819" t="s">
        <v>74</v>
      </c>
      <c r="BK819" t="s">
        <v>74</v>
      </c>
      <c r="BL819" t="s">
        <v>74</v>
      </c>
      <c r="BM819" t="s">
        <v>74</v>
      </c>
      <c r="BN819">
        <v>27089434</v>
      </c>
      <c r="BO819" t="s">
        <v>74</v>
      </c>
      <c r="BP819" t="s">
        <v>74</v>
      </c>
      <c r="BQ819" t="s">
        <v>74</v>
      </c>
      <c r="BR819" t="s">
        <v>74</v>
      </c>
      <c r="BS819" t="s">
        <v>7129</v>
      </c>
      <c r="BT819" t="str">
        <f>HYPERLINK("https%3A%2F%2Fwww.webofscience.com%2Fwos%2Fwoscc%2Ffull-record%2FWOS:000377921200021","View Full Record in Web of Science")</f>
        <v>View Full Record in Web of Science</v>
      </c>
    </row>
    <row r="820" spans="1:72" x14ac:dyDescent="0.2">
      <c r="A820" t="s">
        <v>72</v>
      </c>
      <c r="B820" t="s">
        <v>7130</v>
      </c>
      <c r="C820" t="s">
        <v>74</v>
      </c>
      <c r="D820" t="s">
        <v>74</v>
      </c>
      <c r="E820" t="s">
        <v>74</v>
      </c>
      <c r="F820" t="s">
        <v>7131</v>
      </c>
      <c r="G820" t="s">
        <v>74</v>
      </c>
      <c r="H820" t="s">
        <v>74</v>
      </c>
      <c r="I820" t="s">
        <v>7132</v>
      </c>
      <c r="J820" t="s">
        <v>231</v>
      </c>
      <c r="K820" t="s">
        <v>74</v>
      </c>
      <c r="L820" t="s">
        <v>74</v>
      </c>
      <c r="M820" t="s">
        <v>74</v>
      </c>
      <c r="N820" t="s">
        <v>74</v>
      </c>
      <c r="O820" t="s">
        <v>74</v>
      </c>
      <c r="P820" t="s">
        <v>74</v>
      </c>
      <c r="Q820" t="s">
        <v>74</v>
      </c>
      <c r="R820" t="s">
        <v>74</v>
      </c>
      <c r="S820" t="s">
        <v>74</v>
      </c>
      <c r="T820" t="s">
        <v>74</v>
      </c>
      <c r="U820" t="s">
        <v>74</v>
      </c>
      <c r="V820" t="s">
        <v>7133</v>
      </c>
      <c r="W820" t="s">
        <v>74</v>
      </c>
      <c r="X820" t="s">
        <v>74</v>
      </c>
      <c r="Y820" t="s">
        <v>74</v>
      </c>
      <c r="Z820" t="s">
        <v>74</v>
      </c>
      <c r="AA820" t="s">
        <v>7134</v>
      </c>
      <c r="AB820" t="s">
        <v>7135</v>
      </c>
      <c r="AC820" t="s">
        <v>74</v>
      </c>
      <c r="AD820" t="s">
        <v>74</v>
      </c>
      <c r="AE820" t="s">
        <v>74</v>
      </c>
      <c r="AF820" t="s">
        <v>74</v>
      </c>
      <c r="AG820" t="s">
        <v>74</v>
      </c>
      <c r="AH820" t="s">
        <v>74</v>
      </c>
      <c r="AI820" t="s">
        <v>74</v>
      </c>
      <c r="AJ820" t="s">
        <v>74</v>
      </c>
      <c r="AK820" t="s">
        <v>74</v>
      </c>
      <c r="AL820" t="s">
        <v>74</v>
      </c>
      <c r="AM820" t="s">
        <v>74</v>
      </c>
      <c r="AN820" t="s">
        <v>74</v>
      </c>
      <c r="AO820" t="s">
        <v>1363</v>
      </c>
      <c r="AP820" t="s">
        <v>234</v>
      </c>
      <c r="AQ820" t="s">
        <v>74</v>
      </c>
      <c r="AR820" t="s">
        <v>74</v>
      </c>
      <c r="AS820" t="s">
        <v>74</v>
      </c>
      <c r="AT820" t="s">
        <v>7136</v>
      </c>
      <c r="AU820">
        <v>2016</v>
      </c>
      <c r="AV820">
        <v>55</v>
      </c>
      <c r="AW820">
        <v>21</v>
      </c>
      <c r="AX820" t="s">
        <v>74</v>
      </c>
      <c r="AY820" t="s">
        <v>74</v>
      </c>
      <c r="AZ820" t="s">
        <v>74</v>
      </c>
      <c r="BA820" t="s">
        <v>74</v>
      </c>
      <c r="BB820">
        <v>6257</v>
      </c>
      <c r="BC820">
        <v>6260</v>
      </c>
      <c r="BD820" t="s">
        <v>74</v>
      </c>
      <c r="BE820" t="s">
        <v>7137</v>
      </c>
      <c r="BF820" t="str">
        <f>HYPERLINK("http://dx.doi.org/10.1002/anie.201602278","http://dx.doi.org/10.1002/anie.201602278")</f>
        <v>http://dx.doi.org/10.1002/anie.201602278</v>
      </c>
      <c r="BG820" t="s">
        <v>74</v>
      </c>
      <c r="BH820" t="s">
        <v>74</v>
      </c>
      <c r="BI820" t="s">
        <v>74</v>
      </c>
      <c r="BJ820" t="s">
        <v>74</v>
      </c>
      <c r="BK820" t="s">
        <v>74</v>
      </c>
      <c r="BL820" t="s">
        <v>74</v>
      </c>
      <c r="BM820" t="s">
        <v>74</v>
      </c>
      <c r="BN820">
        <v>27061244</v>
      </c>
      <c r="BO820" t="s">
        <v>74</v>
      </c>
      <c r="BP820" t="s">
        <v>74</v>
      </c>
      <c r="BQ820" t="s">
        <v>74</v>
      </c>
      <c r="BR820" t="s">
        <v>74</v>
      </c>
      <c r="BS820" t="s">
        <v>7138</v>
      </c>
      <c r="BT820" t="str">
        <f>HYPERLINK("https%3A%2F%2Fwww.webofscience.com%2Fwos%2Fwoscc%2Ffull-record%2FWOS:000377918400022","View Full Record in Web of Science")</f>
        <v>View Full Record in Web of Science</v>
      </c>
    </row>
    <row r="821" spans="1:72" x14ac:dyDescent="0.2">
      <c r="A821" t="s">
        <v>72</v>
      </c>
      <c r="B821" t="s">
        <v>7139</v>
      </c>
      <c r="C821" t="s">
        <v>74</v>
      </c>
      <c r="D821" t="s">
        <v>74</v>
      </c>
      <c r="E821" t="s">
        <v>74</v>
      </c>
      <c r="F821" t="s">
        <v>7140</v>
      </c>
      <c r="G821" t="s">
        <v>74</v>
      </c>
      <c r="H821" t="s">
        <v>74</v>
      </c>
      <c r="I821" t="s">
        <v>7141</v>
      </c>
      <c r="J821" t="s">
        <v>1040</v>
      </c>
      <c r="K821" t="s">
        <v>74</v>
      </c>
      <c r="L821" t="s">
        <v>74</v>
      </c>
      <c r="M821" t="s">
        <v>74</v>
      </c>
      <c r="N821" t="s">
        <v>74</v>
      </c>
      <c r="O821" t="s">
        <v>74</v>
      </c>
      <c r="P821" t="s">
        <v>74</v>
      </c>
      <c r="Q821" t="s">
        <v>74</v>
      </c>
      <c r="R821" t="s">
        <v>74</v>
      </c>
      <c r="S821" t="s">
        <v>74</v>
      </c>
      <c r="T821" t="s">
        <v>74</v>
      </c>
      <c r="U821" t="s">
        <v>74</v>
      </c>
      <c r="V821" t="s">
        <v>7142</v>
      </c>
      <c r="W821" t="s">
        <v>74</v>
      </c>
      <c r="X821" t="s">
        <v>74</v>
      </c>
      <c r="Y821" t="s">
        <v>74</v>
      </c>
      <c r="Z821" t="s">
        <v>74</v>
      </c>
      <c r="AA821" t="s">
        <v>7143</v>
      </c>
      <c r="AB821" t="s">
        <v>7144</v>
      </c>
      <c r="AC821" t="s">
        <v>74</v>
      </c>
      <c r="AD821" t="s">
        <v>74</v>
      </c>
      <c r="AE821" t="s">
        <v>74</v>
      </c>
      <c r="AF821" t="s">
        <v>74</v>
      </c>
      <c r="AG821" t="s">
        <v>74</v>
      </c>
      <c r="AH821" t="s">
        <v>74</v>
      </c>
      <c r="AI821" t="s">
        <v>74</v>
      </c>
      <c r="AJ821" t="s">
        <v>74</v>
      </c>
      <c r="AK821" t="s">
        <v>74</v>
      </c>
      <c r="AL821" t="s">
        <v>74</v>
      </c>
      <c r="AM821" t="s">
        <v>74</v>
      </c>
      <c r="AN821" t="s">
        <v>74</v>
      </c>
      <c r="AO821" t="s">
        <v>1043</v>
      </c>
      <c r="AP821" t="s">
        <v>1044</v>
      </c>
      <c r="AQ821" t="s">
        <v>74</v>
      </c>
      <c r="AR821" t="s">
        <v>74</v>
      </c>
      <c r="AS821" t="s">
        <v>74</v>
      </c>
      <c r="AT821" t="s">
        <v>659</v>
      </c>
      <c r="AU821">
        <v>2016</v>
      </c>
      <c r="AV821">
        <v>18</v>
      </c>
      <c r="AW821">
        <v>16</v>
      </c>
      <c r="AX821" t="s">
        <v>74</v>
      </c>
      <c r="AY821" t="s">
        <v>74</v>
      </c>
      <c r="AZ821" t="s">
        <v>74</v>
      </c>
      <c r="BA821" t="s">
        <v>74</v>
      </c>
      <c r="BB821">
        <v>11383</v>
      </c>
      <c r="BC821">
        <v>11390</v>
      </c>
      <c r="BD821" t="s">
        <v>74</v>
      </c>
      <c r="BE821" t="s">
        <v>7145</v>
      </c>
      <c r="BF821" t="str">
        <f>HYPERLINK("http://dx.doi.org/10.1039/c6cp01309k","http://dx.doi.org/10.1039/c6cp01309k")</f>
        <v>http://dx.doi.org/10.1039/c6cp01309k</v>
      </c>
      <c r="BG821" t="s">
        <v>74</v>
      </c>
      <c r="BH821" t="s">
        <v>74</v>
      </c>
      <c r="BI821" t="s">
        <v>74</v>
      </c>
      <c r="BJ821" t="s">
        <v>74</v>
      </c>
      <c r="BK821" t="s">
        <v>74</v>
      </c>
      <c r="BL821" t="s">
        <v>74</v>
      </c>
      <c r="BM821" t="s">
        <v>74</v>
      </c>
      <c r="BN821">
        <v>27056253</v>
      </c>
      <c r="BO821" t="s">
        <v>74</v>
      </c>
      <c r="BP821" t="s">
        <v>74</v>
      </c>
      <c r="BQ821" t="s">
        <v>74</v>
      </c>
      <c r="BR821" t="s">
        <v>74</v>
      </c>
      <c r="BS821" t="s">
        <v>7146</v>
      </c>
      <c r="BT821" t="str">
        <f>HYPERLINK("https%3A%2F%2Fwww.webofscience.com%2Fwos%2Fwoscc%2Ffull-record%2FWOS:000374786300079","View Full Record in Web of Science")</f>
        <v>View Full Record in Web of Science</v>
      </c>
    </row>
    <row r="822" spans="1:72" x14ac:dyDescent="0.2">
      <c r="A822" t="s">
        <v>72</v>
      </c>
      <c r="B822" t="s">
        <v>7147</v>
      </c>
      <c r="C822" t="s">
        <v>74</v>
      </c>
      <c r="D822" t="s">
        <v>74</v>
      </c>
      <c r="E822" t="s">
        <v>74</v>
      </c>
      <c r="F822" t="s">
        <v>7148</v>
      </c>
      <c r="G822" t="s">
        <v>74</v>
      </c>
      <c r="H822" t="s">
        <v>74</v>
      </c>
      <c r="I822" t="s">
        <v>7149</v>
      </c>
      <c r="J822" t="s">
        <v>7150</v>
      </c>
      <c r="K822" t="s">
        <v>74</v>
      </c>
      <c r="L822" t="s">
        <v>74</v>
      </c>
      <c r="M822" t="s">
        <v>74</v>
      </c>
      <c r="N822" t="s">
        <v>74</v>
      </c>
      <c r="O822" t="s">
        <v>74</v>
      </c>
      <c r="P822" t="s">
        <v>74</v>
      </c>
      <c r="Q822" t="s">
        <v>74</v>
      </c>
      <c r="R822" t="s">
        <v>74</v>
      </c>
      <c r="S822" t="s">
        <v>74</v>
      </c>
      <c r="T822" t="s">
        <v>74</v>
      </c>
      <c r="U822" t="s">
        <v>74</v>
      </c>
      <c r="V822" t="s">
        <v>7151</v>
      </c>
      <c r="W822" t="s">
        <v>74</v>
      </c>
      <c r="X822" t="s">
        <v>74</v>
      </c>
      <c r="Y822" t="s">
        <v>74</v>
      </c>
      <c r="Z822" t="s">
        <v>74</v>
      </c>
      <c r="AA822" t="s">
        <v>7152</v>
      </c>
      <c r="AB822" t="s">
        <v>7153</v>
      </c>
      <c r="AC822" t="s">
        <v>74</v>
      </c>
      <c r="AD822" t="s">
        <v>74</v>
      </c>
      <c r="AE822" t="s">
        <v>74</v>
      </c>
      <c r="AF822" t="s">
        <v>74</v>
      </c>
      <c r="AG822" t="s">
        <v>74</v>
      </c>
      <c r="AH822" t="s">
        <v>74</v>
      </c>
      <c r="AI822" t="s">
        <v>74</v>
      </c>
      <c r="AJ822" t="s">
        <v>74</v>
      </c>
      <c r="AK822" t="s">
        <v>74</v>
      </c>
      <c r="AL822" t="s">
        <v>74</v>
      </c>
      <c r="AM822" t="s">
        <v>74</v>
      </c>
      <c r="AN822" t="s">
        <v>74</v>
      </c>
      <c r="AO822" t="s">
        <v>7154</v>
      </c>
      <c r="AP822" t="s">
        <v>7155</v>
      </c>
      <c r="AQ822" t="s">
        <v>74</v>
      </c>
      <c r="AR822" t="s">
        <v>74</v>
      </c>
      <c r="AS822" t="s">
        <v>74</v>
      </c>
      <c r="AT822" t="s">
        <v>670</v>
      </c>
      <c r="AU822">
        <v>2016</v>
      </c>
      <c r="AV822">
        <v>127</v>
      </c>
      <c r="AW822" t="s">
        <v>74</v>
      </c>
      <c r="AX822" t="s">
        <v>74</v>
      </c>
      <c r="AY822" t="s">
        <v>74</v>
      </c>
      <c r="AZ822" t="s">
        <v>74</v>
      </c>
      <c r="BA822" t="s">
        <v>74</v>
      </c>
      <c r="BB822">
        <v>161</v>
      </c>
      <c r="BC822">
        <v>169</v>
      </c>
      <c r="BD822" t="s">
        <v>74</v>
      </c>
      <c r="BE822" t="s">
        <v>7156</v>
      </c>
      <c r="BF822" t="str">
        <f>HYPERLINK("http://dx.doi.org/10.1016/j.dyepig.2016.01.006","http://dx.doi.org/10.1016/j.dyepig.2016.01.006")</f>
        <v>http://dx.doi.org/10.1016/j.dyepig.2016.01.006</v>
      </c>
      <c r="BG822" t="s">
        <v>74</v>
      </c>
      <c r="BH822" t="s">
        <v>74</v>
      </c>
      <c r="BI822" t="s">
        <v>74</v>
      </c>
      <c r="BJ822" t="s">
        <v>74</v>
      </c>
      <c r="BK822" t="s">
        <v>74</v>
      </c>
      <c r="BL822" t="s">
        <v>74</v>
      </c>
      <c r="BM822" t="s">
        <v>74</v>
      </c>
      <c r="BN822" t="s">
        <v>74</v>
      </c>
      <c r="BO822" t="s">
        <v>74</v>
      </c>
      <c r="BP822" t="s">
        <v>74</v>
      </c>
      <c r="BQ822" t="s">
        <v>74</v>
      </c>
      <c r="BR822" t="s">
        <v>74</v>
      </c>
      <c r="BS822" t="s">
        <v>7157</v>
      </c>
      <c r="BT822" t="str">
        <f>HYPERLINK("https%3A%2F%2Fwww.webofscience.com%2Fwos%2Fwoscc%2Ffull-record%2FWOS:000370882600021","View Full Record in Web of Science")</f>
        <v>View Full Record in Web of Science</v>
      </c>
    </row>
    <row r="823" spans="1:72" x14ac:dyDescent="0.2">
      <c r="A823" t="s">
        <v>72</v>
      </c>
      <c r="B823" t="s">
        <v>7158</v>
      </c>
      <c r="C823" t="s">
        <v>74</v>
      </c>
      <c r="D823" t="s">
        <v>74</v>
      </c>
      <c r="E823" t="s">
        <v>74</v>
      </c>
      <c r="F823" t="s">
        <v>7159</v>
      </c>
      <c r="G823" t="s">
        <v>74</v>
      </c>
      <c r="H823" t="s">
        <v>74</v>
      </c>
      <c r="I823" t="s">
        <v>7160</v>
      </c>
      <c r="J823" t="s">
        <v>528</v>
      </c>
      <c r="K823" t="s">
        <v>74</v>
      </c>
      <c r="L823" t="s">
        <v>74</v>
      </c>
      <c r="M823" t="s">
        <v>74</v>
      </c>
      <c r="N823" t="s">
        <v>74</v>
      </c>
      <c r="O823" t="s">
        <v>74</v>
      </c>
      <c r="P823" t="s">
        <v>74</v>
      </c>
      <c r="Q823" t="s">
        <v>74</v>
      </c>
      <c r="R823" t="s">
        <v>74</v>
      </c>
      <c r="S823" t="s">
        <v>74</v>
      </c>
      <c r="T823" t="s">
        <v>74</v>
      </c>
      <c r="U823" t="s">
        <v>74</v>
      </c>
      <c r="V823" t="s">
        <v>7161</v>
      </c>
      <c r="W823" t="s">
        <v>74</v>
      </c>
      <c r="X823" t="s">
        <v>74</v>
      </c>
      <c r="Y823" t="s">
        <v>74</v>
      </c>
      <c r="Z823" t="s">
        <v>74</v>
      </c>
      <c r="AA823" t="s">
        <v>7162</v>
      </c>
      <c r="AB823" t="s">
        <v>7163</v>
      </c>
      <c r="AC823" t="s">
        <v>74</v>
      </c>
      <c r="AD823" t="s">
        <v>74</v>
      </c>
      <c r="AE823" t="s">
        <v>74</v>
      </c>
      <c r="AF823" t="s">
        <v>74</v>
      </c>
      <c r="AG823" t="s">
        <v>74</v>
      </c>
      <c r="AH823" t="s">
        <v>74</v>
      </c>
      <c r="AI823" t="s">
        <v>74</v>
      </c>
      <c r="AJ823" t="s">
        <v>74</v>
      </c>
      <c r="AK823" t="s">
        <v>74</v>
      </c>
      <c r="AL823" t="s">
        <v>74</v>
      </c>
      <c r="AM823" t="s">
        <v>74</v>
      </c>
      <c r="AN823" t="s">
        <v>74</v>
      </c>
      <c r="AO823" t="s">
        <v>532</v>
      </c>
      <c r="AP823" t="s">
        <v>533</v>
      </c>
      <c r="AQ823" t="s">
        <v>74</v>
      </c>
      <c r="AR823" t="s">
        <v>74</v>
      </c>
      <c r="AS823" t="s">
        <v>74</v>
      </c>
      <c r="AT823" t="s">
        <v>807</v>
      </c>
      <c r="AU823">
        <v>2016</v>
      </c>
      <c r="AV823">
        <v>8</v>
      </c>
      <c r="AW823">
        <v>11</v>
      </c>
      <c r="AX823" t="s">
        <v>74</v>
      </c>
      <c r="AY823" t="s">
        <v>74</v>
      </c>
      <c r="AZ823" t="s">
        <v>74</v>
      </c>
      <c r="BA823" t="s">
        <v>74</v>
      </c>
      <c r="BB823">
        <v>7125</v>
      </c>
      <c r="BC823">
        <v>7132</v>
      </c>
      <c r="BD823" t="s">
        <v>74</v>
      </c>
      <c r="BE823" t="s">
        <v>7164</v>
      </c>
      <c r="BF823" t="str">
        <f>HYPERLINK("http://dx.doi.org/10.1021/acsami.6b00386","http://dx.doi.org/10.1021/acsami.6b00386")</f>
        <v>http://dx.doi.org/10.1021/acsami.6b00386</v>
      </c>
      <c r="BG823" t="s">
        <v>74</v>
      </c>
      <c r="BH823" t="s">
        <v>74</v>
      </c>
      <c r="BI823" t="s">
        <v>74</v>
      </c>
      <c r="BJ823" t="s">
        <v>74</v>
      </c>
      <c r="BK823" t="s">
        <v>74</v>
      </c>
      <c r="BL823" t="s">
        <v>74</v>
      </c>
      <c r="BM823" t="s">
        <v>74</v>
      </c>
      <c r="BN823">
        <v>26938119</v>
      </c>
      <c r="BO823" t="s">
        <v>74</v>
      </c>
      <c r="BP823" t="s">
        <v>74</v>
      </c>
      <c r="BQ823" t="s">
        <v>74</v>
      </c>
      <c r="BR823" t="s">
        <v>74</v>
      </c>
      <c r="BS823" t="s">
        <v>7165</v>
      </c>
      <c r="BT823" t="str">
        <f>HYPERLINK("https%3A%2F%2Fwww.webofscience.com%2Fwos%2Fwoscc%2Ffull-record%2FWOS:000372946600041","View Full Record in Web of Science")</f>
        <v>View Full Record in Web of Science</v>
      </c>
    </row>
    <row r="824" spans="1:72" x14ac:dyDescent="0.2">
      <c r="A824" t="s">
        <v>72</v>
      </c>
      <c r="B824" t="s">
        <v>7166</v>
      </c>
      <c r="C824" t="s">
        <v>74</v>
      </c>
      <c r="D824" t="s">
        <v>74</v>
      </c>
      <c r="E824" t="s">
        <v>74</v>
      </c>
      <c r="F824" t="s">
        <v>7167</v>
      </c>
      <c r="G824" t="s">
        <v>74</v>
      </c>
      <c r="H824" t="s">
        <v>74</v>
      </c>
      <c r="I824" t="s">
        <v>7168</v>
      </c>
      <c r="J824" t="s">
        <v>352</v>
      </c>
      <c r="K824" t="s">
        <v>74</v>
      </c>
      <c r="L824" t="s">
        <v>74</v>
      </c>
      <c r="M824" t="s">
        <v>74</v>
      </c>
      <c r="N824" t="s">
        <v>74</v>
      </c>
      <c r="O824" t="s">
        <v>74</v>
      </c>
      <c r="P824" t="s">
        <v>74</v>
      </c>
      <c r="Q824" t="s">
        <v>74</v>
      </c>
      <c r="R824" t="s">
        <v>74</v>
      </c>
      <c r="S824" t="s">
        <v>74</v>
      </c>
      <c r="T824" t="s">
        <v>74</v>
      </c>
      <c r="U824" t="s">
        <v>74</v>
      </c>
      <c r="V824" t="s">
        <v>74</v>
      </c>
      <c r="W824" t="s">
        <v>74</v>
      </c>
      <c r="X824" t="s">
        <v>74</v>
      </c>
      <c r="Y824" t="s">
        <v>74</v>
      </c>
      <c r="Z824" t="s">
        <v>74</v>
      </c>
      <c r="AA824" t="s">
        <v>7169</v>
      </c>
      <c r="AB824" t="s">
        <v>7170</v>
      </c>
      <c r="AC824" t="s">
        <v>74</v>
      </c>
      <c r="AD824" t="s">
        <v>74</v>
      </c>
      <c r="AE824" t="s">
        <v>74</v>
      </c>
      <c r="AF824" t="s">
        <v>74</v>
      </c>
      <c r="AG824" t="s">
        <v>74</v>
      </c>
      <c r="AH824" t="s">
        <v>74</v>
      </c>
      <c r="AI824" t="s">
        <v>74</v>
      </c>
      <c r="AJ824" t="s">
        <v>74</v>
      </c>
      <c r="AK824" t="s">
        <v>74</v>
      </c>
      <c r="AL824" t="s">
        <v>74</v>
      </c>
      <c r="AM824" t="s">
        <v>74</v>
      </c>
      <c r="AN824" t="s">
        <v>74</v>
      </c>
      <c r="AO824" t="s">
        <v>354</v>
      </c>
      <c r="AP824" t="s">
        <v>355</v>
      </c>
      <c r="AQ824" t="s">
        <v>74</v>
      </c>
      <c r="AR824" t="s">
        <v>74</v>
      </c>
      <c r="AS824" t="s">
        <v>74</v>
      </c>
      <c r="AT824" t="s">
        <v>7171</v>
      </c>
      <c r="AU824">
        <v>2016</v>
      </c>
      <c r="AV824">
        <v>6</v>
      </c>
      <c r="AW824">
        <v>5</v>
      </c>
      <c r="AX824" t="s">
        <v>74</v>
      </c>
      <c r="AY824" t="s">
        <v>74</v>
      </c>
      <c r="AZ824" t="s">
        <v>74</v>
      </c>
      <c r="BA824" t="s">
        <v>74</v>
      </c>
      <c r="BB824" t="s">
        <v>74</v>
      </c>
      <c r="BC824" t="s">
        <v>74</v>
      </c>
      <c r="BD824">
        <v>1501733</v>
      </c>
      <c r="BE824" t="s">
        <v>7172</v>
      </c>
      <c r="BF824" t="str">
        <f>HYPERLINK("http://dx.doi.org/10.1002/aenm.201501733","http://dx.doi.org/10.1002/aenm.201501733")</f>
        <v>http://dx.doi.org/10.1002/aenm.201501733</v>
      </c>
      <c r="BG824" t="s">
        <v>74</v>
      </c>
      <c r="BH824" t="s">
        <v>74</v>
      </c>
      <c r="BI824" t="s">
        <v>74</v>
      </c>
      <c r="BJ824" t="s">
        <v>74</v>
      </c>
      <c r="BK824" t="s">
        <v>74</v>
      </c>
      <c r="BL824" t="s">
        <v>74</v>
      </c>
      <c r="BM824" t="s">
        <v>74</v>
      </c>
      <c r="BN824" t="s">
        <v>74</v>
      </c>
      <c r="BO824" t="s">
        <v>74</v>
      </c>
      <c r="BP824" t="s">
        <v>74</v>
      </c>
      <c r="BQ824" t="s">
        <v>74</v>
      </c>
      <c r="BR824" t="s">
        <v>74</v>
      </c>
      <c r="BS824" t="s">
        <v>7173</v>
      </c>
      <c r="BT824" t="str">
        <f>HYPERLINK("https%3A%2F%2Fwww.webofscience.com%2Fwos%2Fwoscc%2Ffull-record%2FWOS:000372525500003","View Full Record in Web of Science")</f>
        <v>View Full Record in Web of Science</v>
      </c>
    </row>
    <row r="825" spans="1:72" x14ac:dyDescent="0.2">
      <c r="A825" t="s">
        <v>72</v>
      </c>
      <c r="B825" t="s">
        <v>7174</v>
      </c>
      <c r="C825" t="s">
        <v>74</v>
      </c>
      <c r="D825" t="s">
        <v>74</v>
      </c>
      <c r="E825" t="s">
        <v>74</v>
      </c>
      <c r="F825" t="s">
        <v>7175</v>
      </c>
      <c r="G825" t="s">
        <v>74</v>
      </c>
      <c r="H825" t="s">
        <v>74</v>
      </c>
      <c r="I825" t="s">
        <v>7176</v>
      </c>
      <c r="J825" t="s">
        <v>98</v>
      </c>
      <c r="K825" t="s">
        <v>74</v>
      </c>
      <c r="L825" t="s">
        <v>74</v>
      </c>
      <c r="M825" t="s">
        <v>74</v>
      </c>
      <c r="N825" t="s">
        <v>74</v>
      </c>
      <c r="O825" t="s">
        <v>74</v>
      </c>
      <c r="P825" t="s">
        <v>74</v>
      </c>
      <c r="Q825" t="s">
        <v>74</v>
      </c>
      <c r="R825" t="s">
        <v>74</v>
      </c>
      <c r="S825" t="s">
        <v>74</v>
      </c>
      <c r="T825" t="s">
        <v>74</v>
      </c>
      <c r="U825" t="s">
        <v>74</v>
      </c>
      <c r="V825" t="s">
        <v>7177</v>
      </c>
      <c r="W825" t="s">
        <v>74</v>
      </c>
      <c r="X825" t="s">
        <v>74</v>
      </c>
      <c r="Y825" t="s">
        <v>74</v>
      </c>
      <c r="Z825" t="s">
        <v>74</v>
      </c>
      <c r="AA825" t="s">
        <v>74</v>
      </c>
      <c r="AB825" t="s">
        <v>74</v>
      </c>
      <c r="AC825" t="s">
        <v>74</v>
      </c>
      <c r="AD825" t="s">
        <v>74</v>
      </c>
      <c r="AE825" t="s">
        <v>74</v>
      </c>
      <c r="AF825" t="s">
        <v>74</v>
      </c>
      <c r="AG825" t="s">
        <v>74</v>
      </c>
      <c r="AH825" t="s">
        <v>74</v>
      </c>
      <c r="AI825" t="s">
        <v>74</v>
      </c>
      <c r="AJ825" t="s">
        <v>74</v>
      </c>
      <c r="AK825" t="s">
        <v>74</v>
      </c>
      <c r="AL825" t="s">
        <v>74</v>
      </c>
      <c r="AM825" t="s">
        <v>74</v>
      </c>
      <c r="AN825" t="s">
        <v>74</v>
      </c>
      <c r="AO825" t="s">
        <v>101</v>
      </c>
      <c r="AP825" t="s">
        <v>102</v>
      </c>
      <c r="AQ825" t="s">
        <v>74</v>
      </c>
      <c r="AR825" t="s">
        <v>74</v>
      </c>
      <c r="AS825" t="s">
        <v>74</v>
      </c>
      <c r="AT825" t="s">
        <v>2556</v>
      </c>
      <c r="AU825">
        <v>2016</v>
      </c>
      <c r="AV825">
        <v>307</v>
      </c>
      <c r="AW825" t="s">
        <v>74</v>
      </c>
      <c r="AX825" t="s">
        <v>74</v>
      </c>
      <c r="AY825" t="s">
        <v>74</v>
      </c>
      <c r="AZ825" t="s">
        <v>74</v>
      </c>
      <c r="BA825" t="s">
        <v>74</v>
      </c>
      <c r="BB825">
        <v>340</v>
      </c>
      <c r="BC825">
        <v>350</v>
      </c>
      <c r="BD825" t="s">
        <v>74</v>
      </c>
      <c r="BE825" t="s">
        <v>7178</v>
      </c>
      <c r="BF825" t="str">
        <f>HYPERLINK("http://dx.doi.org/10.1016/j.jpowsour.2015.12.132","http://dx.doi.org/10.1016/j.jpowsour.2015.12.132")</f>
        <v>http://dx.doi.org/10.1016/j.jpowsour.2015.12.132</v>
      </c>
      <c r="BG825" t="s">
        <v>74</v>
      </c>
      <c r="BH825" t="s">
        <v>74</v>
      </c>
      <c r="BI825" t="s">
        <v>74</v>
      </c>
      <c r="BJ825" t="s">
        <v>74</v>
      </c>
      <c r="BK825" t="s">
        <v>74</v>
      </c>
      <c r="BL825" t="s">
        <v>74</v>
      </c>
      <c r="BM825" t="s">
        <v>74</v>
      </c>
      <c r="BN825" t="s">
        <v>74</v>
      </c>
      <c r="BO825" t="s">
        <v>74</v>
      </c>
      <c r="BP825" t="s">
        <v>74</v>
      </c>
      <c r="BQ825" t="s">
        <v>74</v>
      </c>
      <c r="BR825" t="s">
        <v>74</v>
      </c>
      <c r="BS825" t="s">
        <v>7179</v>
      </c>
      <c r="BT825" t="str">
        <f>HYPERLINK("https%3A%2F%2Fwww.webofscience.com%2Fwos%2Fwoscc%2Ffull-record%2FWOS:000370884000041","View Full Record in Web of Science")</f>
        <v>View Full Record in Web of Science</v>
      </c>
    </row>
    <row r="826" spans="1:72" x14ac:dyDescent="0.2">
      <c r="A826" t="s">
        <v>72</v>
      </c>
      <c r="B826" t="s">
        <v>7180</v>
      </c>
      <c r="C826" t="s">
        <v>74</v>
      </c>
      <c r="D826" t="s">
        <v>74</v>
      </c>
      <c r="E826" t="s">
        <v>74</v>
      </c>
      <c r="F826" t="s">
        <v>7181</v>
      </c>
      <c r="G826" t="s">
        <v>74</v>
      </c>
      <c r="H826" t="s">
        <v>74</v>
      </c>
      <c r="I826" t="s">
        <v>7182</v>
      </c>
      <c r="J826" t="s">
        <v>98</v>
      </c>
      <c r="K826" t="s">
        <v>74</v>
      </c>
      <c r="L826" t="s">
        <v>74</v>
      </c>
      <c r="M826" t="s">
        <v>74</v>
      </c>
      <c r="N826" t="s">
        <v>74</v>
      </c>
      <c r="O826" t="s">
        <v>74</v>
      </c>
      <c r="P826" t="s">
        <v>74</v>
      </c>
      <c r="Q826" t="s">
        <v>74</v>
      </c>
      <c r="R826" t="s">
        <v>74</v>
      </c>
      <c r="S826" t="s">
        <v>74</v>
      </c>
      <c r="T826" t="s">
        <v>74</v>
      </c>
      <c r="U826" t="s">
        <v>74</v>
      </c>
      <c r="V826" t="s">
        <v>7183</v>
      </c>
      <c r="W826" t="s">
        <v>74</v>
      </c>
      <c r="X826" t="s">
        <v>74</v>
      </c>
      <c r="Y826" t="s">
        <v>74</v>
      </c>
      <c r="Z826" t="s">
        <v>74</v>
      </c>
      <c r="AA826" t="s">
        <v>7184</v>
      </c>
      <c r="AB826" t="s">
        <v>7185</v>
      </c>
      <c r="AC826" t="s">
        <v>74</v>
      </c>
      <c r="AD826" t="s">
        <v>74</v>
      </c>
      <c r="AE826" t="s">
        <v>74</v>
      </c>
      <c r="AF826" t="s">
        <v>74</v>
      </c>
      <c r="AG826" t="s">
        <v>74</v>
      </c>
      <c r="AH826" t="s">
        <v>74</v>
      </c>
      <c r="AI826" t="s">
        <v>74</v>
      </c>
      <c r="AJ826" t="s">
        <v>74</v>
      </c>
      <c r="AK826" t="s">
        <v>74</v>
      </c>
      <c r="AL826" t="s">
        <v>74</v>
      </c>
      <c r="AM826" t="s">
        <v>74</v>
      </c>
      <c r="AN826" t="s">
        <v>74</v>
      </c>
      <c r="AO826" t="s">
        <v>101</v>
      </c>
      <c r="AP826" t="s">
        <v>102</v>
      </c>
      <c r="AQ826" t="s">
        <v>74</v>
      </c>
      <c r="AR826" t="s">
        <v>74</v>
      </c>
      <c r="AS826" t="s">
        <v>74</v>
      </c>
      <c r="AT826" t="s">
        <v>7186</v>
      </c>
      <c r="AU826">
        <v>2016</v>
      </c>
      <c r="AV826">
        <v>306</v>
      </c>
      <c r="AW826" t="s">
        <v>74</v>
      </c>
      <c r="AX826" t="s">
        <v>74</v>
      </c>
      <c r="AY826" t="s">
        <v>74</v>
      </c>
      <c r="AZ826" t="s">
        <v>74</v>
      </c>
      <c r="BA826" t="s">
        <v>74</v>
      </c>
      <c r="BB826">
        <v>152</v>
      </c>
      <c r="BC826">
        <v>161</v>
      </c>
      <c r="BD826" t="s">
        <v>74</v>
      </c>
      <c r="BE826" t="s">
        <v>7187</v>
      </c>
      <c r="BF826" t="str">
        <f>HYPERLINK("http://dx.doi.org/10.1016/j.jpowsour.2015.12.010","http://dx.doi.org/10.1016/j.jpowsour.2015.12.010")</f>
        <v>http://dx.doi.org/10.1016/j.jpowsour.2015.12.010</v>
      </c>
      <c r="BG826" t="s">
        <v>74</v>
      </c>
      <c r="BH826" t="s">
        <v>74</v>
      </c>
      <c r="BI826" t="s">
        <v>74</v>
      </c>
      <c r="BJ826" t="s">
        <v>74</v>
      </c>
      <c r="BK826" t="s">
        <v>74</v>
      </c>
      <c r="BL826" t="s">
        <v>74</v>
      </c>
      <c r="BM826" t="s">
        <v>74</v>
      </c>
      <c r="BN826" t="s">
        <v>74</v>
      </c>
      <c r="BO826" t="s">
        <v>74</v>
      </c>
      <c r="BP826" t="s">
        <v>74</v>
      </c>
      <c r="BQ826" t="s">
        <v>74</v>
      </c>
      <c r="BR826" t="s">
        <v>74</v>
      </c>
      <c r="BS826" t="s">
        <v>7188</v>
      </c>
      <c r="BT826" t="str">
        <f>HYPERLINK("https%3A%2F%2Fwww.webofscience.com%2Fwos%2Fwoscc%2Ffull-record%2FWOS:000370309300018","View Full Record in Web of Science")</f>
        <v>View Full Record in Web of Science</v>
      </c>
    </row>
    <row r="827" spans="1:72" x14ac:dyDescent="0.2">
      <c r="A827" t="s">
        <v>72</v>
      </c>
      <c r="B827" t="s">
        <v>7189</v>
      </c>
      <c r="C827" t="s">
        <v>74</v>
      </c>
      <c r="D827" t="s">
        <v>74</v>
      </c>
      <c r="E827" t="s">
        <v>74</v>
      </c>
      <c r="F827" t="s">
        <v>7190</v>
      </c>
      <c r="G827" t="s">
        <v>74</v>
      </c>
      <c r="H827" t="s">
        <v>74</v>
      </c>
      <c r="I827" t="s">
        <v>7191</v>
      </c>
      <c r="J827" t="s">
        <v>433</v>
      </c>
      <c r="K827" t="s">
        <v>74</v>
      </c>
      <c r="L827" t="s">
        <v>74</v>
      </c>
      <c r="M827" t="s">
        <v>74</v>
      </c>
      <c r="N827" t="s">
        <v>74</v>
      </c>
      <c r="O827" t="s">
        <v>74</v>
      </c>
      <c r="P827" t="s">
        <v>74</v>
      </c>
      <c r="Q827" t="s">
        <v>74</v>
      </c>
      <c r="R827" t="s">
        <v>74</v>
      </c>
      <c r="S827" t="s">
        <v>74</v>
      </c>
      <c r="T827" t="s">
        <v>74</v>
      </c>
      <c r="U827" t="s">
        <v>74</v>
      </c>
      <c r="V827" t="s">
        <v>7192</v>
      </c>
      <c r="W827" t="s">
        <v>74</v>
      </c>
      <c r="X827" t="s">
        <v>74</v>
      </c>
      <c r="Y827" t="s">
        <v>74</v>
      </c>
      <c r="Z827" t="s">
        <v>74</v>
      </c>
      <c r="AA827" t="s">
        <v>7193</v>
      </c>
      <c r="AB827" t="s">
        <v>7194</v>
      </c>
      <c r="AC827" t="s">
        <v>74</v>
      </c>
      <c r="AD827" t="s">
        <v>74</v>
      </c>
      <c r="AE827" t="s">
        <v>74</v>
      </c>
      <c r="AF827" t="s">
        <v>74</v>
      </c>
      <c r="AG827" t="s">
        <v>74</v>
      </c>
      <c r="AH827" t="s">
        <v>74</v>
      </c>
      <c r="AI827" t="s">
        <v>74</v>
      </c>
      <c r="AJ827" t="s">
        <v>74</v>
      </c>
      <c r="AK827" t="s">
        <v>74</v>
      </c>
      <c r="AL827" t="s">
        <v>74</v>
      </c>
      <c r="AM827" t="s">
        <v>74</v>
      </c>
      <c r="AN827" t="s">
        <v>74</v>
      </c>
      <c r="AO827" t="s">
        <v>435</v>
      </c>
      <c r="AP827" t="s">
        <v>436</v>
      </c>
      <c r="AQ827" t="s">
        <v>74</v>
      </c>
      <c r="AR827" t="s">
        <v>74</v>
      </c>
      <c r="AS827" t="s">
        <v>74</v>
      </c>
      <c r="AT827" t="s">
        <v>965</v>
      </c>
      <c r="AU827">
        <v>2016</v>
      </c>
      <c r="AV827">
        <v>659</v>
      </c>
      <c r="AW827" t="s">
        <v>74</v>
      </c>
      <c r="AX827" t="s">
        <v>74</v>
      </c>
      <c r="AY827" t="s">
        <v>74</v>
      </c>
      <c r="AZ827" t="s">
        <v>74</v>
      </c>
      <c r="BA827" t="s">
        <v>74</v>
      </c>
      <c r="BB827">
        <v>248</v>
      </c>
      <c r="BC827">
        <v>254</v>
      </c>
      <c r="BD827" t="s">
        <v>74</v>
      </c>
      <c r="BE827" t="s">
        <v>7195</v>
      </c>
      <c r="BF827" t="str">
        <f>HYPERLINK("http://dx.doi.org/10.1016/j.jallcom.2015.11.038","http://dx.doi.org/10.1016/j.jallcom.2015.11.038")</f>
        <v>http://dx.doi.org/10.1016/j.jallcom.2015.11.038</v>
      </c>
      <c r="BG827" t="s">
        <v>74</v>
      </c>
      <c r="BH827" t="s">
        <v>74</v>
      </c>
      <c r="BI827" t="s">
        <v>74</v>
      </c>
      <c r="BJ827" t="s">
        <v>74</v>
      </c>
      <c r="BK827" t="s">
        <v>74</v>
      </c>
      <c r="BL827" t="s">
        <v>74</v>
      </c>
      <c r="BM827" t="s">
        <v>74</v>
      </c>
      <c r="BN827" t="s">
        <v>74</v>
      </c>
      <c r="BO827" t="s">
        <v>74</v>
      </c>
      <c r="BP827" t="s">
        <v>74</v>
      </c>
      <c r="BQ827" t="s">
        <v>74</v>
      </c>
      <c r="BR827" t="s">
        <v>74</v>
      </c>
      <c r="BS827" t="s">
        <v>7196</v>
      </c>
      <c r="BT827" t="str">
        <f>HYPERLINK("https%3A%2F%2Fwww.webofscience.com%2Fwos%2Fwoscc%2Ffull-record%2FWOS:000366944100035","View Full Record in Web of Science")</f>
        <v>View Full Record in Web of Science</v>
      </c>
    </row>
    <row r="828" spans="1:72" x14ac:dyDescent="0.2">
      <c r="A828" t="s">
        <v>72</v>
      </c>
      <c r="B828" t="s">
        <v>7197</v>
      </c>
      <c r="C828" t="s">
        <v>74</v>
      </c>
      <c r="D828" t="s">
        <v>74</v>
      </c>
      <c r="E828" t="s">
        <v>74</v>
      </c>
      <c r="F828" t="s">
        <v>7198</v>
      </c>
      <c r="G828" t="s">
        <v>74</v>
      </c>
      <c r="H828" t="s">
        <v>74</v>
      </c>
      <c r="I828" t="s">
        <v>7199</v>
      </c>
      <c r="J828" t="s">
        <v>6623</v>
      </c>
      <c r="K828" t="s">
        <v>74</v>
      </c>
      <c r="L828" t="s">
        <v>74</v>
      </c>
      <c r="M828" t="s">
        <v>74</v>
      </c>
      <c r="N828" t="s">
        <v>74</v>
      </c>
      <c r="O828" t="s">
        <v>74</v>
      </c>
      <c r="P828" t="s">
        <v>74</v>
      </c>
      <c r="Q828" t="s">
        <v>74</v>
      </c>
      <c r="R828" t="s">
        <v>74</v>
      </c>
      <c r="S828" t="s">
        <v>74</v>
      </c>
      <c r="T828" t="s">
        <v>74</v>
      </c>
      <c r="U828" t="s">
        <v>74</v>
      </c>
      <c r="V828" t="s">
        <v>7200</v>
      </c>
      <c r="W828" t="s">
        <v>74</v>
      </c>
      <c r="X828" t="s">
        <v>74</v>
      </c>
      <c r="Y828" t="s">
        <v>74</v>
      </c>
      <c r="Z828" t="s">
        <v>74</v>
      </c>
      <c r="AA828" t="s">
        <v>7201</v>
      </c>
      <c r="AB828" t="s">
        <v>74</v>
      </c>
      <c r="AC828" t="s">
        <v>74</v>
      </c>
      <c r="AD828" t="s">
        <v>74</v>
      </c>
      <c r="AE828" t="s">
        <v>74</v>
      </c>
      <c r="AF828" t="s">
        <v>74</v>
      </c>
      <c r="AG828" t="s">
        <v>74</v>
      </c>
      <c r="AH828" t="s">
        <v>74</v>
      </c>
      <c r="AI828" t="s">
        <v>74</v>
      </c>
      <c r="AJ828" t="s">
        <v>74</v>
      </c>
      <c r="AK828" t="s">
        <v>74</v>
      </c>
      <c r="AL828" t="s">
        <v>74</v>
      </c>
      <c r="AM828" t="s">
        <v>74</v>
      </c>
      <c r="AN828" t="s">
        <v>74</v>
      </c>
      <c r="AO828" t="s">
        <v>6627</v>
      </c>
      <c r="AP828" t="s">
        <v>74</v>
      </c>
      <c r="AQ828" t="s">
        <v>74</v>
      </c>
      <c r="AR828" t="s">
        <v>74</v>
      </c>
      <c r="AS828" t="s">
        <v>74</v>
      </c>
      <c r="AT828" t="s">
        <v>4982</v>
      </c>
      <c r="AU828">
        <v>2016</v>
      </c>
      <c r="AV828">
        <v>6</v>
      </c>
      <c r="AW828" t="s">
        <v>74</v>
      </c>
      <c r="AX828" t="s">
        <v>74</v>
      </c>
      <c r="AY828" t="s">
        <v>74</v>
      </c>
      <c r="AZ828" t="s">
        <v>74</v>
      </c>
      <c r="BA828" t="s">
        <v>74</v>
      </c>
      <c r="BB828" t="s">
        <v>74</v>
      </c>
      <c r="BC828" t="s">
        <v>74</v>
      </c>
      <c r="BD828">
        <v>22048</v>
      </c>
      <c r="BE828" t="s">
        <v>7202</v>
      </c>
      <c r="BF828" t="str">
        <f>HYPERLINK("http://dx.doi.org/10.1038/srep22048","http://dx.doi.org/10.1038/srep22048")</f>
        <v>http://dx.doi.org/10.1038/srep22048</v>
      </c>
      <c r="BG828" t="s">
        <v>74</v>
      </c>
      <c r="BH828" t="s">
        <v>74</v>
      </c>
      <c r="BI828" t="s">
        <v>74</v>
      </c>
      <c r="BJ828" t="s">
        <v>74</v>
      </c>
      <c r="BK828" t="s">
        <v>74</v>
      </c>
      <c r="BL828" t="s">
        <v>74</v>
      </c>
      <c r="BM828" t="s">
        <v>74</v>
      </c>
      <c r="BN828">
        <v>26898772</v>
      </c>
      <c r="BO828" t="s">
        <v>74</v>
      </c>
      <c r="BP828" t="s">
        <v>74</v>
      </c>
      <c r="BQ828" t="s">
        <v>74</v>
      </c>
      <c r="BR828" t="s">
        <v>74</v>
      </c>
      <c r="BS828" t="s">
        <v>7203</v>
      </c>
      <c r="BT828" t="str">
        <f>HYPERLINK("https%3A%2F%2Fwww.webofscience.com%2Fwos%2Fwoscc%2Ffull-record%2FWOS:000370518600001","View Full Record in Web of Science")</f>
        <v>View Full Record in Web of Science</v>
      </c>
    </row>
    <row r="829" spans="1:72" x14ac:dyDescent="0.2">
      <c r="A829" t="s">
        <v>72</v>
      </c>
      <c r="B829" t="s">
        <v>7204</v>
      </c>
      <c r="C829" t="s">
        <v>74</v>
      </c>
      <c r="D829" t="s">
        <v>74</v>
      </c>
      <c r="E829" t="s">
        <v>74</v>
      </c>
      <c r="F829" t="s">
        <v>7205</v>
      </c>
      <c r="G829" t="s">
        <v>74</v>
      </c>
      <c r="H829" t="s">
        <v>74</v>
      </c>
      <c r="I829" t="s">
        <v>7206</v>
      </c>
      <c r="J829" t="s">
        <v>352</v>
      </c>
      <c r="K829" t="s">
        <v>74</v>
      </c>
      <c r="L829" t="s">
        <v>74</v>
      </c>
      <c r="M829" t="s">
        <v>74</v>
      </c>
      <c r="N829" t="s">
        <v>74</v>
      </c>
      <c r="O829" t="s">
        <v>74</v>
      </c>
      <c r="P829" t="s">
        <v>74</v>
      </c>
      <c r="Q829" t="s">
        <v>74</v>
      </c>
      <c r="R829" t="s">
        <v>74</v>
      </c>
      <c r="S829" t="s">
        <v>74</v>
      </c>
      <c r="T829" t="s">
        <v>74</v>
      </c>
      <c r="U829" t="s">
        <v>74</v>
      </c>
      <c r="V829" t="s">
        <v>7207</v>
      </c>
      <c r="W829" t="s">
        <v>74</v>
      </c>
      <c r="X829" t="s">
        <v>74</v>
      </c>
      <c r="Y829" t="s">
        <v>74</v>
      </c>
      <c r="Z829" t="s">
        <v>74</v>
      </c>
      <c r="AA829" t="s">
        <v>7208</v>
      </c>
      <c r="AB829" t="s">
        <v>7209</v>
      </c>
      <c r="AC829" t="s">
        <v>74</v>
      </c>
      <c r="AD829" t="s">
        <v>74</v>
      </c>
      <c r="AE829" t="s">
        <v>74</v>
      </c>
      <c r="AF829" t="s">
        <v>74</v>
      </c>
      <c r="AG829" t="s">
        <v>74</v>
      </c>
      <c r="AH829" t="s">
        <v>74</v>
      </c>
      <c r="AI829" t="s">
        <v>74</v>
      </c>
      <c r="AJ829" t="s">
        <v>74</v>
      </c>
      <c r="AK829" t="s">
        <v>74</v>
      </c>
      <c r="AL829" t="s">
        <v>74</v>
      </c>
      <c r="AM829" t="s">
        <v>74</v>
      </c>
      <c r="AN829" t="s">
        <v>74</v>
      </c>
      <c r="AO829" t="s">
        <v>354</v>
      </c>
      <c r="AP829" t="s">
        <v>355</v>
      </c>
      <c r="AQ829" t="s">
        <v>74</v>
      </c>
      <c r="AR829" t="s">
        <v>74</v>
      </c>
      <c r="AS829" t="s">
        <v>74</v>
      </c>
      <c r="AT829" t="s">
        <v>6231</v>
      </c>
      <c r="AU829">
        <v>2016</v>
      </c>
      <c r="AV829">
        <v>6</v>
      </c>
      <c r="AW829">
        <v>3</v>
      </c>
      <c r="AX829" t="s">
        <v>74</v>
      </c>
      <c r="AY829" t="s">
        <v>74</v>
      </c>
      <c r="AZ829" t="s">
        <v>74</v>
      </c>
      <c r="BA829" t="s">
        <v>74</v>
      </c>
      <c r="BB829" t="s">
        <v>74</v>
      </c>
      <c r="BC829" t="s">
        <v>74</v>
      </c>
      <c r="BD829" t="s">
        <v>74</v>
      </c>
      <c r="BE829" t="s">
        <v>7210</v>
      </c>
      <c r="BF829" t="str">
        <f>HYPERLINK("http://dx.doi.org/10.1002/aenm.201501755","http://dx.doi.org/10.1002/aenm.201501755")</f>
        <v>http://dx.doi.org/10.1002/aenm.201501755</v>
      </c>
      <c r="BG829" t="s">
        <v>74</v>
      </c>
      <c r="BH829" t="s">
        <v>74</v>
      </c>
      <c r="BI829" t="s">
        <v>74</v>
      </c>
      <c r="BJ829" t="s">
        <v>74</v>
      </c>
      <c r="BK829" t="s">
        <v>74</v>
      </c>
      <c r="BL829" t="s">
        <v>74</v>
      </c>
      <c r="BM829" t="s">
        <v>74</v>
      </c>
      <c r="BN829" t="s">
        <v>74</v>
      </c>
      <c r="BO829" t="s">
        <v>74</v>
      </c>
      <c r="BP829" t="s">
        <v>74</v>
      </c>
      <c r="BQ829" t="s">
        <v>74</v>
      </c>
      <c r="BR829" t="s">
        <v>74</v>
      </c>
      <c r="BS829" t="s">
        <v>7211</v>
      </c>
      <c r="BT829" t="str">
        <f>HYPERLINK("https%3A%2F%2Fwww.webofscience.com%2Fwos%2Fwoscc%2Ffull-record%2FWOS:000370004900010","View Full Record in Web of Science")</f>
        <v>View Full Record in Web of Science</v>
      </c>
    </row>
    <row r="830" spans="1:72" x14ac:dyDescent="0.2">
      <c r="A830" t="s">
        <v>72</v>
      </c>
      <c r="B830" t="s">
        <v>7212</v>
      </c>
      <c r="C830" t="s">
        <v>74</v>
      </c>
      <c r="D830" t="s">
        <v>74</v>
      </c>
      <c r="E830" t="s">
        <v>74</v>
      </c>
      <c r="F830" t="s">
        <v>7213</v>
      </c>
      <c r="G830" t="s">
        <v>74</v>
      </c>
      <c r="H830" t="s">
        <v>74</v>
      </c>
      <c r="I830" t="s">
        <v>7214</v>
      </c>
      <c r="J830" t="s">
        <v>665</v>
      </c>
      <c r="K830" t="s">
        <v>74</v>
      </c>
      <c r="L830" t="s">
        <v>74</v>
      </c>
      <c r="M830" t="s">
        <v>74</v>
      </c>
      <c r="N830" t="s">
        <v>74</v>
      </c>
      <c r="O830" t="s">
        <v>7215</v>
      </c>
      <c r="P830" t="s">
        <v>7216</v>
      </c>
      <c r="Q830" t="s">
        <v>7217</v>
      </c>
      <c r="R830" t="s">
        <v>7218</v>
      </c>
      <c r="S830" t="s">
        <v>74</v>
      </c>
      <c r="T830" t="s">
        <v>74</v>
      </c>
      <c r="U830" t="s">
        <v>74</v>
      </c>
      <c r="V830" t="s">
        <v>7219</v>
      </c>
      <c r="W830" t="s">
        <v>74</v>
      </c>
      <c r="X830" t="s">
        <v>74</v>
      </c>
      <c r="Y830" t="s">
        <v>74</v>
      </c>
      <c r="Z830" t="s">
        <v>74</v>
      </c>
      <c r="AA830" t="s">
        <v>7220</v>
      </c>
      <c r="AB830" t="s">
        <v>7221</v>
      </c>
      <c r="AC830" t="s">
        <v>74</v>
      </c>
      <c r="AD830" t="s">
        <v>74</v>
      </c>
      <c r="AE830" t="s">
        <v>74</v>
      </c>
      <c r="AF830" t="s">
        <v>74</v>
      </c>
      <c r="AG830" t="s">
        <v>74</v>
      </c>
      <c r="AH830" t="s">
        <v>74</v>
      </c>
      <c r="AI830" t="s">
        <v>74</v>
      </c>
      <c r="AJ830" t="s">
        <v>74</v>
      </c>
      <c r="AK830" t="s">
        <v>74</v>
      </c>
      <c r="AL830" t="s">
        <v>74</v>
      </c>
      <c r="AM830" t="s">
        <v>74</v>
      </c>
      <c r="AN830" t="s">
        <v>74</v>
      </c>
      <c r="AO830" t="s">
        <v>668</v>
      </c>
      <c r="AP830" t="s">
        <v>669</v>
      </c>
      <c r="AQ830" t="s">
        <v>74</v>
      </c>
      <c r="AR830" t="s">
        <v>74</v>
      </c>
      <c r="AS830" t="s">
        <v>74</v>
      </c>
      <c r="AT830" t="s">
        <v>1026</v>
      </c>
      <c r="AU830">
        <v>2016</v>
      </c>
      <c r="AV830">
        <v>285</v>
      </c>
      <c r="AW830" t="s">
        <v>74</v>
      </c>
      <c r="AX830" t="s">
        <v>74</v>
      </c>
      <c r="AY830" t="s">
        <v>74</v>
      </c>
      <c r="AZ830" t="s">
        <v>2280</v>
      </c>
      <c r="BA830" t="s">
        <v>74</v>
      </c>
      <c r="BB830">
        <v>47</v>
      </c>
      <c r="BC830">
        <v>50</v>
      </c>
      <c r="BD830" t="s">
        <v>74</v>
      </c>
      <c r="BE830" t="s">
        <v>7222</v>
      </c>
      <c r="BF830" t="str">
        <f>HYPERLINK("http://dx.doi.org/10.1016/j.ssi.2015.06.004","http://dx.doi.org/10.1016/j.ssi.2015.06.004")</f>
        <v>http://dx.doi.org/10.1016/j.ssi.2015.06.004</v>
      </c>
      <c r="BG830" t="s">
        <v>74</v>
      </c>
      <c r="BH830" t="s">
        <v>74</v>
      </c>
      <c r="BI830" t="s">
        <v>74</v>
      </c>
      <c r="BJ830" t="s">
        <v>74</v>
      </c>
      <c r="BK830" t="s">
        <v>74</v>
      </c>
      <c r="BL830" t="s">
        <v>74</v>
      </c>
      <c r="BM830" t="s">
        <v>74</v>
      </c>
      <c r="BN830" t="s">
        <v>74</v>
      </c>
      <c r="BO830" t="s">
        <v>74</v>
      </c>
      <c r="BP830" t="s">
        <v>74</v>
      </c>
      <c r="BQ830" t="s">
        <v>74</v>
      </c>
      <c r="BR830" t="s">
        <v>74</v>
      </c>
      <c r="BS830" t="s">
        <v>7223</v>
      </c>
      <c r="BT830" t="str">
        <f>HYPERLINK("https%3A%2F%2Fwww.webofscience.com%2Fwos%2Fwoscc%2Ffull-record%2FWOS:000370901500010","View Full Record in Web of Science")</f>
        <v>View Full Record in Web of Science</v>
      </c>
    </row>
    <row r="831" spans="1:72" x14ac:dyDescent="0.2">
      <c r="A831" t="s">
        <v>72</v>
      </c>
      <c r="B831" t="s">
        <v>7224</v>
      </c>
      <c r="C831" t="s">
        <v>74</v>
      </c>
      <c r="D831" t="s">
        <v>74</v>
      </c>
      <c r="E831" t="s">
        <v>74</v>
      </c>
      <c r="F831" t="s">
        <v>7225</v>
      </c>
      <c r="G831" t="s">
        <v>74</v>
      </c>
      <c r="H831" t="s">
        <v>74</v>
      </c>
      <c r="I831" t="s">
        <v>7226</v>
      </c>
      <c r="J831" t="s">
        <v>231</v>
      </c>
      <c r="K831" t="s">
        <v>74</v>
      </c>
      <c r="L831" t="s">
        <v>74</v>
      </c>
      <c r="M831" t="s">
        <v>74</v>
      </c>
      <c r="N831" t="s">
        <v>74</v>
      </c>
      <c r="O831" t="s">
        <v>74</v>
      </c>
      <c r="P831" t="s">
        <v>74</v>
      </c>
      <c r="Q831" t="s">
        <v>74</v>
      </c>
      <c r="R831" t="s">
        <v>74</v>
      </c>
      <c r="S831" t="s">
        <v>74</v>
      </c>
      <c r="T831" t="s">
        <v>74</v>
      </c>
      <c r="U831" t="s">
        <v>74</v>
      </c>
      <c r="V831" t="s">
        <v>7227</v>
      </c>
      <c r="W831" t="s">
        <v>74</v>
      </c>
      <c r="X831" t="s">
        <v>74</v>
      </c>
      <c r="Y831" t="s">
        <v>74</v>
      </c>
      <c r="Z831" t="s">
        <v>74</v>
      </c>
      <c r="AA831" t="s">
        <v>7228</v>
      </c>
      <c r="AB831" t="s">
        <v>74</v>
      </c>
      <c r="AC831" t="s">
        <v>74</v>
      </c>
      <c r="AD831" t="s">
        <v>74</v>
      </c>
      <c r="AE831" t="s">
        <v>74</v>
      </c>
      <c r="AF831" t="s">
        <v>74</v>
      </c>
      <c r="AG831" t="s">
        <v>74</v>
      </c>
      <c r="AH831" t="s">
        <v>74</v>
      </c>
      <c r="AI831" t="s">
        <v>74</v>
      </c>
      <c r="AJ831" t="s">
        <v>74</v>
      </c>
      <c r="AK831" t="s">
        <v>74</v>
      </c>
      <c r="AL831" t="s">
        <v>74</v>
      </c>
      <c r="AM831" t="s">
        <v>74</v>
      </c>
      <c r="AN831" t="s">
        <v>74</v>
      </c>
      <c r="AO831" t="s">
        <v>1363</v>
      </c>
      <c r="AP831" t="s">
        <v>234</v>
      </c>
      <c r="AQ831" t="s">
        <v>74</v>
      </c>
      <c r="AR831" t="s">
        <v>74</v>
      </c>
      <c r="AS831" t="s">
        <v>74</v>
      </c>
      <c r="AT831" t="s">
        <v>7229</v>
      </c>
      <c r="AU831">
        <v>2016</v>
      </c>
      <c r="AV831">
        <v>55</v>
      </c>
      <c r="AW831">
        <v>5</v>
      </c>
      <c r="AX831" t="s">
        <v>74</v>
      </c>
      <c r="AY831" t="s">
        <v>74</v>
      </c>
      <c r="AZ831" t="s">
        <v>74</v>
      </c>
      <c r="BA831" t="s">
        <v>74</v>
      </c>
      <c r="BB831">
        <v>1737</v>
      </c>
      <c r="BC831">
        <v>1741</v>
      </c>
      <c r="BD831" t="s">
        <v>74</v>
      </c>
      <c r="BE831" t="s">
        <v>7230</v>
      </c>
      <c r="BF831" t="str">
        <f>HYPERLINK("http://dx.doi.org/10.1002/anie.201509014","http://dx.doi.org/10.1002/anie.201509014")</f>
        <v>http://dx.doi.org/10.1002/anie.201509014</v>
      </c>
      <c r="BG831" t="s">
        <v>74</v>
      </c>
      <c r="BH831" t="s">
        <v>74</v>
      </c>
      <c r="BI831" t="s">
        <v>74</v>
      </c>
      <c r="BJ831" t="s">
        <v>74</v>
      </c>
      <c r="BK831" t="s">
        <v>74</v>
      </c>
      <c r="BL831" t="s">
        <v>74</v>
      </c>
      <c r="BM831" t="s">
        <v>74</v>
      </c>
      <c r="BN831">
        <v>26696304</v>
      </c>
      <c r="BO831" t="s">
        <v>74</v>
      </c>
      <c r="BP831" t="s">
        <v>74</v>
      </c>
      <c r="BQ831" t="s">
        <v>74</v>
      </c>
      <c r="BR831" t="s">
        <v>74</v>
      </c>
      <c r="BS831" t="s">
        <v>7231</v>
      </c>
      <c r="BT831" t="str">
        <f>HYPERLINK("https%3A%2F%2Fwww.webofscience.com%2Fwos%2Fwoscc%2Ffull-record%2FWOS:000369854000023","View Full Record in Web of Science")</f>
        <v>View Full Record in Web of Science</v>
      </c>
    </row>
    <row r="832" spans="1:72" x14ac:dyDescent="0.2">
      <c r="A832" t="s">
        <v>72</v>
      </c>
      <c r="B832" t="s">
        <v>7232</v>
      </c>
      <c r="C832" t="s">
        <v>74</v>
      </c>
      <c r="D832" t="s">
        <v>74</v>
      </c>
      <c r="E832" t="s">
        <v>74</v>
      </c>
      <c r="F832" t="s">
        <v>7233</v>
      </c>
      <c r="G832" t="s">
        <v>74</v>
      </c>
      <c r="H832" t="s">
        <v>74</v>
      </c>
      <c r="I832" t="s">
        <v>7234</v>
      </c>
      <c r="J832" t="s">
        <v>278</v>
      </c>
      <c r="K832" t="s">
        <v>74</v>
      </c>
      <c r="L832" t="s">
        <v>74</v>
      </c>
      <c r="M832" t="s">
        <v>74</v>
      </c>
      <c r="N832" t="s">
        <v>74</v>
      </c>
      <c r="O832" t="s">
        <v>74</v>
      </c>
      <c r="P832" t="s">
        <v>74</v>
      </c>
      <c r="Q832" t="s">
        <v>74</v>
      </c>
      <c r="R832" t="s">
        <v>74</v>
      </c>
      <c r="S832" t="s">
        <v>74</v>
      </c>
      <c r="T832" t="s">
        <v>74</v>
      </c>
      <c r="U832" t="s">
        <v>74</v>
      </c>
      <c r="V832" t="s">
        <v>7235</v>
      </c>
      <c r="W832" t="s">
        <v>74</v>
      </c>
      <c r="X832" t="s">
        <v>74</v>
      </c>
      <c r="Y832" t="s">
        <v>74</v>
      </c>
      <c r="Z832" t="s">
        <v>74</v>
      </c>
      <c r="AA832" t="s">
        <v>7236</v>
      </c>
      <c r="AB832" t="s">
        <v>74</v>
      </c>
      <c r="AC832" t="s">
        <v>74</v>
      </c>
      <c r="AD832" t="s">
        <v>74</v>
      </c>
      <c r="AE832" t="s">
        <v>74</v>
      </c>
      <c r="AF832" t="s">
        <v>74</v>
      </c>
      <c r="AG832" t="s">
        <v>74</v>
      </c>
      <c r="AH832" t="s">
        <v>74</v>
      </c>
      <c r="AI832" t="s">
        <v>74</v>
      </c>
      <c r="AJ832" t="s">
        <v>74</v>
      </c>
      <c r="AK832" t="s">
        <v>74</v>
      </c>
      <c r="AL832" t="s">
        <v>74</v>
      </c>
      <c r="AM832" t="s">
        <v>74</v>
      </c>
      <c r="AN832" t="s">
        <v>74</v>
      </c>
      <c r="AO832" t="s">
        <v>281</v>
      </c>
      <c r="AP832" t="s">
        <v>282</v>
      </c>
      <c r="AQ832" t="s">
        <v>74</v>
      </c>
      <c r="AR832" t="s">
        <v>74</v>
      </c>
      <c r="AS832" t="s">
        <v>74</v>
      </c>
      <c r="AT832" t="s">
        <v>74</v>
      </c>
      <c r="AU832">
        <v>2016</v>
      </c>
      <c r="AV832">
        <v>4</v>
      </c>
      <c r="AW832">
        <v>40</v>
      </c>
      <c r="AX832" t="s">
        <v>74</v>
      </c>
      <c r="AY832" t="s">
        <v>74</v>
      </c>
      <c r="AZ832" t="s">
        <v>74</v>
      </c>
      <c r="BA832" t="s">
        <v>74</v>
      </c>
      <c r="BB832">
        <v>15589</v>
      </c>
      <c r="BC832">
        <v>15596</v>
      </c>
      <c r="BD832" t="s">
        <v>74</v>
      </c>
      <c r="BE832" t="s">
        <v>7237</v>
      </c>
      <c r="BF832" t="str">
        <f>HYPERLINK("http://dx.doi.org/10.1039/c6ta06317a","http://dx.doi.org/10.1039/c6ta06317a")</f>
        <v>http://dx.doi.org/10.1039/c6ta06317a</v>
      </c>
      <c r="BG832" t="s">
        <v>74</v>
      </c>
      <c r="BH832" t="s">
        <v>74</v>
      </c>
      <c r="BI832" t="s">
        <v>74</v>
      </c>
      <c r="BJ832" t="s">
        <v>74</v>
      </c>
      <c r="BK832" t="s">
        <v>74</v>
      </c>
      <c r="BL832" t="s">
        <v>74</v>
      </c>
      <c r="BM832" t="s">
        <v>74</v>
      </c>
      <c r="BN832" t="s">
        <v>74</v>
      </c>
      <c r="BO832" t="s">
        <v>74</v>
      </c>
      <c r="BP832" t="s">
        <v>74</v>
      </c>
      <c r="BQ832" t="s">
        <v>74</v>
      </c>
      <c r="BR832" t="s">
        <v>74</v>
      </c>
      <c r="BS832" t="s">
        <v>7238</v>
      </c>
      <c r="BT832" t="str">
        <f>HYPERLINK("https%3A%2F%2Fwww.webofscience.com%2Fwos%2Fwoscc%2Ffull-record%2FWOS:000386310600037","View Full Record in Web of Science")</f>
        <v>View Full Record in Web of Science</v>
      </c>
    </row>
    <row r="833" spans="1:72" x14ac:dyDescent="0.2">
      <c r="A833" t="s">
        <v>72</v>
      </c>
      <c r="B833" t="s">
        <v>7239</v>
      </c>
      <c r="C833" t="s">
        <v>74</v>
      </c>
      <c r="D833" t="s">
        <v>74</v>
      </c>
      <c r="E833" t="s">
        <v>74</v>
      </c>
      <c r="F833" t="s">
        <v>7240</v>
      </c>
      <c r="G833" t="s">
        <v>74</v>
      </c>
      <c r="H833" t="s">
        <v>74</v>
      </c>
      <c r="I833" t="s">
        <v>7241</v>
      </c>
      <c r="J833" t="s">
        <v>1293</v>
      </c>
      <c r="K833" t="s">
        <v>74</v>
      </c>
      <c r="L833" t="s">
        <v>74</v>
      </c>
      <c r="M833" t="s">
        <v>74</v>
      </c>
      <c r="N833" t="s">
        <v>74</v>
      </c>
      <c r="O833" t="s">
        <v>74</v>
      </c>
      <c r="P833" t="s">
        <v>74</v>
      </c>
      <c r="Q833" t="s">
        <v>74</v>
      </c>
      <c r="R833" t="s">
        <v>74</v>
      </c>
      <c r="S833" t="s">
        <v>74</v>
      </c>
      <c r="T833" t="s">
        <v>74</v>
      </c>
      <c r="U833" t="s">
        <v>74</v>
      </c>
      <c r="V833" t="s">
        <v>7242</v>
      </c>
      <c r="W833" t="s">
        <v>74</v>
      </c>
      <c r="X833" t="s">
        <v>74</v>
      </c>
      <c r="Y833" t="s">
        <v>74</v>
      </c>
      <c r="Z833" t="s">
        <v>74</v>
      </c>
      <c r="AA833" t="s">
        <v>7243</v>
      </c>
      <c r="AB833" t="s">
        <v>7244</v>
      </c>
      <c r="AC833" t="s">
        <v>74</v>
      </c>
      <c r="AD833" t="s">
        <v>74</v>
      </c>
      <c r="AE833" t="s">
        <v>74</v>
      </c>
      <c r="AF833" t="s">
        <v>74</v>
      </c>
      <c r="AG833" t="s">
        <v>74</v>
      </c>
      <c r="AH833" t="s">
        <v>74</v>
      </c>
      <c r="AI833" t="s">
        <v>74</v>
      </c>
      <c r="AJ833" t="s">
        <v>74</v>
      </c>
      <c r="AK833" t="s">
        <v>74</v>
      </c>
      <c r="AL833" t="s">
        <v>74</v>
      </c>
      <c r="AM833" t="s">
        <v>74</v>
      </c>
      <c r="AN833" t="s">
        <v>74</v>
      </c>
      <c r="AO833" t="s">
        <v>1297</v>
      </c>
      <c r="AP833" t="s">
        <v>1298</v>
      </c>
      <c r="AQ833" t="s">
        <v>74</v>
      </c>
      <c r="AR833" t="s">
        <v>74</v>
      </c>
      <c r="AS833" t="s">
        <v>74</v>
      </c>
      <c r="AT833" t="s">
        <v>74</v>
      </c>
      <c r="AU833">
        <v>2016</v>
      </c>
      <c r="AV833">
        <v>163</v>
      </c>
      <c r="AW833">
        <v>5</v>
      </c>
      <c r="AX833" t="s">
        <v>74</v>
      </c>
      <c r="AY833" t="s">
        <v>74</v>
      </c>
      <c r="AZ833" t="s">
        <v>74</v>
      </c>
      <c r="BA833" t="s">
        <v>74</v>
      </c>
      <c r="BB833" t="s">
        <v>7245</v>
      </c>
      <c r="BC833" t="s">
        <v>7246</v>
      </c>
      <c r="BD833" t="s">
        <v>74</v>
      </c>
      <c r="BE833" t="s">
        <v>7247</v>
      </c>
      <c r="BF833" t="str">
        <f>HYPERLINK("http://dx.doi.org/10.1149/2.1091605jes","http://dx.doi.org/10.1149/2.1091605jes")</f>
        <v>http://dx.doi.org/10.1149/2.1091605jes</v>
      </c>
      <c r="BG833" t="s">
        <v>74</v>
      </c>
      <c r="BH833" t="s">
        <v>74</v>
      </c>
      <c r="BI833" t="s">
        <v>74</v>
      </c>
      <c r="BJ833" t="s">
        <v>74</v>
      </c>
      <c r="BK833" t="s">
        <v>74</v>
      </c>
      <c r="BL833" t="s">
        <v>74</v>
      </c>
      <c r="BM833" t="s">
        <v>74</v>
      </c>
      <c r="BN833" t="s">
        <v>74</v>
      </c>
      <c r="BO833" t="s">
        <v>74</v>
      </c>
      <c r="BP833" t="s">
        <v>74</v>
      </c>
      <c r="BQ833" t="s">
        <v>74</v>
      </c>
      <c r="BR833" t="s">
        <v>74</v>
      </c>
      <c r="BS833" t="s">
        <v>7248</v>
      </c>
      <c r="BT833" t="str">
        <f>HYPERLINK("https%3A%2F%2Fwww.webofscience.com%2Fwos%2Fwoscc%2Ffull-record%2FWOS:000370866700026","View Full Record in Web of Science")</f>
        <v>View Full Record in Web of Science</v>
      </c>
    </row>
    <row r="834" spans="1:72" x14ac:dyDescent="0.2">
      <c r="A834" t="s">
        <v>72</v>
      </c>
      <c r="B834" t="s">
        <v>7249</v>
      </c>
      <c r="C834" t="s">
        <v>74</v>
      </c>
      <c r="D834" t="s">
        <v>74</v>
      </c>
      <c r="E834" t="s">
        <v>74</v>
      </c>
      <c r="F834" t="s">
        <v>7250</v>
      </c>
      <c r="G834" t="s">
        <v>74</v>
      </c>
      <c r="H834" t="s">
        <v>74</v>
      </c>
      <c r="I834" t="s">
        <v>7251</v>
      </c>
      <c r="J834" t="s">
        <v>1293</v>
      </c>
      <c r="K834" t="s">
        <v>74</v>
      </c>
      <c r="L834" t="s">
        <v>74</v>
      </c>
      <c r="M834" t="s">
        <v>74</v>
      </c>
      <c r="N834" t="s">
        <v>74</v>
      </c>
      <c r="O834" t="s">
        <v>74</v>
      </c>
      <c r="P834" t="s">
        <v>74</v>
      </c>
      <c r="Q834" t="s">
        <v>74</v>
      </c>
      <c r="R834" t="s">
        <v>74</v>
      </c>
      <c r="S834" t="s">
        <v>74</v>
      </c>
      <c r="T834" t="s">
        <v>74</v>
      </c>
      <c r="U834" t="s">
        <v>74</v>
      </c>
      <c r="V834" t="s">
        <v>7252</v>
      </c>
      <c r="W834" t="s">
        <v>74</v>
      </c>
      <c r="X834" t="s">
        <v>74</v>
      </c>
      <c r="Y834" t="s">
        <v>74</v>
      </c>
      <c r="Z834" t="s">
        <v>74</v>
      </c>
      <c r="AA834" t="s">
        <v>7253</v>
      </c>
      <c r="AB834" t="s">
        <v>7254</v>
      </c>
      <c r="AC834" t="s">
        <v>74</v>
      </c>
      <c r="AD834" t="s">
        <v>74</v>
      </c>
      <c r="AE834" t="s">
        <v>74</v>
      </c>
      <c r="AF834" t="s">
        <v>74</v>
      </c>
      <c r="AG834" t="s">
        <v>74</v>
      </c>
      <c r="AH834" t="s">
        <v>74</v>
      </c>
      <c r="AI834" t="s">
        <v>74</v>
      </c>
      <c r="AJ834" t="s">
        <v>74</v>
      </c>
      <c r="AK834" t="s">
        <v>74</v>
      </c>
      <c r="AL834" t="s">
        <v>74</v>
      </c>
      <c r="AM834" t="s">
        <v>74</v>
      </c>
      <c r="AN834" t="s">
        <v>74</v>
      </c>
      <c r="AO834" t="s">
        <v>1297</v>
      </c>
      <c r="AP834" t="s">
        <v>1298</v>
      </c>
      <c r="AQ834" t="s">
        <v>74</v>
      </c>
      <c r="AR834" t="s">
        <v>74</v>
      </c>
      <c r="AS834" t="s">
        <v>74</v>
      </c>
      <c r="AT834" t="s">
        <v>74</v>
      </c>
      <c r="AU834">
        <v>2016</v>
      </c>
      <c r="AV834">
        <v>163</v>
      </c>
      <c r="AW834">
        <v>8</v>
      </c>
      <c r="AX834" t="s">
        <v>74</v>
      </c>
      <c r="AY834" t="s">
        <v>74</v>
      </c>
      <c r="AZ834" t="s">
        <v>74</v>
      </c>
      <c r="BA834" t="s">
        <v>74</v>
      </c>
      <c r="BB834" t="s">
        <v>7255</v>
      </c>
      <c r="BC834" t="s">
        <v>7256</v>
      </c>
      <c r="BD834" t="s">
        <v>74</v>
      </c>
      <c r="BE834" t="s">
        <v>7257</v>
      </c>
      <c r="BF834" t="str">
        <f>HYPERLINK("http://dx.doi.org/10.1149/2.0871608jes","http://dx.doi.org/10.1149/2.0871608jes")</f>
        <v>http://dx.doi.org/10.1149/2.0871608jes</v>
      </c>
      <c r="BG834" t="s">
        <v>74</v>
      </c>
      <c r="BH834" t="s">
        <v>74</v>
      </c>
      <c r="BI834" t="s">
        <v>74</v>
      </c>
      <c r="BJ834" t="s">
        <v>74</v>
      </c>
      <c r="BK834" t="s">
        <v>74</v>
      </c>
      <c r="BL834" t="s">
        <v>74</v>
      </c>
      <c r="BM834" t="s">
        <v>74</v>
      </c>
      <c r="BN834" t="s">
        <v>74</v>
      </c>
      <c r="BO834" t="s">
        <v>74</v>
      </c>
      <c r="BP834" t="s">
        <v>74</v>
      </c>
      <c r="BQ834" t="s">
        <v>74</v>
      </c>
      <c r="BR834" t="s">
        <v>74</v>
      </c>
      <c r="BS834" t="s">
        <v>7258</v>
      </c>
      <c r="BT834" t="str">
        <f>HYPERLINK("https%3A%2F%2Fwww.webofscience.com%2Fwos%2Fwoscc%2Ffull-record%2FWOS:000379688000019","View Full Record in Web of Science")</f>
        <v>View Full Record in Web of Science</v>
      </c>
    </row>
    <row r="835" spans="1:72" x14ac:dyDescent="0.2">
      <c r="A835" t="s">
        <v>72</v>
      </c>
      <c r="B835" t="s">
        <v>7259</v>
      </c>
      <c r="C835" t="s">
        <v>74</v>
      </c>
      <c r="D835" t="s">
        <v>74</v>
      </c>
      <c r="E835" t="s">
        <v>74</v>
      </c>
      <c r="F835" t="s">
        <v>7260</v>
      </c>
      <c r="G835" t="s">
        <v>74</v>
      </c>
      <c r="H835" t="s">
        <v>74</v>
      </c>
      <c r="I835" t="s">
        <v>7261</v>
      </c>
      <c r="J835" t="s">
        <v>1293</v>
      </c>
      <c r="K835" t="s">
        <v>74</v>
      </c>
      <c r="L835" t="s">
        <v>74</v>
      </c>
      <c r="M835" t="s">
        <v>74</v>
      </c>
      <c r="N835" t="s">
        <v>74</v>
      </c>
      <c r="O835" t="s">
        <v>74</v>
      </c>
      <c r="P835" t="s">
        <v>74</v>
      </c>
      <c r="Q835" t="s">
        <v>74</v>
      </c>
      <c r="R835" t="s">
        <v>74</v>
      </c>
      <c r="S835" t="s">
        <v>74</v>
      </c>
      <c r="T835" t="s">
        <v>74</v>
      </c>
      <c r="U835" t="s">
        <v>74</v>
      </c>
      <c r="V835" t="s">
        <v>7262</v>
      </c>
      <c r="W835" t="s">
        <v>74</v>
      </c>
      <c r="X835" t="s">
        <v>74</v>
      </c>
      <c r="Y835" t="s">
        <v>74</v>
      </c>
      <c r="Z835" t="s">
        <v>74</v>
      </c>
      <c r="AA835" t="s">
        <v>7061</v>
      </c>
      <c r="AB835" t="s">
        <v>6926</v>
      </c>
      <c r="AC835" t="s">
        <v>74</v>
      </c>
      <c r="AD835" t="s">
        <v>74</v>
      </c>
      <c r="AE835" t="s">
        <v>74</v>
      </c>
      <c r="AF835" t="s">
        <v>74</v>
      </c>
      <c r="AG835" t="s">
        <v>74</v>
      </c>
      <c r="AH835" t="s">
        <v>74</v>
      </c>
      <c r="AI835" t="s">
        <v>74</v>
      </c>
      <c r="AJ835" t="s">
        <v>74</v>
      </c>
      <c r="AK835" t="s">
        <v>74</v>
      </c>
      <c r="AL835" t="s">
        <v>74</v>
      </c>
      <c r="AM835" t="s">
        <v>74</v>
      </c>
      <c r="AN835" t="s">
        <v>74</v>
      </c>
      <c r="AO835" t="s">
        <v>1297</v>
      </c>
      <c r="AP835" t="s">
        <v>1298</v>
      </c>
      <c r="AQ835" t="s">
        <v>74</v>
      </c>
      <c r="AR835" t="s">
        <v>74</v>
      </c>
      <c r="AS835" t="s">
        <v>74</v>
      </c>
      <c r="AT835" t="s">
        <v>74</v>
      </c>
      <c r="AU835">
        <v>2016</v>
      </c>
      <c r="AV835">
        <v>163</v>
      </c>
      <c r="AW835">
        <v>9</v>
      </c>
      <c r="AX835" t="s">
        <v>74</v>
      </c>
      <c r="AY835" t="s">
        <v>74</v>
      </c>
      <c r="AZ835" t="s">
        <v>74</v>
      </c>
      <c r="BA835" t="s">
        <v>74</v>
      </c>
      <c r="BB835" t="s">
        <v>7263</v>
      </c>
      <c r="BC835" t="s">
        <v>7264</v>
      </c>
      <c r="BD835" t="s">
        <v>74</v>
      </c>
      <c r="BE835" t="s">
        <v>7265</v>
      </c>
      <c r="BF835" t="str">
        <f>HYPERLINK("http://dx.doi.org/10.1149/2.0041610jes","http://dx.doi.org/10.1149/2.0041610jes")</f>
        <v>http://dx.doi.org/10.1149/2.0041610jes</v>
      </c>
      <c r="BG835" t="s">
        <v>74</v>
      </c>
      <c r="BH835" t="s">
        <v>74</v>
      </c>
      <c r="BI835" t="s">
        <v>74</v>
      </c>
      <c r="BJ835" t="s">
        <v>74</v>
      </c>
      <c r="BK835" t="s">
        <v>74</v>
      </c>
      <c r="BL835" t="s">
        <v>74</v>
      </c>
      <c r="BM835" t="s">
        <v>74</v>
      </c>
      <c r="BN835" t="s">
        <v>74</v>
      </c>
      <c r="BO835" t="s">
        <v>74</v>
      </c>
      <c r="BP835" t="s">
        <v>74</v>
      </c>
      <c r="BQ835" t="s">
        <v>74</v>
      </c>
      <c r="BR835" t="s">
        <v>74</v>
      </c>
      <c r="BS835" t="s">
        <v>7266</v>
      </c>
      <c r="BT835" t="str">
        <f>HYPERLINK("https%3A%2F%2Fwww.webofscience.com%2Fwos%2Fwoscc%2Ffull-record%2FWOS:000388988100044","View Full Record in Web of Science")</f>
        <v>View Full Record in Web of Science</v>
      </c>
    </row>
    <row r="836" spans="1:72" x14ac:dyDescent="0.2">
      <c r="A836" t="s">
        <v>72</v>
      </c>
      <c r="B836" t="s">
        <v>7267</v>
      </c>
      <c r="C836" t="s">
        <v>74</v>
      </c>
      <c r="D836" t="s">
        <v>74</v>
      </c>
      <c r="E836" t="s">
        <v>74</v>
      </c>
      <c r="F836" t="s">
        <v>7268</v>
      </c>
      <c r="G836" t="s">
        <v>74</v>
      </c>
      <c r="H836" t="s">
        <v>74</v>
      </c>
      <c r="I836" t="s">
        <v>7269</v>
      </c>
      <c r="J836" t="s">
        <v>1293</v>
      </c>
      <c r="K836" t="s">
        <v>74</v>
      </c>
      <c r="L836" t="s">
        <v>74</v>
      </c>
      <c r="M836" t="s">
        <v>74</v>
      </c>
      <c r="N836" t="s">
        <v>74</v>
      </c>
      <c r="O836" t="s">
        <v>74</v>
      </c>
      <c r="P836" t="s">
        <v>74</v>
      </c>
      <c r="Q836" t="s">
        <v>74</v>
      </c>
      <c r="R836" t="s">
        <v>74</v>
      </c>
      <c r="S836" t="s">
        <v>74</v>
      </c>
      <c r="T836" t="s">
        <v>74</v>
      </c>
      <c r="U836" t="s">
        <v>74</v>
      </c>
      <c r="V836" t="s">
        <v>7270</v>
      </c>
      <c r="W836" t="s">
        <v>74</v>
      </c>
      <c r="X836" t="s">
        <v>74</v>
      </c>
      <c r="Y836" t="s">
        <v>74</v>
      </c>
      <c r="Z836" t="s">
        <v>74</v>
      </c>
      <c r="AA836" t="s">
        <v>7061</v>
      </c>
      <c r="AB836" t="s">
        <v>6926</v>
      </c>
      <c r="AC836" t="s">
        <v>74</v>
      </c>
      <c r="AD836" t="s">
        <v>74</v>
      </c>
      <c r="AE836" t="s">
        <v>74</v>
      </c>
      <c r="AF836" t="s">
        <v>74</v>
      </c>
      <c r="AG836" t="s">
        <v>74</v>
      </c>
      <c r="AH836" t="s">
        <v>74</v>
      </c>
      <c r="AI836" t="s">
        <v>74</v>
      </c>
      <c r="AJ836" t="s">
        <v>74</v>
      </c>
      <c r="AK836" t="s">
        <v>74</v>
      </c>
      <c r="AL836" t="s">
        <v>74</v>
      </c>
      <c r="AM836" t="s">
        <v>74</v>
      </c>
      <c r="AN836" t="s">
        <v>74</v>
      </c>
      <c r="AO836" t="s">
        <v>1297</v>
      </c>
      <c r="AP836" t="s">
        <v>1298</v>
      </c>
      <c r="AQ836" t="s">
        <v>74</v>
      </c>
      <c r="AR836" t="s">
        <v>74</v>
      </c>
      <c r="AS836" t="s">
        <v>74</v>
      </c>
      <c r="AT836" t="s">
        <v>74</v>
      </c>
      <c r="AU836">
        <v>2016</v>
      </c>
      <c r="AV836">
        <v>163</v>
      </c>
      <c r="AW836">
        <v>13</v>
      </c>
      <c r="AX836" t="s">
        <v>74</v>
      </c>
      <c r="AY836" t="s">
        <v>74</v>
      </c>
      <c r="AZ836" t="s">
        <v>74</v>
      </c>
      <c r="BA836" t="s">
        <v>74</v>
      </c>
      <c r="BB836" t="s">
        <v>7271</v>
      </c>
      <c r="BC836" t="s">
        <v>7272</v>
      </c>
      <c r="BD836" t="s">
        <v>74</v>
      </c>
      <c r="BE836" t="s">
        <v>7273</v>
      </c>
      <c r="BF836" t="str">
        <f>HYPERLINK("http://dx.doi.org/10.1149/2.0321613jes","http://dx.doi.org/10.1149/2.0321613jes")</f>
        <v>http://dx.doi.org/10.1149/2.0321613jes</v>
      </c>
      <c r="BG836" t="s">
        <v>74</v>
      </c>
      <c r="BH836" t="s">
        <v>74</v>
      </c>
      <c r="BI836" t="s">
        <v>74</v>
      </c>
      <c r="BJ836" t="s">
        <v>74</v>
      </c>
      <c r="BK836" t="s">
        <v>74</v>
      </c>
      <c r="BL836" t="s">
        <v>74</v>
      </c>
      <c r="BM836" t="s">
        <v>74</v>
      </c>
      <c r="BN836" t="s">
        <v>74</v>
      </c>
      <c r="BO836" t="s">
        <v>74</v>
      </c>
      <c r="BP836" t="s">
        <v>74</v>
      </c>
      <c r="BQ836" t="s">
        <v>74</v>
      </c>
      <c r="BR836" t="s">
        <v>74</v>
      </c>
      <c r="BS836" t="s">
        <v>7274</v>
      </c>
      <c r="BT836" t="str">
        <f>HYPERLINK("https%3A%2F%2Fwww.webofscience.com%2Fwos%2Fwoscc%2Ffull-record%2FWOS:000389155900012","View Full Record in Web of Science")</f>
        <v>View Full Record in Web of Science</v>
      </c>
    </row>
    <row r="837" spans="1:72" x14ac:dyDescent="0.2">
      <c r="A837" t="s">
        <v>72</v>
      </c>
      <c r="B837" t="s">
        <v>7275</v>
      </c>
      <c r="C837" t="s">
        <v>74</v>
      </c>
      <c r="D837" t="s">
        <v>74</v>
      </c>
      <c r="E837" t="s">
        <v>74</v>
      </c>
      <c r="F837" t="s">
        <v>7276</v>
      </c>
      <c r="G837" t="s">
        <v>74</v>
      </c>
      <c r="H837" t="s">
        <v>74</v>
      </c>
      <c r="I837" t="s">
        <v>7277</v>
      </c>
      <c r="J837" t="s">
        <v>5460</v>
      </c>
      <c r="K837" t="s">
        <v>74</v>
      </c>
      <c r="L837" t="s">
        <v>74</v>
      </c>
      <c r="M837" t="s">
        <v>74</v>
      </c>
      <c r="N837" t="s">
        <v>74</v>
      </c>
      <c r="O837" t="s">
        <v>74</v>
      </c>
      <c r="P837" t="s">
        <v>74</v>
      </c>
      <c r="Q837" t="s">
        <v>74</v>
      </c>
      <c r="R837" t="s">
        <v>74</v>
      </c>
      <c r="S837" t="s">
        <v>74</v>
      </c>
      <c r="T837" t="s">
        <v>74</v>
      </c>
      <c r="U837" t="s">
        <v>74</v>
      </c>
      <c r="V837" t="s">
        <v>7278</v>
      </c>
      <c r="W837" t="s">
        <v>74</v>
      </c>
      <c r="X837" t="s">
        <v>74</v>
      </c>
      <c r="Y837" t="s">
        <v>74</v>
      </c>
      <c r="Z837" t="s">
        <v>74</v>
      </c>
      <c r="AA837" t="s">
        <v>7279</v>
      </c>
      <c r="AB837" t="s">
        <v>7280</v>
      </c>
      <c r="AC837" t="s">
        <v>74</v>
      </c>
      <c r="AD837" t="s">
        <v>74</v>
      </c>
      <c r="AE837" t="s">
        <v>74</v>
      </c>
      <c r="AF837" t="s">
        <v>74</v>
      </c>
      <c r="AG837" t="s">
        <v>74</v>
      </c>
      <c r="AH837" t="s">
        <v>74</v>
      </c>
      <c r="AI837" t="s">
        <v>74</v>
      </c>
      <c r="AJ837" t="s">
        <v>74</v>
      </c>
      <c r="AK837" t="s">
        <v>74</v>
      </c>
      <c r="AL837" t="s">
        <v>74</v>
      </c>
      <c r="AM837" t="s">
        <v>74</v>
      </c>
      <c r="AN837" t="s">
        <v>74</v>
      </c>
      <c r="AO837" t="s">
        <v>74</v>
      </c>
      <c r="AP837" t="s">
        <v>5464</v>
      </c>
      <c r="AQ837" t="s">
        <v>74</v>
      </c>
      <c r="AR837" t="s">
        <v>74</v>
      </c>
      <c r="AS837" t="s">
        <v>74</v>
      </c>
      <c r="AT837" t="s">
        <v>74</v>
      </c>
      <c r="AU837">
        <v>2016</v>
      </c>
      <c r="AV837">
        <v>6</v>
      </c>
      <c r="AW837">
        <v>29</v>
      </c>
      <c r="AX837" t="s">
        <v>74</v>
      </c>
      <c r="AY837" t="s">
        <v>74</v>
      </c>
      <c r="AZ837" t="s">
        <v>74</v>
      </c>
      <c r="BA837" t="s">
        <v>74</v>
      </c>
      <c r="BB837">
        <v>24728</v>
      </c>
      <c r="BC837">
        <v>24737</v>
      </c>
      <c r="BD837" t="s">
        <v>74</v>
      </c>
      <c r="BE837" t="s">
        <v>7281</v>
      </c>
      <c r="BF837" t="str">
        <f>HYPERLINK("http://dx.doi.org/10.1039/c6ra01296e","http://dx.doi.org/10.1039/c6ra01296e")</f>
        <v>http://dx.doi.org/10.1039/c6ra01296e</v>
      </c>
      <c r="BG837" t="s">
        <v>74</v>
      </c>
      <c r="BH837" t="s">
        <v>74</v>
      </c>
      <c r="BI837" t="s">
        <v>74</v>
      </c>
      <c r="BJ837" t="s">
        <v>74</v>
      </c>
      <c r="BK837" t="s">
        <v>74</v>
      </c>
      <c r="BL837" t="s">
        <v>74</v>
      </c>
      <c r="BM837" t="s">
        <v>74</v>
      </c>
      <c r="BN837" t="s">
        <v>74</v>
      </c>
      <c r="BO837" t="s">
        <v>74</v>
      </c>
      <c r="BP837" t="s">
        <v>74</v>
      </c>
      <c r="BQ837" t="s">
        <v>74</v>
      </c>
      <c r="BR837" t="s">
        <v>74</v>
      </c>
      <c r="BS837" t="s">
        <v>7282</v>
      </c>
      <c r="BT837" t="str">
        <f>HYPERLINK("https%3A%2F%2Fwww.webofscience.com%2Fwos%2Fwoscc%2Ffull-record%2FWOS:000372256800090","View Full Record in Web of Science")</f>
        <v>View Full Record in Web of Science</v>
      </c>
    </row>
    <row r="838" spans="1:72" x14ac:dyDescent="0.2">
      <c r="A838" t="s">
        <v>72</v>
      </c>
      <c r="B838" t="s">
        <v>7283</v>
      </c>
      <c r="C838" t="s">
        <v>74</v>
      </c>
      <c r="D838" t="s">
        <v>74</v>
      </c>
      <c r="E838" t="s">
        <v>74</v>
      </c>
      <c r="F838" t="s">
        <v>7284</v>
      </c>
      <c r="G838" t="s">
        <v>74</v>
      </c>
      <c r="H838" t="s">
        <v>74</v>
      </c>
      <c r="I838" t="s">
        <v>7285</v>
      </c>
      <c r="J838" t="s">
        <v>7286</v>
      </c>
      <c r="K838" t="s">
        <v>74</v>
      </c>
      <c r="L838" t="s">
        <v>74</v>
      </c>
      <c r="M838" t="s">
        <v>74</v>
      </c>
      <c r="N838" t="s">
        <v>74</v>
      </c>
      <c r="O838" t="s">
        <v>74</v>
      </c>
      <c r="P838" t="s">
        <v>74</v>
      </c>
      <c r="Q838" t="s">
        <v>74</v>
      </c>
      <c r="R838" t="s">
        <v>74</v>
      </c>
      <c r="S838" t="s">
        <v>74</v>
      </c>
      <c r="T838" t="s">
        <v>74</v>
      </c>
      <c r="U838" t="s">
        <v>74</v>
      </c>
      <c r="V838" t="s">
        <v>7287</v>
      </c>
      <c r="W838" t="s">
        <v>74</v>
      </c>
      <c r="X838" t="s">
        <v>74</v>
      </c>
      <c r="Y838" t="s">
        <v>74</v>
      </c>
      <c r="Z838" t="s">
        <v>74</v>
      </c>
      <c r="AA838" t="s">
        <v>7288</v>
      </c>
      <c r="AB838" t="s">
        <v>7289</v>
      </c>
      <c r="AC838" t="s">
        <v>74</v>
      </c>
      <c r="AD838" t="s">
        <v>74</v>
      </c>
      <c r="AE838" t="s">
        <v>74</v>
      </c>
      <c r="AF838" t="s">
        <v>74</v>
      </c>
      <c r="AG838" t="s">
        <v>74</v>
      </c>
      <c r="AH838" t="s">
        <v>74</v>
      </c>
      <c r="AI838" t="s">
        <v>74</v>
      </c>
      <c r="AJ838" t="s">
        <v>74</v>
      </c>
      <c r="AK838" t="s">
        <v>74</v>
      </c>
      <c r="AL838" t="s">
        <v>74</v>
      </c>
      <c r="AM838" t="s">
        <v>74</v>
      </c>
      <c r="AN838" t="s">
        <v>74</v>
      </c>
      <c r="AO838" t="s">
        <v>7290</v>
      </c>
      <c r="AP838" t="s">
        <v>7291</v>
      </c>
      <c r="AQ838" t="s">
        <v>74</v>
      </c>
      <c r="AR838" t="s">
        <v>74</v>
      </c>
      <c r="AS838" t="s">
        <v>74</v>
      </c>
      <c r="AT838" t="s">
        <v>74</v>
      </c>
      <c r="AU838">
        <v>2016</v>
      </c>
      <c r="AV838">
        <v>57</v>
      </c>
      <c r="AW838">
        <v>9</v>
      </c>
      <c r="AX838" t="s">
        <v>74</v>
      </c>
      <c r="AY838" t="s">
        <v>74</v>
      </c>
      <c r="AZ838" t="s">
        <v>74</v>
      </c>
      <c r="BA838" t="s">
        <v>74</v>
      </c>
      <c r="BB838">
        <v>1639</v>
      </c>
      <c r="BC838">
        <v>1644</v>
      </c>
      <c r="BD838" t="s">
        <v>74</v>
      </c>
      <c r="BE838" t="s">
        <v>7292</v>
      </c>
      <c r="BF838" t="str">
        <f>HYPERLINK("http://dx.doi.org/10.2320/matertrans.MAW201601","http://dx.doi.org/10.2320/matertrans.MAW201601")</f>
        <v>http://dx.doi.org/10.2320/matertrans.MAW201601</v>
      </c>
      <c r="BG838" t="s">
        <v>74</v>
      </c>
      <c r="BH838" t="s">
        <v>74</v>
      </c>
      <c r="BI838" t="s">
        <v>74</v>
      </c>
      <c r="BJ838" t="s">
        <v>74</v>
      </c>
      <c r="BK838" t="s">
        <v>74</v>
      </c>
      <c r="BL838" t="s">
        <v>74</v>
      </c>
      <c r="BM838" t="s">
        <v>74</v>
      </c>
      <c r="BN838" t="s">
        <v>74</v>
      </c>
      <c r="BO838" t="s">
        <v>74</v>
      </c>
      <c r="BP838" t="s">
        <v>74</v>
      </c>
      <c r="BQ838" t="s">
        <v>74</v>
      </c>
      <c r="BR838" t="s">
        <v>74</v>
      </c>
      <c r="BS838" t="s">
        <v>7293</v>
      </c>
      <c r="BT838" t="str">
        <f>HYPERLINK("https%3A%2F%2Fwww.webofscience.com%2Fwos%2Fwoscc%2Ffull-record%2FWOS:000383457600042","View Full Record in Web of Science")</f>
        <v>View Full Record in Web of Science</v>
      </c>
    </row>
    <row r="839" spans="1:72" x14ac:dyDescent="0.2">
      <c r="A839" t="s">
        <v>72</v>
      </c>
      <c r="B839" t="s">
        <v>7294</v>
      </c>
      <c r="C839" t="s">
        <v>74</v>
      </c>
      <c r="D839" t="s">
        <v>74</v>
      </c>
      <c r="E839" t="s">
        <v>74</v>
      </c>
      <c r="F839" t="s">
        <v>7295</v>
      </c>
      <c r="G839" t="s">
        <v>74</v>
      </c>
      <c r="H839" t="s">
        <v>74</v>
      </c>
      <c r="I839" t="s">
        <v>7296</v>
      </c>
      <c r="J839" t="s">
        <v>1293</v>
      </c>
      <c r="K839" t="s">
        <v>74</v>
      </c>
      <c r="L839" t="s">
        <v>74</v>
      </c>
      <c r="M839" t="s">
        <v>74</v>
      </c>
      <c r="N839" t="s">
        <v>74</v>
      </c>
      <c r="O839" t="s">
        <v>74</v>
      </c>
      <c r="P839" t="s">
        <v>74</v>
      </c>
      <c r="Q839" t="s">
        <v>74</v>
      </c>
      <c r="R839" t="s">
        <v>74</v>
      </c>
      <c r="S839" t="s">
        <v>74</v>
      </c>
      <c r="T839" t="s">
        <v>74</v>
      </c>
      <c r="U839" t="s">
        <v>74</v>
      </c>
      <c r="V839" t="s">
        <v>7297</v>
      </c>
      <c r="W839" t="s">
        <v>74</v>
      </c>
      <c r="X839" t="s">
        <v>74</v>
      </c>
      <c r="Y839" t="s">
        <v>74</v>
      </c>
      <c r="Z839" t="s">
        <v>74</v>
      </c>
      <c r="AA839" t="s">
        <v>7061</v>
      </c>
      <c r="AB839" t="s">
        <v>6926</v>
      </c>
      <c r="AC839" t="s">
        <v>74</v>
      </c>
      <c r="AD839" t="s">
        <v>74</v>
      </c>
      <c r="AE839" t="s">
        <v>74</v>
      </c>
      <c r="AF839" t="s">
        <v>74</v>
      </c>
      <c r="AG839" t="s">
        <v>74</v>
      </c>
      <c r="AH839" t="s">
        <v>74</v>
      </c>
      <c r="AI839" t="s">
        <v>74</v>
      </c>
      <c r="AJ839" t="s">
        <v>74</v>
      </c>
      <c r="AK839" t="s">
        <v>74</v>
      </c>
      <c r="AL839" t="s">
        <v>74</v>
      </c>
      <c r="AM839" t="s">
        <v>74</v>
      </c>
      <c r="AN839" t="s">
        <v>74</v>
      </c>
      <c r="AO839" t="s">
        <v>1297</v>
      </c>
      <c r="AP839" t="s">
        <v>1298</v>
      </c>
      <c r="AQ839" t="s">
        <v>74</v>
      </c>
      <c r="AR839" t="s">
        <v>74</v>
      </c>
      <c r="AS839" t="s">
        <v>74</v>
      </c>
      <c r="AT839" t="s">
        <v>74</v>
      </c>
      <c r="AU839">
        <v>2016</v>
      </c>
      <c r="AV839">
        <v>163</v>
      </c>
      <c r="AW839">
        <v>10</v>
      </c>
      <c r="AX839" t="s">
        <v>74</v>
      </c>
      <c r="AY839" t="s">
        <v>74</v>
      </c>
      <c r="AZ839" t="s">
        <v>74</v>
      </c>
      <c r="BA839" t="s">
        <v>74</v>
      </c>
      <c r="BB839" t="s">
        <v>7298</v>
      </c>
      <c r="BC839" t="s">
        <v>7299</v>
      </c>
      <c r="BD839" t="s">
        <v>74</v>
      </c>
      <c r="BE839" t="s">
        <v>7300</v>
      </c>
      <c r="BF839" t="str">
        <f>HYPERLINK("http://dx.doi.org/10.1149/2.1211610jes","http://dx.doi.org/10.1149/2.1211610jes")</f>
        <v>http://dx.doi.org/10.1149/2.1211610jes</v>
      </c>
      <c r="BG839" t="s">
        <v>74</v>
      </c>
      <c r="BH839" t="s">
        <v>74</v>
      </c>
      <c r="BI839" t="s">
        <v>74</v>
      </c>
      <c r="BJ839" t="s">
        <v>74</v>
      </c>
      <c r="BK839" t="s">
        <v>74</v>
      </c>
      <c r="BL839" t="s">
        <v>74</v>
      </c>
      <c r="BM839" t="s">
        <v>74</v>
      </c>
      <c r="BN839" t="s">
        <v>74</v>
      </c>
      <c r="BO839" t="s">
        <v>74</v>
      </c>
      <c r="BP839" t="s">
        <v>74</v>
      </c>
      <c r="BQ839" t="s">
        <v>74</v>
      </c>
      <c r="BR839" t="s">
        <v>74</v>
      </c>
      <c r="BS839" t="s">
        <v>7301</v>
      </c>
      <c r="BT839" t="str">
        <f>HYPERLINK("https%3A%2F%2Fwww.webofscience.com%2Fwos%2Fwoscc%2Ffull-record%2FWOS:000389150900039","View Full Record in Web of Science")</f>
        <v>View Full Record in Web of Science</v>
      </c>
    </row>
    <row r="840" spans="1:72" x14ac:dyDescent="0.2">
      <c r="A840" t="s">
        <v>72</v>
      </c>
      <c r="B840" t="s">
        <v>7302</v>
      </c>
      <c r="C840" t="s">
        <v>74</v>
      </c>
      <c r="D840" t="s">
        <v>74</v>
      </c>
      <c r="E840" t="s">
        <v>74</v>
      </c>
      <c r="F840" t="s">
        <v>7303</v>
      </c>
      <c r="G840" t="s">
        <v>74</v>
      </c>
      <c r="H840" t="s">
        <v>74</v>
      </c>
      <c r="I840" t="s">
        <v>7304</v>
      </c>
      <c r="J840" t="s">
        <v>5460</v>
      </c>
      <c r="K840" t="s">
        <v>74</v>
      </c>
      <c r="L840" t="s">
        <v>74</v>
      </c>
      <c r="M840" t="s">
        <v>74</v>
      </c>
      <c r="N840" t="s">
        <v>74</v>
      </c>
      <c r="O840" t="s">
        <v>74</v>
      </c>
      <c r="P840" t="s">
        <v>74</v>
      </c>
      <c r="Q840" t="s">
        <v>74</v>
      </c>
      <c r="R840" t="s">
        <v>74</v>
      </c>
      <c r="S840" t="s">
        <v>74</v>
      </c>
      <c r="T840" t="s">
        <v>74</v>
      </c>
      <c r="U840" t="s">
        <v>74</v>
      </c>
      <c r="V840" t="s">
        <v>7305</v>
      </c>
      <c r="W840" t="s">
        <v>74</v>
      </c>
      <c r="X840" t="s">
        <v>74</v>
      </c>
      <c r="Y840" t="s">
        <v>74</v>
      </c>
      <c r="Z840" t="s">
        <v>74</v>
      </c>
      <c r="AA840" t="s">
        <v>7306</v>
      </c>
      <c r="AB840" t="s">
        <v>74</v>
      </c>
      <c r="AC840" t="s">
        <v>74</v>
      </c>
      <c r="AD840" t="s">
        <v>74</v>
      </c>
      <c r="AE840" t="s">
        <v>74</v>
      </c>
      <c r="AF840" t="s">
        <v>74</v>
      </c>
      <c r="AG840" t="s">
        <v>74</v>
      </c>
      <c r="AH840" t="s">
        <v>74</v>
      </c>
      <c r="AI840" t="s">
        <v>74</v>
      </c>
      <c r="AJ840" t="s">
        <v>74</v>
      </c>
      <c r="AK840" t="s">
        <v>74</v>
      </c>
      <c r="AL840" t="s">
        <v>74</v>
      </c>
      <c r="AM840" t="s">
        <v>74</v>
      </c>
      <c r="AN840" t="s">
        <v>74</v>
      </c>
      <c r="AO840" t="s">
        <v>5464</v>
      </c>
      <c r="AP840" t="s">
        <v>74</v>
      </c>
      <c r="AQ840" t="s">
        <v>74</v>
      </c>
      <c r="AR840" t="s">
        <v>74</v>
      </c>
      <c r="AS840" t="s">
        <v>74</v>
      </c>
      <c r="AT840" t="s">
        <v>74</v>
      </c>
      <c r="AU840">
        <v>2016</v>
      </c>
      <c r="AV840">
        <v>6</v>
      </c>
      <c r="AW840">
        <v>24</v>
      </c>
      <c r="AX840" t="s">
        <v>74</v>
      </c>
      <c r="AY840" t="s">
        <v>74</v>
      </c>
      <c r="AZ840" t="s">
        <v>74</v>
      </c>
      <c r="BA840" t="s">
        <v>74</v>
      </c>
      <c r="BB840">
        <v>20343</v>
      </c>
      <c r="BC840">
        <v>20348</v>
      </c>
      <c r="BD840" t="s">
        <v>74</v>
      </c>
      <c r="BE840" t="s">
        <v>7307</v>
      </c>
      <c r="BF840" t="str">
        <f>HYPERLINK("http://dx.doi.org/10.1039/c6ra02865a","http://dx.doi.org/10.1039/c6ra02865a")</f>
        <v>http://dx.doi.org/10.1039/c6ra02865a</v>
      </c>
      <c r="BG840" t="s">
        <v>74</v>
      </c>
      <c r="BH840" t="s">
        <v>74</v>
      </c>
      <c r="BI840" t="s">
        <v>74</v>
      </c>
      <c r="BJ840" t="s">
        <v>74</v>
      </c>
      <c r="BK840" t="s">
        <v>74</v>
      </c>
      <c r="BL840" t="s">
        <v>74</v>
      </c>
      <c r="BM840" t="s">
        <v>74</v>
      </c>
      <c r="BN840" t="s">
        <v>74</v>
      </c>
      <c r="BO840" t="s">
        <v>74</v>
      </c>
      <c r="BP840" t="s">
        <v>74</v>
      </c>
      <c r="BQ840" t="s">
        <v>74</v>
      </c>
      <c r="BR840" t="s">
        <v>74</v>
      </c>
      <c r="BS840" t="s">
        <v>7308</v>
      </c>
      <c r="BT840" t="str">
        <f>HYPERLINK("https%3A%2F%2Fwww.webofscience.com%2Fwos%2Fwoscc%2Ffull-record%2FWOS:000371122900087","View Full Record in Web of Science")</f>
        <v>View Full Record in Web of Science</v>
      </c>
    </row>
    <row r="841" spans="1:72" x14ac:dyDescent="0.2">
      <c r="A841" t="s">
        <v>72</v>
      </c>
      <c r="B841" t="s">
        <v>7309</v>
      </c>
      <c r="C841" t="s">
        <v>74</v>
      </c>
      <c r="D841" t="s">
        <v>74</v>
      </c>
      <c r="E841" t="s">
        <v>74</v>
      </c>
      <c r="F841" t="s">
        <v>7310</v>
      </c>
      <c r="G841" t="s">
        <v>74</v>
      </c>
      <c r="H841" t="s">
        <v>74</v>
      </c>
      <c r="I841" t="s">
        <v>7311</v>
      </c>
      <c r="J841" t="s">
        <v>98</v>
      </c>
      <c r="K841" t="s">
        <v>74</v>
      </c>
      <c r="L841" t="s">
        <v>74</v>
      </c>
      <c r="M841" t="s">
        <v>74</v>
      </c>
      <c r="N841" t="s">
        <v>74</v>
      </c>
      <c r="O841" t="s">
        <v>74</v>
      </c>
      <c r="P841" t="s">
        <v>74</v>
      </c>
      <c r="Q841" t="s">
        <v>74</v>
      </c>
      <c r="R841" t="s">
        <v>74</v>
      </c>
      <c r="S841" t="s">
        <v>74</v>
      </c>
      <c r="T841" t="s">
        <v>74</v>
      </c>
      <c r="U841" t="s">
        <v>74</v>
      </c>
      <c r="V841" t="s">
        <v>7312</v>
      </c>
      <c r="W841" t="s">
        <v>74</v>
      </c>
      <c r="X841" t="s">
        <v>74</v>
      </c>
      <c r="Y841" t="s">
        <v>74</v>
      </c>
      <c r="Z841" t="s">
        <v>74</v>
      </c>
      <c r="AA841" t="s">
        <v>7313</v>
      </c>
      <c r="AB841" t="s">
        <v>7314</v>
      </c>
      <c r="AC841" t="s">
        <v>74</v>
      </c>
      <c r="AD841" t="s">
        <v>74</v>
      </c>
      <c r="AE841" t="s">
        <v>74</v>
      </c>
      <c r="AF841" t="s">
        <v>74</v>
      </c>
      <c r="AG841" t="s">
        <v>74</v>
      </c>
      <c r="AH841" t="s">
        <v>74</v>
      </c>
      <c r="AI841" t="s">
        <v>74</v>
      </c>
      <c r="AJ841" t="s">
        <v>74</v>
      </c>
      <c r="AK841" t="s">
        <v>74</v>
      </c>
      <c r="AL841" t="s">
        <v>74</v>
      </c>
      <c r="AM841" t="s">
        <v>74</v>
      </c>
      <c r="AN841" t="s">
        <v>74</v>
      </c>
      <c r="AO841" t="s">
        <v>101</v>
      </c>
      <c r="AP841" t="s">
        <v>102</v>
      </c>
      <c r="AQ841" t="s">
        <v>74</v>
      </c>
      <c r="AR841" t="s">
        <v>74</v>
      </c>
      <c r="AS841" t="s">
        <v>74</v>
      </c>
      <c r="AT841" t="s">
        <v>1364</v>
      </c>
      <c r="AU841">
        <v>2015</v>
      </c>
      <c r="AV841">
        <v>299</v>
      </c>
      <c r="AW841" t="s">
        <v>74</v>
      </c>
      <c r="AX841" t="s">
        <v>74</v>
      </c>
      <c r="AY841" t="s">
        <v>74</v>
      </c>
      <c r="AZ841" t="s">
        <v>74</v>
      </c>
      <c r="BA841" t="s">
        <v>74</v>
      </c>
      <c r="BB841">
        <v>130</v>
      </c>
      <c r="BC841">
        <v>138</v>
      </c>
      <c r="BD841" t="s">
        <v>74</v>
      </c>
      <c r="BE841" t="s">
        <v>7315</v>
      </c>
      <c r="BF841" t="str">
        <f>HYPERLINK("http://dx.doi.org/10.1016/j.jpowsour.2015.08.084","http://dx.doi.org/10.1016/j.jpowsour.2015.08.084")</f>
        <v>http://dx.doi.org/10.1016/j.jpowsour.2015.08.084</v>
      </c>
      <c r="BG841" t="s">
        <v>74</v>
      </c>
      <c r="BH841" t="s">
        <v>74</v>
      </c>
      <c r="BI841" t="s">
        <v>74</v>
      </c>
      <c r="BJ841" t="s">
        <v>74</v>
      </c>
      <c r="BK841" t="s">
        <v>74</v>
      </c>
      <c r="BL841" t="s">
        <v>74</v>
      </c>
      <c r="BM841" t="s">
        <v>74</v>
      </c>
      <c r="BN841" t="s">
        <v>74</v>
      </c>
      <c r="BO841" t="s">
        <v>74</v>
      </c>
      <c r="BP841" t="s">
        <v>74</v>
      </c>
      <c r="BQ841" t="s">
        <v>74</v>
      </c>
      <c r="BR841" t="s">
        <v>74</v>
      </c>
      <c r="BS841" t="s">
        <v>7316</v>
      </c>
      <c r="BT841" t="str">
        <f>HYPERLINK("https%3A%2F%2Fwww.webofscience.com%2Fwos%2Fwoscc%2Ffull-record%2FWOS:000363907400016","View Full Record in Web of Science")</f>
        <v>View Full Record in Web of Science</v>
      </c>
    </row>
    <row r="842" spans="1:72" x14ac:dyDescent="0.2">
      <c r="A842" t="s">
        <v>72</v>
      </c>
      <c r="B842" t="s">
        <v>7317</v>
      </c>
      <c r="C842" t="s">
        <v>74</v>
      </c>
      <c r="D842" t="s">
        <v>74</v>
      </c>
      <c r="E842" t="s">
        <v>74</v>
      </c>
      <c r="F842" t="s">
        <v>7318</v>
      </c>
      <c r="G842" t="s">
        <v>74</v>
      </c>
      <c r="H842" t="s">
        <v>74</v>
      </c>
      <c r="I842" t="s">
        <v>7319</v>
      </c>
      <c r="J842" t="s">
        <v>665</v>
      </c>
      <c r="K842" t="s">
        <v>74</v>
      </c>
      <c r="L842" t="s">
        <v>74</v>
      </c>
      <c r="M842" t="s">
        <v>74</v>
      </c>
      <c r="N842" t="s">
        <v>74</v>
      </c>
      <c r="O842" t="s">
        <v>74</v>
      </c>
      <c r="P842" t="s">
        <v>74</v>
      </c>
      <c r="Q842" t="s">
        <v>74</v>
      </c>
      <c r="R842" t="s">
        <v>74</v>
      </c>
      <c r="S842" t="s">
        <v>74</v>
      </c>
      <c r="T842" t="s">
        <v>74</v>
      </c>
      <c r="U842" t="s">
        <v>74</v>
      </c>
      <c r="V842" t="s">
        <v>7320</v>
      </c>
      <c r="W842" t="s">
        <v>74</v>
      </c>
      <c r="X842" t="s">
        <v>74</v>
      </c>
      <c r="Y842" t="s">
        <v>74</v>
      </c>
      <c r="Z842" t="s">
        <v>74</v>
      </c>
      <c r="AA842" t="s">
        <v>7321</v>
      </c>
      <c r="AB842" t="s">
        <v>7322</v>
      </c>
      <c r="AC842" t="s">
        <v>74</v>
      </c>
      <c r="AD842" t="s">
        <v>74</v>
      </c>
      <c r="AE842" t="s">
        <v>74</v>
      </c>
      <c r="AF842" t="s">
        <v>74</v>
      </c>
      <c r="AG842" t="s">
        <v>74</v>
      </c>
      <c r="AH842" t="s">
        <v>74</v>
      </c>
      <c r="AI842" t="s">
        <v>74</v>
      </c>
      <c r="AJ842" t="s">
        <v>74</v>
      </c>
      <c r="AK842" t="s">
        <v>74</v>
      </c>
      <c r="AL842" t="s">
        <v>74</v>
      </c>
      <c r="AM842" t="s">
        <v>74</v>
      </c>
      <c r="AN842" t="s">
        <v>74</v>
      </c>
      <c r="AO842" t="s">
        <v>668</v>
      </c>
      <c r="AP842" t="s">
        <v>669</v>
      </c>
      <c r="AQ842" t="s">
        <v>74</v>
      </c>
      <c r="AR842" t="s">
        <v>74</v>
      </c>
      <c r="AS842" t="s">
        <v>74</v>
      </c>
      <c r="AT842" t="s">
        <v>2737</v>
      </c>
      <c r="AU842">
        <v>2015</v>
      </c>
      <c r="AV842">
        <v>283</v>
      </c>
      <c r="AW842" t="s">
        <v>74</v>
      </c>
      <c r="AX842" t="s">
        <v>74</v>
      </c>
      <c r="AY842" t="s">
        <v>74</v>
      </c>
      <c r="AZ842" t="s">
        <v>74</v>
      </c>
      <c r="BA842" t="s">
        <v>74</v>
      </c>
      <c r="BB842">
        <v>109</v>
      </c>
      <c r="BC842">
        <v>114</v>
      </c>
      <c r="BD842" t="s">
        <v>74</v>
      </c>
      <c r="BE842" t="s">
        <v>7323</v>
      </c>
      <c r="BF842" t="str">
        <f>HYPERLINK("http://dx.doi.org/10.1016/j.ssi.2015.10.009","http://dx.doi.org/10.1016/j.ssi.2015.10.009")</f>
        <v>http://dx.doi.org/10.1016/j.ssi.2015.10.009</v>
      </c>
      <c r="BG842" t="s">
        <v>74</v>
      </c>
      <c r="BH842" t="s">
        <v>74</v>
      </c>
      <c r="BI842" t="s">
        <v>74</v>
      </c>
      <c r="BJ842" t="s">
        <v>74</v>
      </c>
      <c r="BK842" t="s">
        <v>74</v>
      </c>
      <c r="BL842" t="s">
        <v>74</v>
      </c>
      <c r="BM842" t="s">
        <v>74</v>
      </c>
      <c r="BN842" t="s">
        <v>74</v>
      </c>
      <c r="BO842" t="s">
        <v>74</v>
      </c>
      <c r="BP842" t="s">
        <v>74</v>
      </c>
      <c r="BQ842" t="s">
        <v>74</v>
      </c>
      <c r="BR842" t="s">
        <v>74</v>
      </c>
      <c r="BS842" t="s">
        <v>7324</v>
      </c>
      <c r="BT842" t="str">
        <f>HYPERLINK("https%3A%2F%2Fwww.webofscience.com%2Fwos%2Fwoscc%2Ffull-record%2FWOS:000367113100014","View Full Record in Web of Science")</f>
        <v>View Full Record in Web of Science</v>
      </c>
    </row>
    <row r="843" spans="1:72" x14ac:dyDescent="0.2">
      <c r="A843" t="s">
        <v>72</v>
      </c>
      <c r="B843" t="s">
        <v>7325</v>
      </c>
      <c r="C843" t="s">
        <v>74</v>
      </c>
      <c r="D843" t="s">
        <v>74</v>
      </c>
      <c r="E843" t="s">
        <v>74</v>
      </c>
      <c r="F843" t="s">
        <v>7326</v>
      </c>
      <c r="G843" t="s">
        <v>74</v>
      </c>
      <c r="H843" t="s">
        <v>74</v>
      </c>
      <c r="I843" t="s">
        <v>7327</v>
      </c>
      <c r="J843" t="s">
        <v>598</v>
      </c>
      <c r="K843" t="s">
        <v>74</v>
      </c>
      <c r="L843" t="s">
        <v>74</v>
      </c>
      <c r="M843" t="s">
        <v>74</v>
      </c>
      <c r="N843" t="s">
        <v>74</v>
      </c>
      <c r="O843" t="s">
        <v>74</v>
      </c>
      <c r="P843" t="s">
        <v>74</v>
      </c>
      <c r="Q843" t="s">
        <v>74</v>
      </c>
      <c r="R843" t="s">
        <v>74</v>
      </c>
      <c r="S843" t="s">
        <v>74</v>
      </c>
      <c r="T843" t="s">
        <v>74</v>
      </c>
      <c r="U843" t="s">
        <v>74</v>
      </c>
      <c r="V843" t="s">
        <v>7328</v>
      </c>
      <c r="W843" t="s">
        <v>74</v>
      </c>
      <c r="X843" t="s">
        <v>74</v>
      </c>
      <c r="Y843" t="s">
        <v>74</v>
      </c>
      <c r="Z843" t="s">
        <v>74</v>
      </c>
      <c r="AA843" t="s">
        <v>7329</v>
      </c>
      <c r="AB843" t="s">
        <v>7330</v>
      </c>
      <c r="AC843" t="s">
        <v>74</v>
      </c>
      <c r="AD843" t="s">
        <v>74</v>
      </c>
      <c r="AE843" t="s">
        <v>74</v>
      </c>
      <c r="AF843" t="s">
        <v>74</v>
      </c>
      <c r="AG843" t="s">
        <v>74</v>
      </c>
      <c r="AH843" t="s">
        <v>74</v>
      </c>
      <c r="AI843" t="s">
        <v>74</v>
      </c>
      <c r="AJ843" t="s">
        <v>74</v>
      </c>
      <c r="AK843" t="s">
        <v>74</v>
      </c>
      <c r="AL843" t="s">
        <v>74</v>
      </c>
      <c r="AM843" t="s">
        <v>74</v>
      </c>
      <c r="AN843" t="s">
        <v>74</v>
      </c>
      <c r="AO843" t="s">
        <v>601</v>
      </c>
      <c r="AP843" t="s">
        <v>602</v>
      </c>
      <c r="AQ843" t="s">
        <v>74</v>
      </c>
      <c r="AR843" t="s">
        <v>74</v>
      </c>
      <c r="AS843" t="s">
        <v>74</v>
      </c>
      <c r="AT843" t="s">
        <v>7331</v>
      </c>
      <c r="AU843">
        <v>2015</v>
      </c>
      <c r="AV843">
        <v>8</v>
      </c>
      <c r="AW843">
        <v>23</v>
      </c>
      <c r="AX843" t="s">
        <v>74</v>
      </c>
      <c r="AY843" t="s">
        <v>74</v>
      </c>
      <c r="AZ843" t="s">
        <v>74</v>
      </c>
      <c r="BA843" t="s">
        <v>74</v>
      </c>
      <c r="BB843">
        <v>3973</v>
      </c>
      <c r="BC843">
        <v>3976</v>
      </c>
      <c r="BD843" t="s">
        <v>74</v>
      </c>
      <c r="BE843" t="s">
        <v>7332</v>
      </c>
      <c r="BF843" t="str">
        <f>HYPERLINK("http://dx.doi.org/10.1002/cssc.201501169","http://dx.doi.org/10.1002/cssc.201501169")</f>
        <v>http://dx.doi.org/10.1002/cssc.201501169</v>
      </c>
      <c r="BG843" t="s">
        <v>74</v>
      </c>
      <c r="BH843" t="s">
        <v>74</v>
      </c>
      <c r="BI843" t="s">
        <v>74</v>
      </c>
      <c r="BJ843" t="s">
        <v>74</v>
      </c>
      <c r="BK843" t="s">
        <v>74</v>
      </c>
      <c r="BL843" t="s">
        <v>74</v>
      </c>
      <c r="BM843" t="s">
        <v>74</v>
      </c>
      <c r="BN843">
        <v>26559030</v>
      </c>
      <c r="BO843" t="s">
        <v>74</v>
      </c>
      <c r="BP843" t="s">
        <v>74</v>
      </c>
      <c r="BQ843" t="s">
        <v>74</v>
      </c>
      <c r="BR843" t="s">
        <v>74</v>
      </c>
      <c r="BS843" t="s">
        <v>7333</v>
      </c>
      <c r="BT843" t="str">
        <f>HYPERLINK("https%3A%2F%2Fwww.webofscience.com%2Fwos%2Fwoscc%2Ffull-record%2FWOS:000366016300006","View Full Record in Web of Science")</f>
        <v>View Full Record in Web of Science</v>
      </c>
    </row>
    <row r="844" spans="1:72" x14ac:dyDescent="0.2">
      <c r="A844" t="s">
        <v>72</v>
      </c>
      <c r="B844" t="s">
        <v>7334</v>
      </c>
      <c r="C844" t="s">
        <v>74</v>
      </c>
      <c r="D844" t="s">
        <v>74</v>
      </c>
      <c r="E844" t="s">
        <v>74</v>
      </c>
      <c r="F844" t="s">
        <v>7335</v>
      </c>
      <c r="G844" t="s">
        <v>74</v>
      </c>
      <c r="H844" t="s">
        <v>74</v>
      </c>
      <c r="I844" t="s">
        <v>7336</v>
      </c>
      <c r="J844" t="s">
        <v>7337</v>
      </c>
      <c r="K844" t="s">
        <v>74</v>
      </c>
      <c r="L844" t="s">
        <v>74</v>
      </c>
      <c r="M844" t="s">
        <v>74</v>
      </c>
      <c r="N844" t="s">
        <v>74</v>
      </c>
      <c r="O844" t="s">
        <v>74</v>
      </c>
      <c r="P844" t="s">
        <v>74</v>
      </c>
      <c r="Q844" t="s">
        <v>74</v>
      </c>
      <c r="R844" t="s">
        <v>74</v>
      </c>
      <c r="S844" t="s">
        <v>74</v>
      </c>
      <c r="T844" t="s">
        <v>74</v>
      </c>
      <c r="U844" t="s">
        <v>74</v>
      </c>
      <c r="V844" t="s">
        <v>7338</v>
      </c>
      <c r="W844" t="s">
        <v>74</v>
      </c>
      <c r="X844" t="s">
        <v>74</v>
      </c>
      <c r="Y844" t="s">
        <v>74</v>
      </c>
      <c r="Z844" t="s">
        <v>74</v>
      </c>
      <c r="AA844" t="s">
        <v>7339</v>
      </c>
      <c r="AB844" t="s">
        <v>74</v>
      </c>
      <c r="AC844" t="s">
        <v>74</v>
      </c>
      <c r="AD844" t="s">
        <v>74</v>
      </c>
      <c r="AE844" t="s">
        <v>74</v>
      </c>
      <c r="AF844" t="s">
        <v>74</v>
      </c>
      <c r="AG844" t="s">
        <v>74</v>
      </c>
      <c r="AH844" t="s">
        <v>74</v>
      </c>
      <c r="AI844" t="s">
        <v>74</v>
      </c>
      <c r="AJ844" t="s">
        <v>74</v>
      </c>
      <c r="AK844" t="s">
        <v>74</v>
      </c>
      <c r="AL844" t="s">
        <v>74</v>
      </c>
      <c r="AM844" t="s">
        <v>74</v>
      </c>
      <c r="AN844" t="s">
        <v>74</v>
      </c>
      <c r="AO844" t="s">
        <v>7340</v>
      </c>
      <c r="AP844" t="s">
        <v>7341</v>
      </c>
      <c r="AQ844" t="s">
        <v>74</v>
      </c>
      <c r="AR844" t="s">
        <v>74</v>
      </c>
      <c r="AS844" t="s">
        <v>74</v>
      </c>
      <c r="AT844" t="s">
        <v>2571</v>
      </c>
      <c r="AU844">
        <v>2015</v>
      </c>
      <c r="AV844">
        <v>798</v>
      </c>
      <c r="AW844" t="s">
        <v>74</v>
      </c>
      <c r="AX844">
        <v>1</v>
      </c>
      <c r="AY844" t="s">
        <v>74</v>
      </c>
      <c r="AZ844" t="s">
        <v>74</v>
      </c>
      <c r="BA844" t="s">
        <v>74</v>
      </c>
      <c r="BB844">
        <v>5</v>
      </c>
      <c r="BC844">
        <v>12</v>
      </c>
      <c r="BD844" t="s">
        <v>74</v>
      </c>
      <c r="BE844" t="s">
        <v>7342</v>
      </c>
      <c r="BF844" t="str">
        <f>HYPERLINK("http://dx.doi.org/10.1016/j.jorganchem.2015.07.037","http://dx.doi.org/10.1016/j.jorganchem.2015.07.037")</f>
        <v>http://dx.doi.org/10.1016/j.jorganchem.2015.07.037</v>
      </c>
      <c r="BG844" t="s">
        <v>74</v>
      </c>
      <c r="BH844" t="s">
        <v>74</v>
      </c>
      <c r="BI844" t="s">
        <v>74</v>
      </c>
      <c r="BJ844" t="s">
        <v>74</v>
      </c>
      <c r="BK844" t="s">
        <v>74</v>
      </c>
      <c r="BL844" t="s">
        <v>74</v>
      </c>
      <c r="BM844" t="s">
        <v>74</v>
      </c>
      <c r="BN844" t="s">
        <v>74</v>
      </c>
      <c r="BO844" t="s">
        <v>74</v>
      </c>
      <c r="BP844" t="s">
        <v>74</v>
      </c>
      <c r="BQ844" t="s">
        <v>74</v>
      </c>
      <c r="BR844" t="s">
        <v>74</v>
      </c>
      <c r="BS844" t="s">
        <v>7343</v>
      </c>
      <c r="BT844" t="str">
        <f>HYPERLINK("https%3A%2F%2Fwww.webofscience.com%2Fwos%2Fwoscc%2Ffull-record%2FWOS:000366155400003","View Full Record in Web of Science")</f>
        <v>View Full Record in Web of Science</v>
      </c>
    </row>
    <row r="845" spans="1:72" x14ac:dyDescent="0.2">
      <c r="A845" t="s">
        <v>72</v>
      </c>
      <c r="B845" t="s">
        <v>7344</v>
      </c>
      <c r="C845" t="s">
        <v>74</v>
      </c>
      <c r="D845" t="s">
        <v>74</v>
      </c>
      <c r="E845" t="s">
        <v>74</v>
      </c>
      <c r="F845" t="s">
        <v>7345</v>
      </c>
      <c r="G845" t="s">
        <v>74</v>
      </c>
      <c r="H845" t="s">
        <v>74</v>
      </c>
      <c r="I845" t="s">
        <v>7346</v>
      </c>
      <c r="J845" t="s">
        <v>1719</v>
      </c>
      <c r="K845" t="s">
        <v>74</v>
      </c>
      <c r="L845" t="s">
        <v>74</v>
      </c>
      <c r="M845" t="s">
        <v>74</v>
      </c>
      <c r="N845" t="s">
        <v>74</v>
      </c>
      <c r="O845" t="s">
        <v>74</v>
      </c>
      <c r="P845" t="s">
        <v>74</v>
      </c>
      <c r="Q845" t="s">
        <v>74</v>
      </c>
      <c r="R845" t="s">
        <v>74</v>
      </c>
      <c r="S845" t="s">
        <v>74</v>
      </c>
      <c r="T845" t="s">
        <v>74</v>
      </c>
      <c r="U845" t="s">
        <v>74</v>
      </c>
      <c r="V845" t="s">
        <v>7347</v>
      </c>
      <c r="W845" t="s">
        <v>74</v>
      </c>
      <c r="X845" t="s">
        <v>74</v>
      </c>
      <c r="Y845" t="s">
        <v>74</v>
      </c>
      <c r="Z845" t="s">
        <v>74</v>
      </c>
      <c r="AA845" t="s">
        <v>7348</v>
      </c>
      <c r="AB845" t="s">
        <v>74</v>
      </c>
      <c r="AC845" t="s">
        <v>74</v>
      </c>
      <c r="AD845" t="s">
        <v>74</v>
      </c>
      <c r="AE845" t="s">
        <v>74</v>
      </c>
      <c r="AF845" t="s">
        <v>74</v>
      </c>
      <c r="AG845" t="s">
        <v>74</v>
      </c>
      <c r="AH845" t="s">
        <v>74</v>
      </c>
      <c r="AI845" t="s">
        <v>74</v>
      </c>
      <c r="AJ845" t="s">
        <v>74</v>
      </c>
      <c r="AK845" t="s">
        <v>74</v>
      </c>
      <c r="AL845" t="s">
        <v>74</v>
      </c>
      <c r="AM845" t="s">
        <v>74</v>
      </c>
      <c r="AN845" t="s">
        <v>74</v>
      </c>
      <c r="AO845" t="s">
        <v>1722</v>
      </c>
      <c r="AP845" t="s">
        <v>74</v>
      </c>
      <c r="AQ845" t="s">
        <v>74</v>
      </c>
      <c r="AR845" t="s">
        <v>74</v>
      </c>
      <c r="AS845" t="s">
        <v>74</v>
      </c>
      <c r="AT845" t="s">
        <v>103</v>
      </c>
      <c r="AU845">
        <v>2015</v>
      </c>
      <c r="AV845">
        <v>73</v>
      </c>
      <c r="AW845">
        <v>10</v>
      </c>
      <c r="AX845" t="s">
        <v>74</v>
      </c>
      <c r="AY845" t="s">
        <v>74</v>
      </c>
      <c r="AZ845" t="s">
        <v>74</v>
      </c>
      <c r="BA845" t="s">
        <v>74</v>
      </c>
      <c r="BB845">
        <v>1013</v>
      </c>
      <c r="BC845">
        <v>1017</v>
      </c>
      <c r="BD845" t="s">
        <v>74</v>
      </c>
      <c r="BE845" t="s">
        <v>7349</v>
      </c>
      <c r="BF845" t="str">
        <f>HYPERLINK("http://dx.doi.org/10.6023/A15040289","http://dx.doi.org/10.6023/A15040289")</f>
        <v>http://dx.doi.org/10.6023/A15040289</v>
      </c>
      <c r="BG845" t="s">
        <v>74</v>
      </c>
      <c r="BH845" t="s">
        <v>74</v>
      </c>
      <c r="BI845" t="s">
        <v>74</v>
      </c>
      <c r="BJ845" t="s">
        <v>74</v>
      </c>
      <c r="BK845" t="s">
        <v>74</v>
      </c>
      <c r="BL845" t="s">
        <v>74</v>
      </c>
      <c r="BM845" t="s">
        <v>74</v>
      </c>
      <c r="BN845" t="s">
        <v>74</v>
      </c>
      <c r="BO845" t="s">
        <v>74</v>
      </c>
      <c r="BP845" t="s">
        <v>74</v>
      </c>
      <c r="BQ845" t="s">
        <v>74</v>
      </c>
      <c r="BR845" t="s">
        <v>74</v>
      </c>
      <c r="BS845" t="s">
        <v>7350</v>
      </c>
      <c r="BT845" t="str">
        <f>HYPERLINK("https%3A%2F%2Fwww.webofscience.com%2Fwos%2Fwoscc%2Ffull-record%2FWOS:000365833000006","View Full Record in Web of Science")</f>
        <v>View Full Record in Web of Science</v>
      </c>
    </row>
    <row r="846" spans="1:72" x14ac:dyDescent="0.2">
      <c r="A846" t="s">
        <v>72</v>
      </c>
      <c r="B846" t="s">
        <v>7351</v>
      </c>
      <c r="C846" t="s">
        <v>74</v>
      </c>
      <c r="D846" t="s">
        <v>74</v>
      </c>
      <c r="E846" t="s">
        <v>74</v>
      </c>
      <c r="F846" t="s">
        <v>7352</v>
      </c>
      <c r="G846" t="s">
        <v>74</v>
      </c>
      <c r="H846" t="s">
        <v>74</v>
      </c>
      <c r="I846" t="s">
        <v>7353</v>
      </c>
      <c r="J846" t="s">
        <v>7354</v>
      </c>
      <c r="K846" t="s">
        <v>74</v>
      </c>
      <c r="L846" t="s">
        <v>74</v>
      </c>
      <c r="M846" t="s">
        <v>74</v>
      </c>
      <c r="N846" t="s">
        <v>74</v>
      </c>
      <c r="O846" t="s">
        <v>74</v>
      </c>
      <c r="P846" t="s">
        <v>74</v>
      </c>
      <c r="Q846" t="s">
        <v>74</v>
      </c>
      <c r="R846" t="s">
        <v>74</v>
      </c>
      <c r="S846" t="s">
        <v>74</v>
      </c>
      <c r="T846" t="s">
        <v>74</v>
      </c>
      <c r="U846" t="s">
        <v>74</v>
      </c>
      <c r="V846" t="s">
        <v>7355</v>
      </c>
      <c r="W846" t="s">
        <v>74</v>
      </c>
      <c r="X846" t="s">
        <v>74</v>
      </c>
      <c r="Y846" t="s">
        <v>74</v>
      </c>
      <c r="Z846" t="s">
        <v>74</v>
      </c>
      <c r="AA846" t="s">
        <v>7356</v>
      </c>
      <c r="AB846" t="s">
        <v>7357</v>
      </c>
      <c r="AC846" t="s">
        <v>74</v>
      </c>
      <c r="AD846" t="s">
        <v>74</v>
      </c>
      <c r="AE846" t="s">
        <v>74</v>
      </c>
      <c r="AF846" t="s">
        <v>74</v>
      </c>
      <c r="AG846" t="s">
        <v>74</v>
      </c>
      <c r="AH846" t="s">
        <v>74</v>
      </c>
      <c r="AI846" t="s">
        <v>74</v>
      </c>
      <c r="AJ846" t="s">
        <v>74</v>
      </c>
      <c r="AK846" t="s">
        <v>74</v>
      </c>
      <c r="AL846" t="s">
        <v>74</v>
      </c>
      <c r="AM846" t="s">
        <v>74</v>
      </c>
      <c r="AN846" t="s">
        <v>74</v>
      </c>
      <c r="AO846" t="s">
        <v>7358</v>
      </c>
      <c r="AP846" t="s">
        <v>7359</v>
      </c>
      <c r="AQ846" t="s">
        <v>74</v>
      </c>
      <c r="AR846" t="s">
        <v>74</v>
      </c>
      <c r="AS846" t="s">
        <v>74</v>
      </c>
      <c r="AT846" t="s">
        <v>113</v>
      </c>
      <c r="AU846">
        <v>2015</v>
      </c>
      <c r="AV846">
        <v>40</v>
      </c>
      <c r="AW846">
        <v>10</v>
      </c>
      <c r="AX846" t="s">
        <v>74</v>
      </c>
      <c r="AY846" t="s">
        <v>74</v>
      </c>
      <c r="AZ846" t="s">
        <v>74</v>
      </c>
      <c r="BA846" t="s">
        <v>74</v>
      </c>
      <c r="BB846">
        <v>2841</v>
      </c>
      <c r="BC846">
        <v>2851</v>
      </c>
      <c r="BD846" t="s">
        <v>74</v>
      </c>
      <c r="BE846" t="s">
        <v>7360</v>
      </c>
      <c r="BF846" t="str">
        <f>HYPERLINK("http://dx.doi.org/10.1007/s13369-015-1669-y","http://dx.doi.org/10.1007/s13369-015-1669-y")</f>
        <v>http://dx.doi.org/10.1007/s13369-015-1669-y</v>
      </c>
      <c r="BG846" t="s">
        <v>74</v>
      </c>
      <c r="BH846" t="s">
        <v>74</v>
      </c>
      <c r="BI846" t="s">
        <v>74</v>
      </c>
      <c r="BJ846" t="s">
        <v>74</v>
      </c>
      <c r="BK846" t="s">
        <v>74</v>
      </c>
      <c r="BL846" t="s">
        <v>74</v>
      </c>
      <c r="BM846" t="s">
        <v>74</v>
      </c>
      <c r="BN846" t="s">
        <v>74</v>
      </c>
      <c r="BO846" t="s">
        <v>74</v>
      </c>
      <c r="BP846" t="s">
        <v>74</v>
      </c>
      <c r="BQ846" t="s">
        <v>74</v>
      </c>
      <c r="BR846" t="s">
        <v>74</v>
      </c>
      <c r="BS846" t="s">
        <v>7361</v>
      </c>
      <c r="BT846" t="str">
        <f>HYPERLINK("https%3A%2F%2Fwww.webofscience.com%2Fwos%2Fwoscc%2Ffull-record%2FWOS:000362954000001","View Full Record in Web of Science")</f>
        <v>View Full Record in Web of Science</v>
      </c>
    </row>
    <row r="847" spans="1:72" x14ac:dyDescent="0.2">
      <c r="A847" t="s">
        <v>72</v>
      </c>
      <c r="B847" t="s">
        <v>7362</v>
      </c>
      <c r="C847" t="s">
        <v>74</v>
      </c>
      <c r="D847" t="s">
        <v>74</v>
      </c>
      <c r="E847" t="s">
        <v>74</v>
      </c>
      <c r="F847" t="s">
        <v>7363</v>
      </c>
      <c r="G847" t="s">
        <v>74</v>
      </c>
      <c r="H847" t="s">
        <v>74</v>
      </c>
      <c r="I847" t="s">
        <v>7364</v>
      </c>
      <c r="J847" t="s">
        <v>654</v>
      </c>
      <c r="K847" t="s">
        <v>74</v>
      </c>
      <c r="L847" t="s">
        <v>74</v>
      </c>
      <c r="M847" t="s">
        <v>74</v>
      </c>
      <c r="N847" t="s">
        <v>74</v>
      </c>
      <c r="O847" t="s">
        <v>74</v>
      </c>
      <c r="P847" t="s">
        <v>74</v>
      </c>
      <c r="Q847" t="s">
        <v>74</v>
      </c>
      <c r="R847" t="s">
        <v>74</v>
      </c>
      <c r="S847" t="s">
        <v>74</v>
      </c>
      <c r="T847" t="s">
        <v>74</v>
      </c>
      <c r="U847" t="s">
        <v>74</v>
      </c>
      <c r="V847" t="s">
        <v>7365</v>
      </c>
      <c r="W847" t="s">
        <v>74</v>
      </c>
      <c r="X847" t="s">
        <v>74</v>
      </c>
      <c r="Y847" t="s">
        <v>74</v>
      </c>
      <c r="Z847" t="s">
        <v>74</v>
      </c>
      <c r="AA847" t="s">
        <v>7366</v>
      </c>
      <c r="AB847" t="s">
        <v>7367</v>
      </c>
      <c r="AC847" t="s">
        <v>74</v>
      </c>
      <c r="AD847" t="s">
        <v>74</v>
      </c>
      <c r="AE847" t="s">
        <v>74</v>
      </c>
      <c r="AF847" t="s">
        <v>74</v>
      </c>
      <c r="AG847" t="s">
        <v>74</v>
      </c>
      <c r="AH847" t="s">
        <v>74</v>
      </c>
      <c r="AI847" t="s">
        <v>74</v>
      </c>
      <c r="AJ847" t="s">
        <v>74</v>
      </c>
      <c r="AK847" t="s">
        <v>74</v>
      </c>
      <c r="AL847" t="s">
        <v>74</v>
      </c>
      <c r="AM847" t="s">
        <v>74</v>
      </c>
      <c r="AN847" t="s">
        <v>74</v>
      </c>
      <c r="AO847" t="s">
        <v>657</v>
      </c>
      <c r="AP847" t="s">
        <v>658</v>
      </c>
      <c r="AQ847" t="s">
        <v>74</v>
      </c>
      <c r="AR847" t="s">
        <v>74</v>
      </c>
      <c r="AS847" t="s">
        <v>74</v>
      </c>
      <c r="AT847" t="s">
        <v>155</v>
      </c>
      <c r="AU847">
        <v>2015</v>
      </c>
      <c r="AV847">
        <v>15</v>
      </c>
      <c r="AW847">
        <v>9</v>
      </c>
      <c r="AX847" t="s">
        <v>74</v>
      </c>
      <c r="AY847" t="s">
        <v>74</v>
      </c>
      <c r="AZ847" t="s">
        <v>74</v>
      </c>
      <c r="BA847" t="s">
        <v>74</v>
      </c>
      <c r="BB847">
        <v>6149</v>
      </c>
      <c r="BC847">
        <v>6154</v>
      </c>
      <c r="BD847" t="s">
        <v>74</v>
      </c>
      <c r="BE847" t="s">
        <v>7368</v>
      </c>
      <c r="BF847" t="str">
        <f>HYPERLINK("http://dx.doi.org/10.1021/acs.nanolett.5b02432","http://dx.doi.org/10.1021/acs.nanolett.5b02432")</f>
        <v>http://dx.doi.org/10.1021/acs.nanolett.5b02432</v>
      </c>
      <c r="BG847" t="s">
        <v>74</v>
      </c>
      <c r="BH847" t="s">
        <v>74</v>
      </c>
      <c r="BI847" t="s">
        <v>74</v>
      </c>
      <c r="BJ847" t="s">
        <v>74</v>
      </c>
      <c r="BK847" t="s">
        <v>74</v>
      </c>
      <c r="BL847" t="s">
        <v>74</v>
      </c>
      <c r="BM847" t="s">
        <v>74</v>
      </c>
      <c r="BN847">
        <v>26237519</v>
      </c>
      <c r="BO847" t="s">
        <v>74</v>
      </c>
      <c r="BP847" t="s">
        <v>74</v>
      </c>
      <c r="BQ847" t="s">
        <v>74</v>
      </c>
      <c r="BR847" t="s">
        <v>74</v>
      </c>
      <c r="BS847" t="s">
        <v>7369</v>
      </c>
      <c r="BT847" t="str">
        <f>HYPERLINK("https%3A%2F%2Fwww.webofscience.com%2Fwos%2Fwoscc%2Ffull-record%2FWOS:000361252700075","View Full Record in Web of Science")</f>
        <v>View Full Record in Web of Science</v>
      </c>
    </row>
    <row r="848" spans="1:72" x14ac:dyDescent="0.2">
      <c r="A848" t="s">
        <v>72</v>
      </c>
      <c r="B848" t="s">
        <v>7370</v>
      </c>
      <c r="C848" t="s">
        <v>74</v>
      </c>
      <c r="D848" t="s">
        <v>74</v>
      </c>
      <c r="E848" t="s">
        <v>74</v>
      </c>
      <c r="F848" t="s">
        <v>7371</v>
      </c>
      <c r="G848" t="s">
        <v>74</v>
      </c>
      <c r="H848" t="s">
        <v>74</v>
      </c>
      <c r="I848" t="s">
        <v>7372</v>
      </c>
      <c r="J848" t="s">
        <v>231</v>
      </c>
      <c r="K848" t="s">
        <v>74</v>
      </c>
      <c r="L848" t="s">
        <v>74</v>
      </c>
      <c r="M848" t="s">
        <v>74</v>
      </c>
      <c r="N848" t="s">
        <v>74</v>
      </c>
      <c r="O848" t="s">
        <v>74</v>
      </c>
      <c r="P848" t="s">
        <v>74</v>
      </c>
      <c r="Q848" t="s">
        <v>74</v>
      </c>
      <c r="R848" t="s">
        <v>74</v>
      </c>
      <c r="S848" t="s">
        <v>74</v>
      </c>
      <c r="T848" t="s">
        <v>74</v>
      </c>
      <c r="U848" t="s">
        <v>74</v>
      </c>
      <c r="V848" t="s">
        <v>7373</v>
      </c>
      <c r="W848" t="s">
        <v>74</v>
      </c>
      <c r="X848" t="s">
        <v>74</v>
      </c>
      <c r="Y848" t="s">
        <v>74</v>
      </c>
      <c r="Z848" t="s">
        <v>74</v>
      </c>
      <c r="AA848" t="s">
        <v>7374</v>
      </c>
      <c r="AB848" t="s">
        <v>7375</v>
      </c>
      <c r="AC848" t="s">
        <v>74</v>
      </c>
      <c r="AD848" t="s">
        <v>74</v>
      </c>
      <c r="AE848" t="s">
        <v>74</v>
      </c>
      <c r="AF848" t="s">
        <v>74</v>
      </c>
      <c r="AG848" t="s">
        <v>74</v>
      </c>
      <c r="AH848" t="s">
        <v>74</v>
      </c>
      <c r="AI848" t="s">
        <v>74</v>
      </c>
      <c r="AJ848" t="s">
        <v>74</v>
      </c>
      <c r="AK848" t="s">
        <v>74</v>
      </c>
      <c r="AL848" t="s">
        <v>74</v>
      </c>
      <c r="AM848" t="s">
        <v>74</v>
      </c>
      <c r="AN848" t="s">
        <v>74</v>
      </c>
      <c r="AO848" t="s">
        <v>1363</v>
      </c>
      <c r="AP848" t="s">
        <v>234</v>
      </c>
      <c r="AQ848" t="s">
        <v>74</v>
      </c>
      <c r="AR848" t="s">
        <v>74</v>
      </c>
      <c r="AS848" t="s">
        <v>74</v>
      </c>
      <c r="AT848" t="s">
        <v>427</v>
      </c>
      <c r="AU848">
        <v>2015</v>
      </c>
      <c r="AV848">
        <v>54</v>
      </c>
      <c r="AW848">
        <v>27</v>
      </c>
      <c r="AX848" t="s">
        <v>74</v>
      </c>
      <c r="AY848" t="s">
        <v>74</v>
      </c>
      <c r="AZ848" t="s">
        <v>74</v>
      </c>
      <c r="BA848" t="s">
        <v>74</v>
      </c>
      <c r="BB848">
        <v>7900</v>
      </c>
      <c r="BC848">
        <v>7904</v>
      </c>
      <c r="BD848" t="s">
        <v>74</v>
      </c>
      <c r="BE848" t="s">
        <v>7376</v>
      </c>
      <c r="BF848" t="str">
        <f>HYPERLINK("http://dx.doi.org/10.1002/anie.201412202","http://dx.doi.org/10.1002/anie.201412202")</f>
        <v>http://dx.doi.org/10.1002/anie.201412202</v>
      </c>
      <c r="BG848" t="s">
        <v>74</v>
      </c>
      <c r="BH848" t="s">
        <v>74</v>
      </c>
      <c r="BI848" t="s">
        <v>74</v>
      </c>
      <c r="BJ848" t="s">
        <v>74</v>
      </c>
      <c r="BK848" t="s">
        <v>74</v>
      </c>
      <c r="BL848" t="s">
        <v>74</v>
      </c>
      <c r="BM848" t="s">
        <v>74</v>
      </c>
      <c r="BN848">
        <v>26013580</v>
      </c>
      <c r="BO848" t="s">
        <v>74</v>
      </c>
      <c r="BP848" t="s">
        <v>74</v>
      </c>
      <c r="BQ848" t="s">
        <v>74</v>
      </c>
      <c r="BR848" t="s">
        <v>74</v>
      </c>
      <c r="BS848" t="s">
        <v>7377</v>
      </c>
      <c r="BT848" t="str">
        <f>HYPERLINK("https%3A%2F%2Fwww.webofscience.com%2Fwos%2Fwoscc%2Ffull-record%2FWOS:000356886600030","View Full Record in Web of Science")</f>
        <v>View Full Record in Web of Science</v>
      </c>
    </row>
    <row r="849" spans="1:72" x14ac:dyDescent="0.2">
      <c r="A849" t="s">
        <v>72</v>
      </c>
      <c r="B849" t="s">
        <v>7378</v>
      </c>
      <c r="C849" t="s">
        <v>74</v>
      </c>
      <c r="D849" t="s">
        <v>74</v>
      </c>
      <c r="E849" t="s">
        <v>74</v>
      </c>
      <c r="F849" t="s">
        <v>7379</v>
      </c>
      <c r="G849" t="s">
        <v>74</v>
      </c>
      <c r="H849" t="s">
        <v>74</v>
      </c>
      <c r="I849" t="s">
        <v>7380</v>
      </c>
      <c r="J849" t="s">
        <v>1256</v>
      </c>
      <c r="K849" t="s">
        <v>74</v>
      </c>
      <c r="L849" t="s">
        <v>74</v>
      </c>
      <c r="M849" t="s">
        <v>74</v>
      </c>
      <c r="N849" t="s">
        <v>74</v>
      </c>
      <c r="O849" t="s">
        <v>74</v>
      </c>
      <c r="P849" t="s">
        <v>74</v>
      </c>
      <c r="Q849" t="s">
        <v>74</v>
      </c>
      <c r="R849" t="s">
        <v>74</v>
      </c>
      <c r="S849" t="s">
        <v>74</v>
      </c>
      <c r="T849" t="s">
        <v>74</v>
      </c>
      <c r="U849" t="s">
        <v>74</v>
      </c>
      <c r="V849" t="s">
        <v>7381</v>
      </c>
      <c r="W849" t="s">
        <v>74</v>
      </c>
      <c r="X849" t="s">
        <v>74</v>
      </c>
      <c r="Y849" t="s">
        <v>74</v>
      </c>
      <c r="Z849" t="s">
        <v>74</v>
      </c>
      <c r="AA849" t="s">
        <v>7382</v>
      </c>
      <c r="AB849" t="s">
        <v>7383</v>
      </c>
      <c r="AC849" t="s">
        <v>74</v>
      </c>
      <c r="AD849" t="s">
        <v>74</v>
      </c>
      <c r="AE849" t="s">
        <v>74</v>
      </c>
      <c r="AF849" t="s">
        <v>74</v>
      </c>
      <c r="AG849" t="s">
        <v>74</v>
      </c>
      <c r="AH849" t="s">
        <v>74</v>
      </c>
      <c r="AI849" t="s">
        <v>74</v>
      </c>
      <c r="AJ849" t="s">
        <v>74</v>
      </c>
      <c r="AK849" t="s">
        <v>74</v>
      </c>
      <c r="AL849" t="s">
        <v>74</v>
      </c>
      <c r="AM849" t="s">
        <v>74</v>
      </c>
      <c r="AN849" t="s">
        <v>74</v>
      </c>
      <c r="AO849" t="s">
        <v>1258</v>
      </c>
      <c r="AP849" t="s">
        <v>1259</v>
      </c>
      <c r="AQ849" t="s">
        <v>74</v>
      </c>
      <c r="AR849" t="s">
        <v>74</v>
      </c>
      <c r="AS849" t="s">
        <v>74</v>
      </c>
      <c r="AT849" t="s">
        <v>2174</v>
      </c>
      <c r="AU849">
        <v>2015</v>
      </c>
      <c r="AV849">
        <v>166</v>
      </c>
      <c r="AW849" t="s">
        <v>74</v>
      </c>
      <c r="AX849" t="s">
        <v>74</v>
      </c>
      <c r="AY849" t="s">
        <v>74</v>
      </c>
      <c r="AZ849" t="s">
        <v>74</v>
      </c>
      <c r="BA849" t="s">
        <v>74</v>
      </c>
      <c r="BB849">
        <v>197</v>
      </c>
      <c r="BC849">
        <v>205</v>
      </c>
      <c r="BD849" t="s">
        <v>74</v>
      </c>
      <c r="BE849" t="s">
        <v>7384</v>
      </c>
      <c r="BF849" t="str">
        <f>HYPERLINK("http://dx.doi.org/10.1016/j.electacta.2015.03.109","http://dx.doi.org/10.1016/j.electacta.2015.03.109")</f>
        <v>http://dx.doi.org/10.1016/j.electacta.2015.03.109</v>
      </c>
      <c r="BG849" t="s">
        <v>74</v>
      </c>
      <c r="BH849" t="s">
        <v>74</v>
      </c>
      <c r="BI849" t="s">
        <v>74</v>
      </c>
      <c r="BJ849" t="s">
        <v>74</v>
      </c>
      <c r="BK849" t="s">
        <v>74</v>
      </c>
      <c r="BL849" t="s">
        <v>74</v>
      </c>
      <c r="BM849" t="s">
        <v>74</v>
      </c>
      <c r="BN849" t="s">
        <v>74</v>
      </c>
      <c r="BO849" t="s">
        <v>74</v>
      </c>
      <c r="BP849" t="s">
        <v>74</v>
      </c>
      <c r="BQ849" t="s">
        <v>74</v>
      </c>
      <c r="BR849" t="s">
        <v>74</v>
      </c>
      <c r="BS849" t="s">
        <v>7385</v>
      </c>
      <c r="BT849" t="str">
        <f>HYPERLINK("https%3A%2F%2Fwww.webofscience.com%2Fwos%2Fwoscc%2Ffull-record%2FWOS:000354036200027","View Full Record in Web of Science")</f>
        <v>View Full Record in Web of Science</v>
      </c>
    </row>
    <row r="850" spans="1:72" x14ac:dyDescent="0.2">
      <c r="A850" t="s">
        <v>72</v>
      </c>
      <c r="B850" t="s">
        <v>7386</v>
      </c>
      <c r="C850" t="s">
        <v>74</v>
      </c>
      <c r="D850" t="s">
        <v>74</v>
      </c>
      <c r="E850" t="s">
        <v>74</v>
      </c>
      <c r="F850" t="s">
        <v>7387</v>
      </c>
      <c r="G850" t="s">
        <v>74</v>
      </c>
      <c r="H850" t="s">
        <v>74</v>
      </c>
      <c r="I850" t="s">
        <v>7388</v>
      </c>
      <c r="J850" t="s">
        <v>5138</v>
      </c>
      <c r="K850" t="s">
        <v>74</v>
      </c>
      <c r="L850" t="s">
        <v>74</v>
      </c>
      <c r="M850" t="s">
        <v>74</v>
      </c>
      <c r="N850" t="s">
        <v>74</v>
      </c>
      <c r="O850" t="s">
        <v>74</v>
      </c>
      <c r="P850" t="s">
        <v>74</v>
      </c>
      <c r="Q850" t="s">
        <v>74</v>
      </c>
      <c r="R850" t="s">
        <v>74</v>
      </c>
      <c r="S850" t="s">
        <v>74</v>
      </c>
      <c r="T850" t="s">
        <v>74</v>
      </c>
      <c r="U850" t="s">
        <v>74</v>
      </c>
      <c r="V850" t="s">
        <v>7389</v>
      </c>
      <c r="W850" t="s">
        <v>74</v>
      </c>
      <c r="X850" t="s">
        <v>74</v>
      </c>
      <c r="Y850" t="s">
        <v>74</v>
      </c>
      <c r="Z850" t="s">
        <v>74</v>
      </c>
      <c r="AA850" t="s">
        <v>74</v>
      </c>
      <c r="AB850" t="s">
        <v>74</v>
      </c>
      <c r="AC850" t="s">
        <v>74</v>
      </c>
      <c r="AD850" t="s">
        <v>74</v>
      </c>
      <c r="AE850" t="s">
        <v>74</v>
      </c>
      <c r="AF850" t="s">
        <v>74</v>
      </c>
      <c r="AG850" t="s">
        <v>74</v>
      </c>
      <c r="AH850" t="s">
        <v>74</v>
      </c>
      <c r="AI850" t="s">
        <v>74</v>
      </c>
      <c r="AJ850" t="s">
        <v>74</v>
      </c>
      <c r="AK850" t="s">
        <v>74</v>
      </c>
      <c r="AL850" t="s">
        <v>74</v>
      </c>
      <c r="AM850" t="s">
        <v>74</v>
      </c>
      <c r="AN850" t="s">
        <v>74</v>
      </c>
      <c r="AO850" t="s">
        <v>5142</v>
      </c>
      <c r="AP850" t="s">
        <v>5143</v>
      </c>
      <c r="AQ850" t="s">
        <v>74</v>
      </c>
      <c r="AR850" t="s">
        <v>74</v>
      </c>
      <c r="AS850" t="s">
        <v>74</v>
      </c>
      <c r="AT850" t="s">
        <v>1972</v>
      </c>
      <c r="AU850">
        <v>2015</v>
      </c>
      <c r="AV850">
        <v>174</v>
      </c>
      <c r="AW850" t="s">
        <v>74</v>
      </c>
      <c r="AX850" t="s">
        <v>74</v>
      </c>
      <c r="AY850" t="s">
        <v>74</v>
      </c>
      <c r="AZ850" t="s">
        <v>2280</v>
      </c>
      <c r="BA850" t="s">
        <v>74</v>
      </c>
      <c r="BB850">
        <v>30</v>
      </c>
      <c r="BC850">
        <v>35</v>
      </c>
      <c r="BD850" t="s">
        <v>74</v>
      </c>
      <c r="BE850" t="s">
        <v>7390</v>
      </c>
      <c r="BF850" t="str">
        <f>HYPERLINK("http://dx.doi.org/10.1016/j.jfluchem.2014.08.003","http://dx.doi.org/10.1016/j.jfluchem.2014.08.003")</f>
        <v>http://dx.doi.org/10.1016/j.jfluchem.2014.08.003</v>
      </c>
      <c r="BG850" t="s">
        <v>74</v>
      </c>
      <c r="BH850" t="s">
        <v>74</v>
      </c>
      <c r="BI850" t="s">
        <v>74</v>
      </c>
      <c r="BJ850" t="s">
        <v>74</v>
      </c>
      <c r="BK850" t="s">
        <v>74</v>
      </c>
      <c r="BL850" t="s">
        <v>74</v>
      </c>
      <c r="BM850" t="s">
        <v>74</v>
      </c>
      <c r="BN850" t="s">
        <v>74</v>
      </c>
      <c r="BO850" t="s">
        <v>74</v>
      </c>
      <c r="BP850" t="s">
        <v>74</v>
      </c>
      <c r="BQ850" t="s">
        <v>74</v>
      </c>
      <c r="BR850" t="s">
        <v>74</v>
      </c>
      <c r="BS850" t="s">
        <v>7391</v>
      </c>
      <c r="BT850" t="str">
        <f>HYPERLINK("https%3A%2F%2Fwww.webofscience.com%2Fwos%2Fwoscc%2Ffull-record%2FWOS:000355353400006","View Full Record in Web of Science")</f>
        <v>View Full Record in Web of Science</v>
      </c>
    </row>
    <row r="851" spans="1:72" x14ac:dyDescent="0.2">
      <c r="A851" t="s">
        <v>72</v>
      </c>
      <c r="B851" t="s">
        <v>7392</v>
      </c>
      <c r="C851" t="s">
        <v>74</v>
      </c>
      <c r="D851" t="s">
        <v>74</v>
      </c>
      <c r="E851" t="s">
        <v>74</v>
      </c>
      <c r="F851" t="s">
        <v>7393</v>
      </c>
      <c r="G851" t="s">
        <v>74</v>
      </c>
      <c r="H851" t="s">
        <v>74</v>
      </c>
      <c r="I851" t="s">
        <v>7394</v>
      </c>
      <c r="J851" t="s">
        <v>6277</v>
      </c>
      <c r="K851" t="s">
        <v>74</v>
      </c>
      <c r="L851" t="s">
        <v>74</v>
      </c>
      <c r="M851" t="s">
        <v>74</v>
      </c>
      <c r="N851" t="s">
        <v>74</v>
      </c>
      <c r="O851" t="s">
        <v>74</v>
      </c>
      <c r="P851" t="s">
        <v>74</v>
      </c>
      <c r="Q851" t="s">
        <v>74</v>
      </c>
      <c r="R851" t="s">
        <v>74</v>
      </c>
      <c r="S851" t="s">
        <v>74</v>
      </c>
      <c r="T851" t="s">
        <v>74</v>
      </c>
      <c r="U851" t="s">
        <v>74</v>
      </c>
      <c r="V851" t="s">
        <v>7395</v>
      </c>
      <c r="W851" t="s">
        <v>74</v>
      </c>
      <c r="X851" t="s">
        <v>74</v>
      </c>
      <c r="Y851" t="s">
        <v>74</v>
      </c>
      <c r="Z851" t="s">
        <v>74</v>
      </c>
      <c r="AA851" t="s">
        <v>7396</v>
      </c>
      <c r="AB851" t="s">
        <v>7397</v>
      </c>
      <c r="AC851" t="s">
        <v>74</v>
      </c>
      <c r="AD851" t="s">
        <v>74</v>
      </c>
      <c r="AE851" t="s">
        <v>74</v>
      </c>
      <c r="AF851" t="s">
        <v>74</v>
      </c>
      <c r="AG851" t="s">
        <v>74</v>
      </c>
      <c r="AH851" t="s">
        <v>74</v>
      </c>
      <c r="AI851" t="s">
        <v>74</v>
      </c>
      <c r="AJ851" t="s">
        <v>74</v>
      </c>
      <c r="AK851" t="s">
        <v>74</v>
      </c>
      <c r="AL851" t="s">
        <v>74</v>
      </c>
      <c r="AM851" t="s">
        <v>74</v>
      </c>
      <c r="AN851" t="s">
        <v>74</v>
      </c>
      <c r="AO851" t="s">
        <v>6280</v>
      </c>
      <c r="AP851" t="s">
        <v>74</v>
      </c>
      <c r="AQ851" t="s">
        <v>74</v>
      </c>
      <c r="AR851" t="s">
        <v>74</v>
      </c>
      <c r="AS851" t="s">
        <v>74</v>
      </c>
      <c r="AT851" t="s">
        <v>1972</v>
      </c>
      <c r="AU851">
        <v>2015</v>
      </c>
      <c r="AV851">
        <v>83</v>
      </c>
      <c r="AW851">
        <v>6</v>
      </c>
      <c r="AX851" t="s">
        <v>74</v>
      </c>
      <c r="AY851" t="s">
        <v>74</v>
      </c>
      <c r="AZ851" t="s">
        <v>74</v>
      </c>
      <c r="BA851" t="s">
        <v>74</v>
      </c>
      <c r="BB851">
        <v>452</v>
      </c>
      <c r="BC851">
        <v>458</v>
      </c>
      <c r="BD851" t="s">
        <v>74</v>
      </c>
      <c r="BE851" t="s">
        <v>7398</v>
      </c>
      <c r="BF851" t="str">
        <f>HYPERLINK("http://dx.doi.org/10.5796/electrochemistry.83.452","http://dx.doi.org/10.5796/electrochemistry.83.452")</f>
        <v>http://dx.doi.org/10.5796/electrochemistry.83.452</v>
      </c>
      <c r="BG851" t="s">
        <v>74</v>
      </c>
      <c r="BH851" t="s">
        <v>74</v>
      </c>
      <c r="BI851" t="s">
        <v>74</v>
      </c>
      <c r="BJ851" t="s">
        <v>74</v>
      </c>
      <c r="BK851" t="s">
        <v>74</v>
      </c>
      <c r="BL851" t="s">
        <v>74</v>
      </c>
      <c r="BM851" t="s">
        <v>74</v>
      </c>
      <c r="BN851" t="s">
        <v>74</v>
      </c>
      <c r="BO851" t="s">
        <v>74</v>
      </c>
      <c r="BP851" t="s">
        <v>74</v>
      </c>
      <c r="BQ851" t="s">
        <v>74</v>
      </c>
      <c r="BR851" t="s">
        <v>74</v>
      </c>
      <c r="BS851" t="s">
        <v>7399</v>
      </c>
      <c r="BT851" t="str">
        <f>HYPERLINK("https%3A%2F%2Fwww.webofscience.com%2Fwos%2Fwoscc%2Ffull-record%2FWOS:000356204200010","View Full Record in Web of Science")</f>
        <v>View Full Record in Web of Science</v>
      </c>
    </row>
    <row r="852" spans="1:72" x14ac:dyDescent="0.2">
      <c r="A852" t="s">
        <v>72</v>
      </c>
      <c r="B852" t="s">
        <v>7400</v>
      </c>
      <c r="C852" t="s">
        <v>74</v>
      </c>
      <c r="D852" t="s">
        <v>74</v>
      </c>
      <c r="E852" t="s">
        <v>74</v>
      </c>
      <c r="F852" t="s">
        <v>7401</v>
      </c>
      <c r="G852" t="s">
        <v>74</v>
      </c>
      <c r="H852" t="s">
        <v>74</v>
      </c>
      <c r="I852" t="s">
        <v>7402</v>
      </c>
      <c r="J852" t="s">
        <v>1256</v>
      </c>
      <c r="K852" t="s">
        <v>74</v>
      </c>
      <c r="L852" t="s">
        <v>74</v>
      </c>
      <c r="M852" t="s">
        <v>74</v>
      </c>
      <c r="N852" t="s">
        <v>74</v>
      </c>
      <c r="O852" t="s">
        <v>74</v>
      </c>
      <c r="P852" t="s">
        <v>74</v>
      </c>
      <c r="Q852" t="s">
        <v>74</v>
      </c>
      <c r="R852" t="s">
        <v>74</v>
      </c>
      <c r="S852" t="s">
        <v>74</v>
      </c>
      <c r="T852" t="s">
        <v>74</v>
      </c>
      <c r="U852" t="s">
        <v>74</v>
      </c>
      <c r="V852" t="s">
        <v>7403</v>
      </c>
      <c r="W852" t="s">
        <v>74</v>
      </c>
      <c r="X852" t="s">
        <v>74</v>
      </c>
      <c r="Y852" t="s">
        <v>74</v>
      </c>
      <c r="Z852" t="s">
        <v>74</v>
      </c>
      <c r="AA852" t="s">
        <v>7404</v>
      </c>
      <c r="AB852" t="s">
        <v>7405</v>
      </c>
      <c r="AC852" t="s">
        <v>74</v>
      </c>
      <c r="AD852" t="s">
        <v>74</v>
      </c>
      <c r="AE852" t="s">
        <v>74</v>
      </c>
      <c r="AF852" t="s">
        <v>74</v>
      </c>
      <c r="AG852" t="s">
        <v>74</v>
      </c>
      <c r="AH852" t="s">
        <v>74</v>
      </c>
      <c r="AI852" t="s">
        <v>74</v>
      </c>
      <c r="AJ852" t="s">
        <v>74</v>
      </c>
      <c r="AK852" t="s">
        <v>74</v>
      </c>
      <c r="AL852" t="s">
        <v>74</v>
      </c>
      <c r="AM852" t="s">
        <v>74</v>
      </c>
      <c r="AN852" t="s">
        <v>74</v>
      </c>
      <c r="AO852" t="s">
        <v>1258</v>
      </c>
      <c r="AP852" t="s">
        <v>1259</v>
      </c>
      <c r="AQ852" t="s">
        <v>74</v>
      </c>
      <c r="AR852" t="s">
        <v>74</v>
      </c>
      <c r="AS852" t="s">
        <v>74</v>
      </c>
      <c r="AT852" t="s">
        <v>2194</v>
      </c>
      <c r="AU852">
        <v>2015</v>
      </c>
      <c r="AV852">
        <v>164</v>
      </c>
      <c r="AW852" t="s">
        <v>74</v>
      </c>
      <c r="AX852" t="s">
        <v>74</v>
      </c>
      <c r="AY852" t="s">
        <v>74</v>
      </c>
      <c r="AZ852" t="s">
        <v>74</v>
      </c>
      <c r="BA852" t="s">
        <v>74</v>
      </c>
      <c r="BB852">
        <v>108</v>
      </c>
      <c r="BC852">
        <v>113</v>
      </c>
      <c r="BD852" t="s">
        <v>74</v>
      </c>
      <c r="BE852" t="s">
        <v>7406</v>
      </c>
      <c r="BF852" t="str">
        <f>HYPERLINK("http://dx.doi.org/10.1016/j.electacta.2015.02.214","http://dx.doi.org/10.1016/j.electacta.2015.02.214")</f>
        <v>http://dx.doi.org/10.1016/j.electacta.2015.02.214</v>
      </c>
      <c r="BG852" t="s">
        <v>74</v>
      </c>
      <c r="BH852" t="s">
        <v>74</v>
      </c>
      <c r="BI852" t="s">
        <v>74</v>
      </c>
      <c r="BJ852" t="s">
        <v>74</v>
      </c>
      <c r="BK852" t="s">
        <v>74</v>
      </c>
      <c r="BL852" t="s">
        <v>74</v>
      </c>
      <c r="BM852" t="s">
        <v>74</v>
      </c>
      <c r="BN852" t="s">
        <v>74</v>
      </c>
      <c r="BO852" t="s">
        <v>74</v>
      </c>
      <c r="BP852" t="s">
        <v>74</v>
      </c>
      <c r="BQ852" t="s">
        <v>74</v>
      </c>
      <c r="BR852" t="s">
        <v>74</v>
      </c>
      <c r="BS852" t="s">
        <v>7407</v>
      </c>
      <c r="BT852" t="str">
        <f>HYPERLINK("https%3A%2F%2Fwww.webofscience.com%2Fwos%2Fwoscc%2Ffull-record%2FWOS:000352499000013","View Full Record in Web of Science")</f>
        <v>View Full Record in Web of Science</v>
      </c>
    </row>
    <row r="853" spans="1:72" x14ac:dyDescent="0.2">
      <c r="A853" t="s">
        <v>72</v>
      </c>
      <c r="B853" t="s">
        <v>7408</v>
      </c>
      <c r="C853" t="s">
        <v>74</v>
      </c>
      <c r="D853" t="s">
        <v>74</v>
      </c>
      <c r="E853" t="s">
        <v>74</v>
      </c>
      <c r="F853" t="s">
        <v>7409</v>
      </c>
      <c r="G853" t="s">
        <v>74</v>
      </c>
      <c r="H853" t="s">
        <v>74</v>
      </c>
      <c r="I853" t="s">
        <v>7410</v>
      </c>
      <c r="J853" t="s">
        <v>528</v>
      </c>
      <c r="K853" t="s">
        <v>74</v>
      </c>
      <c r="L853" t="s">
        <v>74</v>
      </c>
      <c r="M853" t="s">
        <v>74</v>
      </c>
      <c r="N853" t="s">
        <v>74</v>
      </c>
      <c r="O853" t="s">
        <v>74</v>
      </c>
      <c r="P853" t="s">
        <v>74</v>
      </c>
      <c r="Q853" t="s">
        <v>74</v>
      </c>
      <c r="R853" t="s">
        <v>74</v>
      </c>
      <c r="S853" t="s">
        <v>74</v>
      </c>
      <c r="T853" t="s">
        <v>74</v>
      </c>
      <c r="U853" t="s">
        <v>74</v>
      </c>
      <c r="V853" t="s">
        <v>7411</v>
      </c>
      <c r="W853" t="s">
        <v>74</v>
      </c>
      <c r="X853" t="s">
        <v>74</v>
      </c>
      <c r="Y853" t="s">
        <v>74</v>
      </c>
      <c r="Z853" t="s">
        <v>74</v>
      </c>
      <c r="AA853" t="s">
        <v>7412</v>
      </c>
      <c r="AB853" t="s">
        <v>7413</v>
      </c>
      <c r="AC853" t="s">
        <v>74</v>
      </c>
      <c r="AD853" t="s">
        <v>74</v>
      </c>
      <c r="AE853" t="s">
        <v>74</v>
      </c>
      <c r="AF853" t="s">
        <v>74</v>
      </c>
      <c r="AG853" t="s">
        <v>74</v>
      </c>
      <c r="AH853" t="s">
        <v>74</v>
      </c>
      <c r="AI853" t="s">
        <v>74</v>
      </c>
      <c r="AJ853" t="s">
        <v>74</v>
      </c>
      <c r="AK853" t="s">
        <v>74</v>
      </c>
      <c r="AL853" t="s">
        <v>74</v>
      </c>
      <c r="AM853" t="s">
        <v>74</v>
      </c>
      <c r="AN853" t="s">
        <v>74</v>
      </c>
      <c r="AO853" t="s">
        <v>532</v>
      </c>
      <c r="AP853" t="s">
        <v>533</v>
      </c>
      <c r="AQ853" t="s">
        <v>74</v>
      </c>
      <c r="AR853" t="s">
        <v>74</v>
      </c>
      <c r="AS853" t="s">
        <v>74</v>
      </c>
      <c r="AT853" t="s">
        <v>798</v>
      </c>
      <c r="AU853">
        <v>2015</v>
      </c>
      <c r="AV853">
        <v>7</v>
      </c>
      <c r="AW853">
        <v>14</v>
      </c>
      <c r="AX853" t="s">
        <v>74</v>
      </c>
      <c r="AY853" t="s">
        <v>74</v>
      </c>
      <c r="AZ853" t="s">
        <v>74</v>
      </c>
      <c r="BA853" t="s">
        <v>74</v>
      </c>
      <c r="BB853">
        <v>7690</v>
      </c>
      <c r="BC853">
        <v>7701</v>
      </c>
      <c r="BD853" t="s">
        <v>74</v>
      </c>
      <c r="BE853" t="s">
        <v>7414</v>
      </c>
      <c r="BF853" t="str">
        <f>HYPERLINK("http://dx.doi.org/10.1021/acsami.5b00618","http://dx.doi.org/10.1021/acsami.5b00618")</f>
        <v>http://dx.doi.org/10.1021/acsami.5b00618</v>
      </c>
      <c r="BG853" t="s">
        <v>74</v>
      </c>
      <c r="BH853" t="s">
        <v>74</v>
      </c>
      <c r="BI853" t="s">
        <v>74</v>
      </c>
      <c r="BJ853" t="s">
        <v>74</v>
      </c>
      <c r="BK853" t="s">
        <v>74</v>
      </c>
      <c r="BL853" t="s">
        <v>74</v>
      </c>
      <c r="BM853" t="s">
        <v>74</v>
      </c>
      <c r="BN853">
        <v>25805120</v>
      </c>
      <c r="BO853" t="s">
        <v>74</v>
      </c>
      <c r="BP853" t="s">
        <v>74</v>
      </c>
      <c r="BQ853" t="s">
        <v>74</v>
      </c>
      <c r="BR853" t="s">
        <v>74</v>
      </c>
      <c r="BS853" t="s">
        <v>7415</v>
      </c>
      <c r="BT853" t="str">
        <f>HYPERLINK("https%3A%2F%2Fwww.webofscience.com%2Fwos%2Fwoscc%2Ffull-record%2FWOS:000353177000032","View Full Record in Web of Science")</f>
        <v>View Full Record in Web of Science</v>
      </c>
    </row>
    <row r="854" spans="1:72" x14ac:dyDescent="0.2">
      <c r="A854" t="s">
        <v>72</v>
      </c>
      <c r="B854" t="s">
        <v>7416</v>
      </c>
      <c r="C854" t="s">
        <v>74</v>
      </c>
      <c r="D854" t="s">
        <v>74</v>
      </c>
      <c r="E854" t="s">
        <v>74</v>
      </c>
      <c r="F854" t="s">
        <v>7417</v>
      </c>
      <c r="G854" t="s">
        <v>74</v>
      </c>
      <c r="H854" t="s">
        <v>74</v>
      </c>
      <c r="I854" t="s">
        <v>7418</v>
      </c>
      <c r="J854" t="s">
        <v>98</v>
      </c>
      <c r="K854" t="s">
        <v>74</v>
      </c>
      <c r="L854" t="s">
        <v>74</v>
      </c>
      <c r="M854" t="s">
        <v>74</v>
      </c>
      <c r="N854" t="s">
        <v>74</v>
      </c>
      <c r="O854" t="s">
        <v>74</v>
      </c>
      <c r="P854" t="s">
        <v>74</v>
      </c>
      <c r="Q854" t="s">
        <v>74</v>
      </c>
      <c r="R854" t="s">
        <v>74</v>
      </c>
      <c r="S854" t="s">
        <v>74</v>
      </c>
      <c r="T854" t="s">
        <v>74</v>
      </c>
      <c r="U854" t="s">
        <v>74</v>
      </c>
      <c r="V854" t="s">
        <v>7419</v>
      </c>
      <c r="W854" t="s">
        <v>74</v>
      </c>
      <c r="X854" t="s">
        <v>74</v>
      </c>
      <c r="Y854" t="s">
        <v>74</v>
      </c>
      <c r="Z854" t="s">
        <v>74</v>
      </c>
      <c r="AA854" t="s">
        <v>7420</v>
      </c>
      <c r="AB854" t="s">
        <v>7421</v>
      </c>
      <c r="AC854" t="s">
        <v>74</v>
      </c>
      <c r="AD854" t="s">
        <v>74</v>
      </c>
      <c r="AE854" t="s">
        <v>74</v>
      </c>
      <c r="AF854" t="s">
        <v>74</v>
      </c>
      <c r="AG854" t="s">
        <v>74</v>
      </c>
      <c r="AH854" t="s">
        <v>74</v>
      </c>
      <c r="AI854" t="s">
        <v>74</v>
      </c>
      <c r="AJ854" t="s">
        <v>74</v>
      </c>
      <c r="AK854" t="s">
        <v>74</v>
      </c>
      <c r="AL854" t="s">
        <v>74</v>
      </c>
      <c r="AM854" t="s">
        <v>74</v>
      </c>
      <c r="AN854" t="s">
        <v>74</v>
      </c>
      <c r="AO854" t="s">
        <v>101</v>
      </c>
      <c r="AP854" t="s">
        <v>102</v>
      </c>
      <c r="AQ854" t="s">
        <v>74</v>
      </c>
      <c r="AR854" t="s">
        <v>74</v>
      </c>
      <c r="AS854" t="s">
        <v>74</v>
      </c>
      <c r="AT854" t="s">
        <v>2556</v>
      </c>
      <c r="AU854">
        <v>2015</v>
      </c>
      <c r="AV854">
        <v>277</v>
      </c>
      <c r="AW854" t="s">
        <v>74</v>
      </c>
      <c r="AX854" t="s">
        <v>74</v>
      </c>
      <c r="AY854" t="s">
        <v>74</v>
      </c>
      <c r="AZ854" t="s">
        <v>74</v>
      </c>
      <c r="BA854" t="s">
        <v>74</v>
      </c>
      <c r="BB854">
        <v>139</v>
      </c>
      <c r="BC854">
        <v>146</v>
      </c>
      <c r="BD854" t="s">
        <v>74</v>
      </c>
      <c r="BE854" t="s">
        <v>7422</v>
      </c>
      <c r="BF854" t="str">
        <f>HYPERLINK("http://dx.doi.org/10.1016/j.jpowsour.2014.11.149","http://dx.doi.org/10.1016/j.jpowsour.2014.11.149")</f>
        <v>http://dx.doi.org/10.1016/j.jpowsour.2014.11.149</v>
      </c>
      <c r="BG854" t="s">
        <v>74</v>
      </c>
      <c r="BH854" t="s">
        <v>74</v>
      </c>
      <c r="BI854" t="s">
        <v>74</v>
      </c>
      <c r="BJ854" t="s">
        <v>74</v>
      </c>
      <c r="BK854" t="s">
        <v>74</v>
      </c>
      <c r="BL854" t="s">
        <v>74</v>
      </c>
      <c r="BM854" t="s">
        <v>74</v>
      </c>
      <c r="BN854" t="s">
        <v>74</v>
      </c>
      <c r="BO854" t="s">
        <v>74</v>
      </c>
      <c r="BP854" t="s">
        <v>74</v>
      </c>
      <c r="BQ854" t="s">
        <v>74</v>
      </c>
      <c r="BR854" t="s">
        <v>74</v>
      </c>
      <c r="BS854" t="s">
        <v>7423</v>
      </c>
      <c r="BT854" t="str">
        <f>HYPERLINK("https%3A%2F%2Fwww.webofscience.com%2Fwos%2Fwoscc%2Ffull-record%2FWOS:000348957000018","View Full Record in Web of Science")</f>
        <v>View Full Record in Web of Science</v>
      </c>
    </row>
    <row r="855" spans="1:72" x14ac:dyDescent="0.2">
      <c r="A855" t="s">
        <v>72</v>
      </c>
      <c r="B855" t="s">
        <v>7424</v>
      </c>
      <c r="C855" t="s">
        <v>74</v>
      </c>
      <c r="D855" t="s">
        <v>74</v>
      </c>
      <c r="E855" t="s">
        <v>74</v>
      </c>
      <c r="F855" t="s">
        <v>7425</v>
      </c>
      <c r="G855" t="s">
        <v>74</v>
      </c>
      <c r="H855" t="s">
        <v>74</v>
      </c>
      <c r="I855" t="s">
        <v>7426</v>
      </c>
      <c r="J855" t="s">
        <v>587</v>
      </c>
      <c r="K855" t="s">
        <v>74</v>
      </c>
      <c r="L855" t="s">
        <v>74</v>
      </c>
      <c r="M855" t="s">
        <v>74</v>
      </c>
      <c r="N855" t="s">
        <v>74</v>
      </c>
      <c r="O855" t="s">
        <v>74</v>
      </c>
      <c r="P855" t="s">
        <v>74</v>
      </c>
      <c r="Q855" t="s">
        <v>74</v>
      </c>
      <c r="R855" t="s">
        <v>74</v>
      </c>
      <c r="S855" t="s">
        <v>74</v>
      </c>
      <c r="T855" t="s">
        <v>74</v>
      </c>
      <c r="U855" t="s">
        <v>74</v>
      </c>
      <c r="V855" t="s">
        <v>7427</v>
      </c>
      <c r="W855" t="s">
        <v>74</v>
      </c>
      <c r="X855" t="s">
        <v>74</v>
      </c>
      <c r="Y855" t="s">
        <v>74</v>
      </c>
      <c r="Z855" t="s">
        <v>74</v>
      </c>
      <c r="AA855" t="s">
        <v>7428</v>
      </c>
      <c r="AB855" t="s">
        <v>7429</v>
      </c>
      <c r="AC855" t="s">
        <v>74</v>
      </c>
      <c r="AD855" t="s">
        <v>74</v>
      </c>
      <c r="AE855" t="s">
        <v>74</v>
      </c>
      <c r="AF855" t="s">
        <v>74</v>
      </c>
      <c r="AG855" t="s">
        <v>74</v>
      </c>
      <c r="AH855" t="s">
        <v>74</v>
      </c>
      <c r="AI855" t="s">
        <v>74</v>
      </c>
      <c r="AJ855" t="s">
        <v>74</v>
      </c>
      <c r="AK855" t="s">
        <v>74</v>
      </c>
      <c r="AL855" t="s">
        <v>74</v>
      </c>
      <c r="AM855" t="s">
        <v>74</v>
      </c>
      <c r="AN855" t="s">
        <v>74</v>
      </c>
      <c r="AO855" t="s">
        <v>591</v>
      </c>
      <c r="AP855" t="s">
        <v>74</v>
      </c>
      <c r="AQ855" t="s">
        <v>74</v>
      </c>
      <c r="AR855" t="s">
        <v>74</v>
      </c>
      <c r="AS855" t="s">
        <v>74</v>
      </c>
      <c r="AT855" t="s">
        <v>4366</v>
      </c>
      <c r="AU855">
        <v>2015</v>
      </c>
      <c r="AV855">
        <v>2</v>
      </c>
      <c r="AW855">
        <v>1</v>
      </c>
      <c r="AX855" t="s">
        <v>74</v>
      </c>
      <c r="AY855" t="s">
        <v>74</v>
      </c>
      <c r="AZ855" t="s">
        <v>74</v>
      </c>
      <c r="BA855" t="s">
        <v>74</v>
      </c>
      <c r="BB855">
        <v>51</v>
      </c>
      <c r="BC855">
        <v>57</v>
      </c>
      <c r="BD855" t="s">
        <v>74</v>
      </c>
      <c r="BE855" t="s">
        <v>7430</v>
      </c>
      <c r="BF855" t="str">
        <f>HYPERLINK("http://dx.doi.org/10.1002/celc.201402207","http://dx.doi.org/10.1002/celc.201402207")</f>
        <v>http://dx.doi.org/10.1002/celc.201402207</v>
      </c>
      <c r="BG855" t="s">
        <v>74</v>
      </c>
      <c r="BH855" t="s">
        <v>74</v>
      </c>
      <c r="BI855" t="s">
        <v>74</v>
      </c>
      <c r="BJ855" t="s">
        <v>74</v>
      </c>
      <c r="BK855" t="s">
        <v>74</v>
      </c>
      <c r="BL855" t="s">
        <v>74</v>
      </c>
      <c r="BM855" t="s">
        <v>74</v>
      </c>
      <c r="BN855" t="s">
        <v>74</v>
      </c>
      <c r="BO855" t="s">
        <v>74</v>
      </c>
      <c r="BP855" t="s">
        <v>74</v>
      </c>
      <c r="BQ855" t="s">
        <v>74</v>
      </c>
      <c r="BR855" t="s">
        <v>74</v>
      </c>
      <c r="BS855" t="s">
        <v>7431</v>
      </c>
      <c r="BT855" t="str">
        <f>HYPERLINK("https%3A%2F%2Fwww.webofscience.com%2Fwos%2Fwoscc%2Ffull-record%2FWOS:000347973500004","View Full Record in Web of Science")</f>
        <v>View Full Record in Web of Science</v>
      </c>
    </row>
    <row r="856" spans="1:72" x14ac:dyDescent="0.2">
      <c r="A856" t="s">
        <v>72</v>
      </c>
      <c r="B856" t="s">
        <v>7432</v>
      </c>
      <c r="C856" t="s">
        <v>74</v>
      </c>
      <c r="D856" t="s">
        <v>74</v>
      </c>
      <c r="E856" t="s">
        <v>74</v>
      </c>
      <c r="F856" t="s">
        <v>7433</v>
      </c>
      <c r="G856" t="s">
        <v>74</v>
      </c>
      <c r="H856" t="s">
        <v>74</v>
      </c>
      <c r="I856" t="s">
        <v>7434</v>
      </c>
      <c r="J856" t="s">
        <v>1040</v>
      </c>
      <c r="K856" t="s">
        <v>74</v>
      </c>
      <c r="L856" t="s">
        <v>74</v>
      </c>
      <c r="M856" t="s">
        <v>74</v>
      </c>
      <c r="N856" t="s">
        <v>74</v>
      </c>
      <c r="O856" t="s">
        <v>74</v>
      </c>
      <c r="P856" t="s">
        <v>74</v>
      </c>
      <c r="Q856" t="s">
        <v>74</v>
      </c>
      <c r="R856" t="s">
        <v>74</v>
      </c>
      <c r="S856" t="s">
        <v>74</v>
      </c>
      <c r="T856" t="s">
        <v>74</v>
      </c>
      <c r="U856" t="s">
        <v>74</v>
      </c>
      <c r="V856" t="s">
        <v>7435</v>
      </c>
      <c r="W856" t="s">
        <v>74</v>
      </c>
      <c r="X856" t="s">
        <v>74</v>
      </c>
      <c r="Y856" t="s">
        <v>74</v>
      </c>
      <c r="Z856" t="s">
        <v>74</v>
      </c>
      <c r="AA856" t="s">
        <v>74</v>
      </c>
      <c r="AB856" t="s">
        <v>7436</v>
      </c>
      <c r="AC856" t="s">
        <v>74</v>
      </c>
      <c r="AD856" t="s">
        <v>74</v>
      </c>
      <c r="AE856" t="s">
        <v>74</v>
      </c>
      <c r="AF856" t="s">
        <v>74</v>
      </c>
      <c r="AG856" t="s">
        <v>74</v>
      </c>
      <c r="AH856" t="s">
        <v>74</v>
      </c>
      <c r="AI856" t="s">
        <v>74</v>
      </c>
      <c r="AJ856" t="s">
        <v>74</v>
      </c>
      <c r="AK856" t="s">
        <v>74</v>
      </c>
      <c r="AL856" t="s">
        <v>74</v>
      </c>
      <c r="AM856" t="s">
        <v>74</v>
      </c>
      <c r="AN856" t="s">
        <v>74</v>
      </c>
      <c r="AO856" t="s">
        <v>1043</v>
      </c>
      <c r="AP856" t="s">
        <v>1044</v>
      </c>
      <c r="AQ856" t="s">
        <v>74</v>
      </c>
      <c r="AR856" t="s">
        <v>74</v>
      </c>
      <c r="AS856" t="s">
        <v>74</v>
      </c>
      <c r="AT856" t="s">
        <v>74</v>
      </c>
      <c r="AU856">
        <v>2015</v>
      </c>
      <c r="AV856">
        <v>17</v>
      </c>
      <c r="AW856">
        <v>38</v>
      </c>
      <c r="AX856" t="s">
        <v>74</v>
      </c>
      <c r="AY856" t="s">
        <v>74</v>
      </c>
      <c r="AZ856" t="s">
        <v>74</v>
      </c>
      <c r="BA856" t="s">
        <v>74</v>
      </c>
      <c r="BB856">
        <v>25593</v>
      </c>
      <c r="BC856">
        <v>25606</v>
      </c>
      <c r="BD856" t="s">
        <v>74</v>
      </c>
      <c r="BE856" t="s">
        <v>7437</v>
      </c>
      <c r="BF856" t="str">
        <f>HYPERLINK("http://dx.doi.org/10.1039/c5cp04356e","http://dx.doi.org/10.1039/c5cp04356e")</f>
        <v>http://dx.doi.org/10.1039/c5cp04356e</v>
      </c>
      <c r="BG856" t="s">
        <v>74</v>
      </c>
      <c r="BH856" t="s">
        <v>74</v>
      </c>
      <c r="BI856" t="s">
        <v>74</v>
      </c>
      <c r="BJ856" t="s">
        <v>74</v>
      </c>
      <c r="BK856" t="s">
        <v>74</v>
      </c>
      <c r="BL856" t="s">
        <v>74</v>
      </c>
      <c r="BM856" t="s">
        <v>74</v>
      </c>
      <c r="BN856">
        <v>26371703</v>
      </c>
      <c r="BO856" t="s">
        <v>74</v>
      </c>
      <c r="BP856" t="s">
        <v>74</v>
      </c>
      <c r="BQ856" t="s">
        <v>74</v>
      </c>
      <c r="BR856" t="s">
        <v>74</v>
      </c>
      <c r="BS856" t="s">
        <v>7438</v>
      </c>
      <c r="BT856" t="str">
        <f>HYPERLINK("https%3A%2F%2Fwww.webofscience.com%2Fwos%2Fwoscc%2Ffull-record%2FWOS:000361697400109","View Full Record in Web of Science")</f>
        <v>View Full Record in Web of Science</v>
      </c>
    </row>
    <row r="857" spans="1:72" x14ac:dyDescent="0.2">
      <c r="A857" t="s">
        <v>72</v>
      </c>
      <c r="B857" t="s">
        <v>7439</v>
      </c>
      <c r="C857" t="s">
        <v>74</v>
      </c>
      <c r="D857" t="s">
        <v>74</v>
      </c>
      <c r="E857" t="s">
        <v>74</v>
      </c>
      <c r="F857" t="s">
        <v>7440</v>
      </c>
      <c r="G857" t="s">
        <v>74</v>
      </c>
      <c r="H857" t="s">
        <v>74</v>
      </c>
      <c r="I857" t="s">
        <v>7441</v>
      </c>
      <c r="J857" t="s">
        <v>1293</v>
      </c>
      <c r="K857" t="s">
        <v>74</v>
      </c>
      <c r="L857" t="s">
        <v>74</v>
      </c>
      <c r="M857" t="s">
        <v>74</v>
      </c>
      <c r="N857" t="s">
        <v>74</v>
      </c>
      <c r="O857" t="s">
        <v>74</v>
      </c>
      <c r="P857" t="s">
        <v>74</v>
      </c>
      <c r="Q857" t="s">
        <v>74</v>
      </c>
      <c r="R857" t="s">
        <v>74</v>
      </c>
      <c r="S857" t="s">
        <v>74</v>
      </c>
      <c r="T857" t="s">
        <v>74</v>
      </c>
      <c r="U857" t="s">
        <v>74</v>
      </c>
      <c r="V857" t="s">
        <v>7442</v>
      </c>
      <c r="W857" t="s">
        <v>74</v>
      </c>
      <c r="X857" t="s">
        <v>74</v>
      </c>
      <c r="Y857" t="s">
        <v>74</v>
      </c>
      <c r="Z857" t="s">
        <v>74</v>
      </c>
      <c r="AA857" t="s">
        <v>7443</v>
      </c>
      <c r="AB857" t="s">
        <v>74</v>
      </c>
      <c r="AC857" t="s">
        <v>74</v>
      </c>
      <c r="AD857" t="s">
        <v>74</v>
      </c>
      <c r="AE857" t="s">
        <v>74</v>
      </c>
      <c r="AF857" t="s">
        <v>74</v>
      </c>
      <c r="AG857" t="s">
        <v>74</v>
      </c>
      <c r="AH857" t="s">
        <v>74</v>
      </c>
      <c r="AI857" t="s">
        <v>74</v>
      </c>
      <c r="AJ857" t="s">
        <v>74</v>
      </c>
      <c r="AK857" t="s">
        <v>74</v>
      </c>
      <c r="AL857" t="s">
        <v>74</v>
      </c>
      <c r="AM857" t="s">
        <v>74</v>
      </c>
      <c r="AN857" t="s">
        <v>74</v>
      </c>
      <c r="AO857" t="s">
        <v>1297</v>
      </c>
      <c r="AP857" t="s">
        <v>1298</v>
      </c>
      <c r="AQ857" t="s">
        <v>74</v>
      </c>
      <c r="AR857" t="s">
        <v>74</v>
      </c>
      <c r="AS857" t="s">
        <v>74</v>
      </c>
      <c r="AT857" t="s">
        <v>74</v>
      </c>
      <c r="AU857">
        <v>2015</v>
      </c>
      <c r="AV857">
        <v>162</v>
      </c>
      <c r="AW857">
        <v>6</v>
      </c>
      <c r="AX857" t="s">
        <v>74</v>
      </c>
      <c r="AY857" t="s">
        <v>74</v>
      </c>
      <c r="AZ857" t="s">
        <v>74</v>
      </c>
      <c r="BA857" t="s">
        <v>74</v>
      </c>
      <c r="BB857" t="s">
        <v>7444</v>
      </c>
      <c r="BC857" t="s">
        <v>7445</v>
      </c>
      <c r="BD857" t="s">
        <v>74</v>
      </c>
      <c r="BE857" t="s">
        <v>7446</v>
      </c>
      <c r="BF857" t="str">
        <f>HYPERLINK("http://dx.doi.org/10.1149/2.1111506jes","http://dx.doi.org/10.1149/2.1111506jes")</f>
        <v>http://dx.doi.org/10.1149/2.1111506jes</v>
      </c>
      <c r="BG857" t="s">
        <v>74</v>
      </c>
      <c r="BH857" t="s">
        <v>74</v>
      </c>
      <c r="BI857" t="s">
        <v>74</v>
      </c>
      <c r="BJ857" t="s">
        <v>74</v>
      </c>
      <c r="BK857" t="s">
        <v>74</v>
      </c>
      <c r="BL857" t="s">
        <v>74</v>
      </c>
      <c r="BM857" t="s">
        <v>74</v>
      </c>
      <c r="BN857" t="s">
        <v>74</v>
      </c>
      <c r="BO857" t="s">
        <v>74</v>
      </c>
      <c r="BP857" t="s">
        <v>74</v>
      </c>
      <c r="BQ857" t="s">
        <v>74</v>
      </c>
      <c r="BR857" t="s">
        <v>74</v>
      </c>
      <c r="BS857" t="s">
        <v>7447</v>
      </c>
      <c r="BT857" t="str">
        <f>HYPERLINK("https%3A%2F%2Fwww.webofscience.com%2Fwos%2Fwoscc%2Ffull-record%2FWOS:000353009300039","View Full Record in Web of Science")</f>
        <v>View Full Record in Web of Science</v>
      </c>
    </row>
    <row r="858" spans="1:72" x14ac:dyDescent="0.2">
      <c r="A858" t="s">
        <v>3747</v>
      </c>
      <c r="B858" t="s">
        <v>7448</v>
      </c>
      <c r="C858" t="s">
        <v>74</v>
      </c>
      <c r="D858" t="s">
        <v>7449</v>
      </c>
      <c r="E858" t="s">
        <v>74</v>
      </c>
      <c r="F858" t="s">
        <v>7450</v>
      </c>
      <c r="G858" t="s">
        <v>74</v>
      </c>
      <c r="H858" t="s">
        <v>74</v>
      </c>
      <c r="I858" t="s">
        <v>7451</v>
      </c>
      <c r="J858" t="s">
        <v>7452</v>
      </c>
      <c r="K858" t="s">
        <v>7453</v>
      </c>
      <c r="L858" t="s">
        <v>74</v>
      </c>
      <c r="M858" t="s">
        <v>74</v>
      </c>
      <c r="N858" t="s">
        <v>74</v>
      </c>
      <c r="O858" t="s">
        <v>74</v>
      </c>
      <c r="P858" t="s">
        <v>74</v>
      </c>
      <c r="Q858" t="s">
        <v>74</v>
      </c>
      <c r="R858" t="s">
        <v>74</v>
      </c>
      <c r="S858" t="s">
        <v>74</v>
      </c>
      <c r="T858" t="s">
        <v>74</v>
      </c>
      <c r="U858" t="s">
        <v>74</v>
      </c>
      <c r="V858" t="s">
        <v>7454</v>
      </c>
      <c r="W858" t="s">
        <v>74</v>
      </c>
      <c r="X858" t="s">
        <v>74</v>
      </c>
      <c r="Y858" t="s">
        <v>74</v>
      </c>
      <c r="Z858" t="s">
        <v>74</v>
      </c>
      <c r="AA858" t="s">
        <v>74</v>
      </c>
      <c r="AB858" t="s">
        <v>74</v>
      </c>
      <c r="AC858" t="s">
        <v>74</v>
      </c>
      <c r="AD858" t="s">
        <v>74</v>
      </c>
      <c r="AE858" t="s">
        <v>74</v>
      </c>
      <c r="AF858" t="s">
        <v>74</v>
      </c>
      <c r="AG858" t="s">
        <v>74</v>
      </c>
      <c r="AH858" t="s">
        <v>74</v>
      </c>
      <c r="AI858" t="s">
        <v>74</v>
      </c>
      <c r="AJ858" t="s">
        <v>74</v>
      </c>
      <c r="AK858" t="s">
        <v>74</v>
      </c>
      <c r="AL858" t="s">
        <v>74</v>
      </c>
      <c r="AM858" t="s">
        <v>74</v>
      </c>
      <c r="AN858" t="s">
        <v>74</v>
      </c>
      <c r="AO858" t="s">
        <v>7455</v>
      </c>
      <c r="AP858" t="s">
        <v>74</v>
      </c>
      <c r="AQ858" t="s">
        <v>7456</v>
      </c>
      <c r="AR858" t="s">
        <v>74</v>
      </c>
      <c r="AS858" t="s">
        <v>74</v>
      </c>
      <c r="AT858" t="s">
        <v>74</v>
      </c>
      <c r="AU858">
        <v>2015</v>
      </c>
      <c r="AV858">
        <v>49</v>
      </c>
      <c r="AW858" t="s">
        <v>74</v>
      </c>
      <c r="AX858" t="s">
        <v>74</v>
      </c>
      <c r="AY858" t="s">
        <v>74</v>
      </c>
      <c r="AZ858" t="s">
        <v>74</v>
      </c>
      <c r="BA858" t="s">
        <v>74</v>
      </c>
      <c r="BB858">
        <v>297</v>
      </c>
      <c r="BC858">
        <v>325</v>
      </c>
      <c r="BD858" t="s">
        <v>74</v>
      </c>
      <c r="BE858" t="s">
        <v>7457</v>
      </c>
      <c r="BF858" t="str">
        <f>HYPERLINK("http://dx.doi.org/10.1007/978-3-319-13054-5_10","http://dx.doi.org/10.1007/978-3-319-13054-5_10")</f>
        <v>http://dx.doi.org/10.1007/978-3-319-13054-5_10</v>
      </c>
      <c r="BG858" t="s">
        <v>7458</v>
      </c>
      <c r="BH858" t="s">
        <v>74</v>
      </c>
      <c r="BI858" t="s">
        <v>74</v>
      </c>
      <c r="BJ858" t="s">
        <v>74</v>
      </c>
      <c r="BK858" t="s">
        <v>74</v>
      </c>
      <c r="BL858" t="s">
        <v>74</v>
      </c>
      <c r="BM858" t="s">
        <v>74</v>
      </c>
      <c r="BN858" t="s">
        <v>74</v>
      </c>
      <c r="BO858" t="s">
        <v>74</v>
      </c>
      <c r="BP858" t="s">
        <v>74</v>
      </c>
      <c r="BQ858" t="s">
        <v>74</v>
      </c>
      <c r="BR858" t="s">
        <v>74</v>
      </c>
      <c r="BS858" t="s">
        <v>7459</v>
      </c>
      <c r="BT858" t="str">
        <f>HYPERLINK("https%3A%2F%2Fwww.webofscience.com%2Fwos%2Fwoscc%2Ffull-record%2FWOS:000356628500011","View Full Record in Web of Science")</f>
        <v>View Full Record in Web of Science</v>
      </c>
    </row>
    <row r="859" spans="1:72" x14ac:dyDescent="0.2">
      <c r="A859" t="s">
        <v>72</v>
      </c>
      <c r="B859" t="s">
        <v>7460</v>
      </c>
      <c r="C859" t="s">
        <v>74</v>
      </c>
      <c r="D859" t="s">
        <v>74</v>
      </c>
      <c r="E859" t="s">
        <v>74</v>
      </c>
      <c r="F859" t="s">
        <v>7461</v>
      </c>
      <c r="G859" t="s">
        <v>74</v>
      </c>
      <c r="H859" t="s">
        <v>74</v>
      </c>
      <c r="I859" t="s">
        <v>7462</v>
      </c>
      <c r="J859" t="s">
        <v>3581</v>
      </c>
      <c r="K859" t="s">
        <v>74</v>
      </c>
      <c r="L859" t="s">
        <v>74</v>
      </c>
      <c r="M859" t="s">
        <v>74</v>
      </c>
      <c r="N859" t="s">
        <v>74</v>
      </c>
      <c r="O859" t="s">
        <v>74</v>
      </c>
      <c r="P859" t="s">
        <v>74</v>
      </c>
      <c r="Q859" t="s">
        <v>74</v>
      </c>
      <c r="R859" t="s">
        <v>74</v>
      </c>
      <c r="S859" t="s">
        <v>74</v>
      </c>
      <c r="T859" t="s">
        <v>74</v>
      </c>
      <c r="U859" t="s">
        <v>74</v>
      </c>
      <c r="V859" t="s">
        <v>7463</v>
      </c>
      <c r="W859" t="s">
        <v>74</v>
      </c>
      <c r="X859" t="s">
        <v>74</v>
      </c>
      <c r="Y859" t="s">
        <v>74</v>
      </c>
      <c r="Z859" t="s">
        <v>74</v>
      </c>
      <c r="AA859" t="s">
        <v>7464</v>
      </c>
      <c r="AB859" t="s">
        <v>7465</v>
      </c>
      <c r="AC859" t="s">
        <v>74</v>
      </c>
      <c r="AD859" t="s">
        <v>74</v>
      </c>
      <c r="AE859" t="s">
        <v>74</v>
      </c>
      <c r="AF859" t="s">
        <v>74</v>
      </c>
      <c r="AG859" t="s">
        <v>74</v>
      </c>
      <c r="AH859" t="s">
        <v>74</v>
      </c>
      <c r="AI859" t="s">
        <v>74</v>
      </c>
      <c r="AJ859" t="s">
        <v>74</v>
      </c>
      <c r="AK859" t="s">
        <v>74</v>
      </c>
      <c r="AL859" t="s">
        <v>74</v>
      </c>
      <c r="AM859" t="s">
        <v>74</v>
      </c>
      <c r="AN859" t="s">
        <v>74</v>
      </c>
      <c r="AO859" t="s">
        <v>3585</v>
      </c>
      <c r="AP859" t="s">
        <v>3586</v>
      </c>
      <c r="AQ859" t="s">
        <v>74</v>
      </c>
      <c r="AR859" t="s">
        <v>74</v>
      </c>
      <c r="AS859" t="s">
        <v>74</v>
      </c>
      <c r="AT859" t="s">
        <v>74</v>
      </c>
      <c r="AU859">
        <v>2015</v>
      </c>
      <c r="AV859">
        <v>51</v>
      </c>
      <c r="AW859">
        <v>81</v>
      </c>
      <c r="AX859" t="s">
        <v>74</v>
      </c>
      <c r="AY859" t="s">
        <v>74</v>
      </c>
      <c r="AZ859" t="s">
        <v>74</v>
      </c>
      <c r="BA859" t="s">
        <v>74</v>
      </c>
      <c r="BB859">
        <v>15035</v>
      </c>
      <c r="BC859">
        <v>15038</v>
      </c>
      <c r="BD859" t="s">
        <v>74</v>
      </c>
      <c r="BE859" t="s">
        <v>7466</v>
      </c>
      <c r="BF859" t="str">
        <f>HYPERLINK("http://dx.doi.org/10.1039/c5cc04753f","http://dx.doi.org/10.1039/c5cc04753f")</f>
        <v>http://dx.doi.org/10.1039/c5cc04753f</v>
      </c>
      <c r="BG859" t="s">
        <v>74</v>
      </c>
      <c r="BH859" t="s">
        <v>74</v>
      </c>
      <c r="BI859" t="s">
        <v>74</v>
      </c>
      <c r="BJ859" t="s">
        <v>74</v>
      </c>
      <c r="BK859" t="s">
        <v>74</v>
      </c>
      <c r="BL859" t="s">
        <v>74</v>
      </c>
      <c r="BM859" t="s">
        <v>74</v>
      </c>
      <c r="BN859">
        <v>26310491</v>
      </c>
      <c r="BO859" t="s">
        <v>74</v>
      </c>
      <c r="BP859" t="s">
        <v>74</v>
      </c>
      <c r="BQ859" t="s">
        <v>74</v>
      </c>
      <c r="BR859" t="s">
        <v>74</v>
      </c>
      <c r="BS859" t="s">
        <v>7467</v>
      </c>
      <c r="BT859" t="str">
        <f>HYPERLINK("https%3A%2F%2Fwww.webofscience.com%2Fwos%2Fwoscc%2Ffull-record%2FWOS:000362351500019","View Full Record in Web of Science")</f>
        <v>View Full Record in Web of Science</v>
      </c>
    </row>
    <row r="860" spans="1:72" x14ac:dyDescent="0.2">
      <c r="A860" t="s">
        <v>72</v>
      </c>
      <c r="B860" t="s">
        <v>7468</v>
      </c>
      <c r="C860" t="s">
        <v>74</v>
      </c>
      <c r="D860" t="s">
        <v>74</v>
      </c>
      <c r="E860" t="s">
        <v>74</v>
      </c>
      <c r="F860" t="s">
        <v>7469</v>
      </c>
      <c r="G860" t="s">
        <v>74</v>
      </c>
      <c r="H860" t="s">
        <v>74</v>
      </c>
      <c r="I860" t="s">
        <v>7470</v>
      </c>
      <c r="J860" t="s">
        <v>1293</v>
      </c>
      <c r="K860" t="s">
        <v>74</v>
      </c>
      <c r="L860" t="s">
        <v>74</v>
      </c>
      <c r="M860" t="s">
        <v>74</v>
      </c>
      <c r="N860" t="s">
        <v>74</v>
      </c>
      <c r="O860" t="s">
        <v>74</v>
      </c>
      <c r="P860" t="s">
        <v>74</v>
      </c>
      <c r="Q860" t="s">
        <v>74</v>
      </c>
      <c r="R860" t="s">
        <v>74</v>
      </c>
      <c r="S860" t="s">
        <v>74</v>
      </c>
      <c r="T860" t="s">
        <v>74</v>
      </c>
      <c r="U860" t="s">
        <v>74</v>
      </c>
      <c r="V860" t="s">
        <v>7471</v>
      </c>
      <c r="W860" t="s">
        <v>74</v>
      </c>
      <c r="X860" t="s">
        <v>74</v>
      </c>
      <c r="Y860" t="s">
        <v>74</v>
      </c>
      <c r="Z860" t="s">
        <v>74</v>
      </c>
      <c r="AA860" t="s">
        <v>7472</v>
      </c>
      <c r="AB860" t="s">
        <v>7473</v>
      </c>
      <c r="AC860" t="s">
        <v>74</v>
      </c>
      <c r="AD860" t="s">
        <v>74</v>
      </c>
      <c r="AE860" t="s">
        <v>74</v>
      </c>
      <c r="AF860" t="s">
        <v>74</v>
      </c>
      <c r="AG860" t="s">
        <v>74</v>
      </c>
      <c r="AH860" t="s">
        <v>74</v>
      </c>
      <c r="AI860" t="s">
        <v>74</v>
      </c>
      <c r="AJ860" t="s">
        <v>74</v>
      </c>
      <c r="AK860" t="s">
        <v>74</v>
      </c>
      <c r="AL860" t="s">
        <v>74</v>
      </c>
      <c r="AM860" t="s">
        <v>74</v>
      </c>
      <c r="AN860" t="s">
        <v>74</v>
      </c>
      <c r="AO860" t="s">
        <v>1297</v>
      </c>
      <c r="AP860" t="s">
        <v>1298</v>
      </c>
      <c r="AQ860" t="s">
        <v>74</v>
      </c>
      <c r="AR860" t="s">
        <v>74</v>
      </c>
      <c r="AS860" t="s">
        <v>74</v>
      </c>
      <c r="AT860" t="s">
        <v>74</v>
      </c>
      <c r="AU860">
        <v>2015</v>
      </c>
      <c r="AV860">
        <v>162</v>
      </c>
      <c r="AW860">
        <v>9</v>
      </c>
      <c r="AX860" t="s">
        <v>74</v>
      </c>
      <c r="AY860" t="s">
        <v>74</v>
      </c>
      <c r="AZ860" t="s">
        <v>74</v>
      </c>
      <c r="BA860" t="s">
        <v>74</v>
      </c>
      <c r="BB860" t="s">
        <v>7474</v>
      </c>
      <c r="BC860" t="s">
        <v>7475</v>
      </c>
      <c r="BD860" t="s">
        <v>74</v>
      </c>
      <c r="BE860" t="s">
        <v>7476</v>
      </c>
      <c r="BF860" t="str">
        <f>HYPERLINK("http://dx.doi.org/10.1149/2.1021509jes","http://dx.doi.org/10.1149/2.1021509jes")</f>
        <v>http://dx.doi.org/10.1149/2.1021509jes</v>
      </c>
      <c r="BG860" t="s">
        <v>74</v>
      </c>
      <c r="BH860" t="s">
        <v>74</v>
      </c>
      <c r="BI860" t="s">
        <v>74</v>
      </c>
      <c r="BJ860" t="s">
        <v>74</v>
      </c>
      <c r="BK860" t="s">
        <v>74</v>
      </c>
      <c r="BL860" t="s">
        <v>74</v>
      </c>
      <c r="BM860" t="s">
        <v>74</v>
      </c>
      <c r="BN860" t="s">
        <v>74</v>
      </c>
      <c r="BO860" t="s">
        <v>74</v>
      </c>
      <c r="BP860" t="s">
        <v>74</v>
      </c>
      <c r="BQ860" t="s">
        <v>74</v>
      </c>
      <c r="BR860" t="s">
        <v>74</v>
      </c>
      <c r="BS860" t="s">
        <v>7477</v>
      </c>
      <c r="BT860" t="str">
        <f>HYPERLINK("https%3A%2F%2Fwww.webofscience.com%2Fwos%2Fwoscc%2Ffull-record%2FWOS:000359177100031","View Full Record in Web of Science")</f>
        <v>View Full Record in Web of Science</v>
      </c>
    </row>
    <row r="861" spans="1:72" x14ac:dyDescent="0.2">
      <c r="A861" t="s">
        <v>72</v>
      </c>
      <c r="B861" t="s">
        <v>7478</v>
      </c>
      <c r="C861" t="s">
        <v>74</v>
      </c>
      <c r="D861" t="s">
        <v>74</v>
      </c>
      <c r="E861" t="s">
        <v>74</v>
      </c>
      <c r="F861" t="s">
        <v>7479</v>
      </c>
      <c r="G861" t="s">
        <v>74</v>
      </c>
      <c r="H861" t="s">
        <v>74</v>
      </c>
      <c r="I861" t="s">
        <v>7480</v>
      </c>
      <c r="J861" t="s">
        <v>5460</v>
      </c>
      <c r="K861" t="s">
        <v>74</v>
      </c>
      <c r="L861" t="s">
        <v>74</v>
      </c>
      <c r="M861" t="s">
        <v>74</v>
      </c>
      <c r="N861" t="s">
        <v>74</v>
      </c>
      <c r="O861" t="s">
        <v>74</v>
      </c>
      <c r="P861" t="s">
        <v>74</v>
      </c>
      <c r="Q861" t="s">
        <v>74</v>
      </c>
      <c r="R861" t="s">
        <v>74</v>
      </c>
      <c r="S861" t="s">
        <v>74</v>
      </c>
      <c r="T861" t="s">
        <v>74</v>
      </c>
      <c r="U861" t="s">
        <v>74</v>
      </c>
      <c r="V861" t="s">
        <v>7481</v>
      </c>
      <c r="W861" t="s">
        <v>74</v>
      </c>
      <c r="X861" t="s">
        <v>74</v>
      </c>
      <c r="Y861" t="s">
        <v>74</v>
      </c>
      <c r="Z861" t="s">
        <v>74</v>
      </c>
      <c r="AA861" t="s">
        <v>7482</v>
      </c>
      <c r="AB861" t="s">
        <v>7483</v>
      </c>
      <c r="AC861" t="s">
        <v>74</v>
      </c>
      <c r="AD861" t="s">
        <v>74</v>
      </c>
      <c r="AE861" t="s">
        <v>74</v>
      </c>
      <c r="AF861" t="s">
        <v>74</v>
      </c>
      <c r="AG861" t="s">
        <v>74</v>
      </c>
      <c r="AH861" t="s">
        <v>74</v>
      </c>
      <c r="AI861" t="s">
        <v>74</v>
      </c>
      <c r="AJ861" t="s">
        <v>74</v>
      </c>
      <c r="AK861" t="s">
        <v>74</v>
      </c>
      <c r="AL861" t="s">
        <v>74</v>
      </c>
      <c r="AM861" t="s">
        <v>74</v>
      </c>
      <c r="AN861" t="s">
        <v>74</v>
      </c>
      <c r="AO861" t="s">
        <v>74</v>
      </c>
      <c r="AP861" t="s">
        <v>5464</v>
      </c>
      <c r="AQ861" t="s">
        <v>74</v>
      </c>
      <c r="AR861" t="s">
        <v>74</v>
      </c>
      <c r="AS861" t="s">
        <v>74</v>
      </c>
      <c r="AT861" t="s">
        <v>74</v>
      </c>
      <c r="AU861">
        <v>2015</v>
      </c>
      <c r="AV861">
        <v>5</v>
      </c>
      <c r="AW861">
        <v>101</v>
      </c>
      <c r="AX861" t="s">
        <v>74</v>
      </c>
      <c r="AY861" t="s">
        <v>74</v>
      </c>
      <c r="AZ861" t="s">
        <v>74</v>
      </c>
      <c r="BA861" t="s">
        <v>74</v>
      </c>
      <c r="BB861">
        <v>83096</v>
      </c>
      <c r="BC861">
        <v>83105</v>
      </c>
      <c r="BD861" t="s">
        <v>74</v>
      </c>
      <c r="BE861" t="s">
        <v>7484</v>
      </c>
      <c r="BF861" t="str">
        <f>HYPERLINK("http://dx.doi.org/10.1039/c5ra08606j","http://dx.doi.org/10.1039/c5ra08606j")</f>
        <v>http://dx.doi.org/10.1039/c5ra08606j</v>
      </c>
      <c r="BG861" t="s">
        <v>74</v>
      </c>
      <c r="BH861" t="s">
        <v>74</v>
      </c>
      <c r="BI861" t="s">
        <v>74</v>
      </c>
      <c r="BJ861" t="s">
        <v>74</v>
      </c>
      <c r="BK861" t="s">
        <v>74</v>
      </c>
      <c r="BL861" t="s">
        <v>74</v>
      </c>
      <c r="BM861" t="s">
        <v>74</v>
      </c>
      <c r="BN861" t="s">
        <v>74</v>
      </c>
      <c r="BO861" t="s">
        <v>74</v>
      </c>
      <c r="BP861" t="s">
        <v>74</v>
      </c>
      <c r="BQ861" t="s">
        <v>74</v>
      </c>
      <c r="BR861" t="s">
        <v>74</v>
      </c>
      <c r="BS861" t="s">
        <v>7485</v>
      </c>
      <c r="BT861" t="str">
        <f>HYPERLINK("https%3A%2F%2Fwww.webofscience.com%2Fwos%2Fwoscc%2Ffull-record%2FWOS:000362438300057","View Full Record in Web of Science")</f>
        <v>View Full Record in Web of Science</v>
      </c>
    </row>
    <row r="862" spans="1:72" x14ac:dyDescent="0.2">
      <c r="A862" t="s">
        <v>72</v>
      </c>
      <c r="B862" t="s">
        <v>7486</v>
      </c>
      <c r="C862" t="s">
        <v>74</v>
      </c>
      <c r="D862" t="s">
        <v>74</v>
      </c>
      <c r="E862" t="s">
        <v>74</v>
      </c>
      <c r="F862" t="s">
        <v>7487</v>
      </c>
      <c r="G862" t="s">
        <v>74</v>
      </c>
      <c r="H862" t="s">
        <v>74</v>
      </c>
      <c r="I862" t="s">
        <v>7488</v>
      </c>
      <c r="J862" t="s">
        <v>1293</v>
      </c>
      <c r="K862" t="s">
        <v>74</v>
      </c>
      <c r="L862" t="s">
        <v>74</v>
      </c>
      <c r="M862" t="s">
        <v>74</v>
      </c>
      <c r="N862" t="s">
        <v>74</v>
      </c>
      <c r="O862" t="s">
        <v>74</v>
      </c>
      <c r="P862" t="s">
        <v>74</v>
      </c>
      <c r="Q862" t="s">
        <v>74</v>
      </c>
      <c r="R862" t="s">
        <v>74</v>
      </c>
      <c r="S862" t="s">
        <v>74</v>
      </c>
      <c r="T862" t="s">
        <v>74</v>
      </c>
      <c r="U862" t="s">
        <v>74</v>
      </c>
      <c r="V862" t="s">
        <v>7489</v>
      </c>
      <c r="W862" t="s">
        <v>74</v>
      </c>
      <c r="X862" t="s">
        <v>74</v>
      </c>
      <c r="Y862" t="s">
        <v>74</v>
      </c>
      <c r="Z862" t="s">
        <v>74</v>
      </c>
      <c r="AA862" t="s">
        <v>7490</v>
      </c>
      <c r="AB862" t="s">
        <v>7491</v>
      </c>
      <c r="AC862" t="s">
        <v>74</v>
      </c>
      <c r="AD862" t="s">
        <v>74</v>
      </c>
      <c r="AE862" t="s">
        <v>74</v>
      </c>
      <c r="AF862" t="s">
        <v>74</v>
      </c>
      <c r="AG862" t="s">
        <v>74</v>
      </c>
      <c r="AH862" t="s">
        <v>74</v>
      </c>
      <c r="AI862" t="s">
        <v>74</v>
      </c>
      <c r="AJ862" t="s">
        <v>74</v>
      </c>
      <c r="AK862" t="s">
        <v>74</v>
      </c>
      <c r="AL862" t="s">
        <v>74</v>
      </c>
      <c r="AM862" t="s">
        <v>74</v>
      </c>
      <c r="AN862" t="s">
        <v>74</v>
      </c>
      <c r="AO862" t="s">
        <v>1297</v>
      </c>
      <c r="AP862" t="s">
        <v>1298</v>
      </c>
      <c r="AQ862" t="s">
        <v>74</v>
      </c>
      <c r="AR862" t="s">
        <v>74</v>
      </c>
      <c r="AS862" t="s">
        <v>74</v>
      </c>
      <c r="AT862" t="s">
        <v>74</v>
      </c>
      <c r="AU862">
        <v>2015</v>
      </c>
      <c r="AV862">
        <v>162</v>
      </c>
      <c r="AW862">
        <v>10</v>
      </c>
      <c r="AX862" t="s">
        <v>74</v>
      </c>
      <c r="AY862" t="s">
        <v>74</v>
      </c>
      <c r="AZ862" t="s">
        <v>74</v>
      </c>
      <c r="BA862" t="s">
        <v>74</v>
      </c>
      <c r="BB862" t="s">
        <v>7492</v>
      </c>
      <c r="BC862" t="s">
        <v>7493</v>
      </c>
      <c r="BD862" t="s">
        <v>74</v>
      </c>
      <c r="BE862" t="s">
        <v>7494</v>
      </c>
      <c r="BF862" t="str">
        <f>HYPERLINK("http://dx.doi.org/10.1149/2.0411510jes","http://dx.doi.org/10.1149/2.0411510jes")</f>
        <v>http://dx.doi.org/10.1149/2.0411510jes</v>
      </c>
      <c r="BG862" t="s">
        <v>74</v>
      </c>
      <c r="BH862" t="s">
        <v>74</v>
      </c>
      <c r="BI862" t="s">
        <v>74</v>
      </c>
      <c r="BJ862" t="s">
        <v>74</v>
      </c>
      <c r="BK862" t="s">
        <v>74</v>
      </c>
      <c r="BL862" t="s">
        <v>74</v>
      </c>
      <c r="BM862" t="s">
        <v>74</v>
      </c>
      <c r="BN862" t="s">
        <v>74</v>
      </c>
      <c r="BO862" t="s">
        <v>74</v>
      </c>
      <c r="BP862" t="s">
        <v>74</v>
      </c>
      <c r="BQ862" t="s">
        <v>74</v>
      </c>
      <c r="BR862" t="s">
        <v>74</v>
      </c>
      <c r="BS862" t="s">
        <v>7495</v>
      </c>
      <c r="BT862" t="str">
        <f>HYPERLINK("https%3A%2F%2Fwww.webofscience.com%2Fwos%2Fwoscc%2Ffull-record%2FWOS:000361501800020","View Full Record in Web of Science")</f>
        <v>View Full Record in Web of Science</v>
      </c>
    </row>
    <row r="863" spans="1:72" x14ac:dyDescent="0.2">
      <c r="A863" t="s">
        <v>72</v>
      </c>
      <c r="B863" t="s">
        <v>7496</v>
      </c>
      <c r="C863" t="s">
        <v>74</v>
      </c>
      <c r="D863" t="s">
        <v>74</v>
      </c>
      <c r="E863" t="s">
        <v>74</v>
      </c>
      <c r="F863" t="s">
        <v>7497</v>
      </c>
      <c r="G863" t="s">
        <v>74</v>
      </c>
      <c r="H863" t="s">
        <v>74</v>
      </c>
      <c r="I863" t="s">
        <v>7498</v>
      </c>
      <c r="J863" t="s">
        <v>1293</v>
      </c>
      <c r="K863" t="s">
        <v>74</v>
      </c>
      <c r="L863" t="s">
        <v>74</v>
      </c>
      <c r="M863" t="s">
        <v>74</v>
      </c>
      <c r="N863" t="s">
        <v>74</v>
      </c>
      <c r="O863" t="s">
        <v>74</v>
      </c>
      <c r="P863" t="s">
        <v>74</v>
      </c>
      <c r="Q863" t="s">
        <v>74</v>
      </c>
      <c r="R863" t="s">
        <v>74</v>
      </c>
      <c r="S863" t="s">
        <v>74</v>
      </c>
      <c r="T863" t="s">
        <v>74</v>
      </c>
      <c r="U863" t="s">
        <v>74</v>
      </c>
      <c r="V863" t="s">
        <v>7499</v>
      </c>
      <c r="W863" t="s">
        <v>74</v>
      </c>
      <c r="X863" t="s">
        <v>74</v>
      </c>
      <c r="Y863" t="s">
        <v>74</v>
      </c>
      <c r="Z863" t="s">
        <v>74</v>
      </c>
      <c r="AA863" t="s">
        <v>7500</v>
      </c>
      <c r="AB863" t="s">
        <v>7501</v>
      </c>
      <c r="AC863" t="s">
        <v>74</v>
      </c>
      <c r="AD863" t="s">
        <v>74</v>
      </c>
      <c r="AE863" t="s">
        <v>74</v>
      </c>
      <c r="AF863" t="s">
        <v>74</v>
      </c>
      <c r="AG863" t="s">
        <v>74</v>
      </c>
      <c r="AH863" t="s">
        <v>74</v>
      </c>
      <c r="AI863" t="s">
        <v>74</v>
      </c>
      <c r="AJ863" t="s">
        <v>74</v>
      </c>
      <c r="AK863" t="s">
        <v>74</v>
      </c>
      <c r="AL863" t="s">
        <v>74</v>
      </c>
      <c r="AM863" t="s">
        <v>74</v>
      </c>
      <c r="AN863" t="s">
        <v>74</v>
      </c>
      <c r="AO863" t="s">
        <v>1297</v>
      </c>
      <c r="AP863" t="s">
        <v>1298</v>
      </c>
      <c r="AQ863" t="s">
        <v>74</v>
      </c>
      <c r="AR863" t="s">
        <v>74</v>
      </c>
      <c r="AS863" t="s">
        <v>74</v>
      </c>
      <c r="AT863" t="s">
        <v>74</v>
      </c>
      <c r="AU863">
        <v>2015</v>
      </c>
      <c r="AV863">
        <v>162</v>
      </c>
      <c r="AW863">
        <v>9</v>
      </c>
      <c r="AX863" t="s">
        <v>74</v>
      </c>
      <c r="AY863" t="s">
        <v>74</v>
      </c>
      <c r="AZ863" t="s">
        <v>74</v>
      </c>
      <c r="BA863" t="s">
        <v>74</v>
      </c>
      <c r="BB863" t="s">
        <v>7502</v>
      </c>
      <c r="BC863" t="s">
        <v>7503</v>
      </c>
      <c r="BD863" t="s">
        <v>74</v>
      </c>
      <c r="BE863" t="s">
        <v>7504</v>
      </c>
      <c r="BF863" t="str">
        <f>HYPERLINK("http://dx.doi.org/10.1149/2.0171509jes","http://dx.doi.org/10.1149/2.0171509jes")</f>
        <v>http://dx.doi.org/10.1149/2.0171509jes</v>
      </c>
      <c r="BG863" t="s">
        <v>74</v>
      </c>
      <c r="BH863" t="s">
        <v>74</v>
      </c>
      <c r="BI863" t="s">
        <v>74</v>
      </c>
      <c r="BJ863" t="s">
        <v>74</v>
      </c>
      <c r="BK863" t="s">
        <v>74</v>
      </c>
      <c r="BL863" t="s">
        <v>74</v>
      </c>
      <c r="BM863" t="s">
        <v>74</v>
      </c>
      <c r="BN863" t="s">
        <v>74</v>
      </c>
      <c r="BO863" t="s">
        <v>74</v>
      </c>
      <c r="BP863" t="s">
        <v>74</v>
      </c>
      <c r="BQ863" t="s">
        <v>74</v>
      </c>
      <c r="BR863" t="s">
        <v>74</v>
      </c>
      <c r="BS863" t="s">
        <v>7505</v>
      </c>
      <c r="BT863" t="str">
        <f>HYPERLINK("https%3A%2F%2Fwww.webofscience.com%2Fwos%2Fwoscc%2Ffull-record%2FWOS:000359177100002","View Full Record in Web of Science")</f>
        <v>View Full Record in Web of Science</v>
      </c>
    </row>
    <row r="864" spans="1:72" x14ac:dyDescent="0.2">
      <c r="A864" t="s">
        <v>72</v>
      </c>
      <c r="B864" t="s">
        <v>7496</v>
      </c>
      <c r="C864" t="s">
        <v>74</v>
      </c>
      <c r="D864" t="s">
        <v>74</v>
      </c>
      <c r="E864" t="s">
        <v>74</v>
      </c>
      <c r="F864" t="s">
        <v>7497</v>
      </c>
      <c r="G864" t="s">
        <v>74</v>
      </c>
      <c r="H864" t="s">
        <v>74</v>
      </c>
      <c r="I864" t="s">
        <v>7506</v>
      </c>
      <c r="J864" t="s">
        <v>1293</v>
      </c>
      <c r="K864" t="s">
        <v>74</v>
      </c>
      <c r="L864" t="s">
        <v>74</v>
      </c>
      <c r="M864" t="s">
        <v>74</v>
      </c>
      <c r="N864" t="s">
        <v>74</v>
      </c>
      <c r="O864" t="s">
        <v>74</v>
      </c>
      <c r="P864" t="s">
        <v>74</v>
      </c>
      <c r="Q864" t="s">
        <v>74</v>
      </c>
      <c r="R864" t="s">
        <v>74</v>
      </c>
      <c r="S864" t="s">
        <v>74</v>
      </c>
      <c r="T864" t="s">
        <v>74</v>
      </c>
      <c r="U864" t="s">
        <v>74</v>
      </c>
      <c r="V864" t="s">
        <v>7507</v>
      </c>
      <c r="W864" t="s">
        <v>74</v>
      </c>
      <c r="X864" t="s">
        <v>74</v>
      </c>
      <c r="Y864" t="s">
        <v>74</v>
      </c>
      <c r="Z864" t="s">
        <v>74</v>
      </c>
      <c r="AA864" t="s">
        <v>7500</v>
      </c>
      <c r="AB864" t="s">
        <v>7501</v>
      </c>
      <c r="AC864" t="s">
        <v>74</v>
      </c>
      <c r="AD864" t="s">
        <v>74</v>
      </c>
      <c r="AE864" t="s">
        <v>74</v>
      </c>
      <c r="AF864" t="s">
        <v>74</v>
      </c>
      <c r="AG864" t="s">
        <v>74</v>
      </c>
      <c r="AH864" t="s">
        <v>74</v>
      </c>
      <c r="AI864" t="s">
        <v>74</v>
      </c>
      <c r="AJ864" t="s">
        <v>74</v>
      </c>
      <c r="AK864" t="s">
        <v>74</v>
      </c>
      <c r="AL864" t="s">
        <v>74</v>
      </c>
      <c r="AM864" t="s">
        <v>74</v>
      </c>
      <c r="AN864" t="s">
        <v>74</v>
      </c>
      <c r="AO864" t="s">
        <v>1297</v>
      </c>
      <c r="AP864" t="s">
        <v>1298</v>
      </c>
      <c r="AQ864" t="s">
        <v>74</v>
      </c>
      <c r="AR864" t="s">
        <v>74</v>
      </c>
      <c r="AS864" t="s">
        <v>74</v>
      </c>
      <c r="AT864" t="s">
        <v>74</v>
      </c>
      <c r="AU864">
        <v>2015</v>
      </c>
      <c r="AV864">
        <v>162</v>
      </c>
      <c r="AW864">
        <v>7</v>
      </c>
      <c r="AX864" t="s">
        <v>74</v>
      </c>
      <c r="AY864" t="s">
        <v>74</v>
      </c>
      <c r="AZ864" t="s">
        <v>74</v>
      </c>
      <c r="BA864" t="s">
        <v>74</v>
      </c>
      <c r="BB864" t="s">
        <v>7508</v>
      </c>
      <c r="BC864" t="s">
        <v>7509</v>
      </c>
      <c r="BD864" t="s">
        <v>74</v>
      </c>
      <c r="BE864" t="s">
        <v>7510</v>
      </c>
      <c r="BF864" t="str">
        <f>HYPERLINK("http://dx.doi.org/10.1149/2.0271507jes","http://dx.doi.org/10.1149/2.0271507jes")</f>
        <v>http://dx.doi.org/10.1149/2.0271507jes</v>
      </c>
      <c r="BG864" t="s">
        <v>74</v>
      </c>
      <c r="BH864" t="s">
        <v>74</v>
      </c>
      <c r="BI864" t="s">
        <v>74</v>
      </c>
      <c r="BJ864" t="s">
        <v>74</v>
      </c>
      <c r="BK864" t="s">
        <v>74</v>
      </c>
      <c r="BL864" t="s">
        <v>74</v>
      </c>
      <c r="BM864" t="s">
        <v>74</v>
      </c>
      <c r="BN864" t="s">
        <v>74</v>
      </c>
      <c r="BO864" t="s">
        <v>74</v>
      </c>
      <c r="BP864" t="s">
        <v>74</v>
      </c>
      <c r="BQ864" t="s">
        <v>74</v>
      </c>
      <c r="BR864" t="s">
        <v>74</v>
      </c>
      <c r="BS864" t="s">
        <v>7511</v>
      </c>
      <c r="BT864" t="str">
        <f>HYPERLINK("https%3A%2F%2Fwww.webofscience.com%2Fwos%2Fwoscc%2Ffull-record%2FWOS:000355643700009","View Full Record in Web of Science")</f>
        <v>View Full Record in Web of Science</v>
      </c>
    </row>
    <row r="865" spans="1:72" x14ac:dyDescent="0.2">
      <c r="A865" t="s">
        <v>72</v>
      </c>
      <c r="B865" t="s">
        <v>7496</v>
      </c>
      <c r="C865" t="s">
        <v>74</v>
      </c>
      <c r="D865" t="s">
        <v>74</v>
      </c>
      <c r="E865" t="s">
        <v>74</v>
      </c>
      <c r="F865" t="s">
        <v>7497</v>
      </c>
      <c r="G865" t="s">
        <v>74</v>
      </c>
      <c r="H865" t="s">
        <v>74</v>
      </c>
      <c r="I865" t="s">
        <v>7512</v>
      </c>
      <c r="J865" t="s">
        <v>1293</v>
      </c>
      <c r="K865" t="s">
        <v>74</v>
      </c>
      <c r="L865" t="s">
        <v>74</v>
      </c>
      <c r="M865" t="s">
        <v>74</v>
      </c>
      <c r="N865" t="s">
        <v>74</v>
      </c>
      <c r="O865" t="s">
        <v>74</v>
      </c>
      <c r="P865" t="s">
        <v>74</v>
      </c>
      <c r="Q865" t="s">
        <v>74</v>
      </c>
      <c r="R865" t="s">
        <v>74</v>
      </c>
      <c r="S865" t="s">
        <v>74</v>
      </c>
      <c r="T865" t="s">
        <v>74</v>
      </c>
      <c r="U865" t="s">
        <v>74</v>
      </c>
      <c r="V865" t="s">
        <v>74</v>
      </c>
      <c r="W865" t="s">
        <v>74</v>
      </c>
      <c r="X865" t="s">
        <v>74</v>
      </c>
      <c r="Y865" t="s">
        <v>74</v>
      </c>
      <c r="Z865" t="s">
        <v>74</v>
      </c>
      <c r="AA865" t="s">
        <v>74</v>
      </c>
      <c r="AB865" t="s">
        <v>74</v>
      </c>
      <c r="AC865" t="s">
        <v>74</v>
      </c>
      <c r="AD865" t="s">
        <v>74</v>
      </c>
      <c r="AE865" t="s">
        <v>74</v>
      </c>
      <c r="AF865" t="s">
        <v>74</v>
      </c>
      <c r="AG865" t="s">
        <v>74</v>
      </c>
      <c r="AH865" t="s">
        <v>74</v>
      </c>
      <c r="AI865" t="s">
        <v>74</v>
      </c>
      <c r="AJ865" t="s">
        <v>74</v>
      </c>
      <c r="AK865" t="s">
        <v>74</v>
      </c>
      <c r="AL865" t="s">
        <v>74</v>
      </c>
      <c r="AM865" t="s">
        <v>74</v>
      </c>
      <c r="AN865" t="s">
        <v>74</v>
      </c>
      <c r="AO865" t="s">
        <v>1297</v>
      </c>
      <c r="AP865" t="s">
        <v>1298</v>
      </c>
      <c r="AQ865" t="s">
        <v>74</v>
      </c>
      <c r="AR865" t="s">
        <v>74</v>
      </c>
      <c r="AS865" t="s">
        <v>74</v>
      </c>
      <c r="AT865" t="s">
        <v>74</v>
      </c>
      <c r="AU865">
        <v>2015</v>
      </c>
      <c r="AV865">
        <v>162</v>
      </c>
      <c r="AW865">
        <v>8</v>
      </c>
      <c r="AX865" t="s">
        <v>74</v>
      </c>
      <c r="AY865" t="s">
        <v>74</v>
      </c>
      <c r="AZ865" t="s">
        <v>74</v>
      </c>
      <c r="BA865" t="s">
        <v>74</v>
      </c>
      <c r="BB865" t="s">
        <v>7513</v>
      </c>
      <c r="BC865" t="s">
        <v>7513</v>
      </c>
      <c r="BD865" t="s">
        <v>74</v>
      </c>
      <c r="BE865" t="s">
        <v>7514</v>
      </c>
      <c r="BF865" t="str">
        <f>HYPERLINK("http://dx.doi.org/10.1149/2.0241508jes","http://dx.doi.org/10.1149/2.0241508jes")</f>
        <v>http://dx.doi.org/10.1149/2.0241508jes</v>
      </c>
      <c r="BG865" t="s">
        <v>74</v>
      </c>
      <c r="BH865" t="s">
        <v>74</v>
      </c>
      <c r="BI865" t="s">
        <v>74</v>
      </c>
      <c r="BJ865" t="s">
        <v>74</v>
      </c>
      <c r="BK865" t="s">
        <v>74</v>
      </c>
      <c r="BL865" t="s">
        <v>74</v>
      </c>
      <c r="BM865" t="s">
        <v>74</v>
      </c>
      <c r="BN865" t="s">
        <v>74</v>
      </c>
      <c r="BO865" t="s">
        <v>74</v>
      </c>
      <c r="BP865" t="s">
        <v>74</v>
      </c>
      <c r="BQ865" t="s">
        <v>74</v>
      </c>
      <c r="BR865" t="s">
        <v>74</v>
      </c>
      <c r="BS865" t="s">
        <v>7515</v>
      </c>
      <c r="BT865" t="str">
        <f>HYPERLINK("https%3A%2F%2Fwww.webofscience.com%2Fwos%2Fwoscc%2Ffull-record%2FWOS:000361192200099","View Full Record in Web of Science")</f>
        <v>View Full Record in Web of Science</v>
      </c>
    </row>
    <row r="866" spans="1:72" x14ac:dyDescent="0.2">
      <c r="A866" t="s">
        <v>72</v>
      </c>
      <c r="B866" t="s">
        <v>7516</v>
      </c>
      <c r="C866" t="s">
        <v>74</v>
      </c>
      <c r="D866" t="s">
        <v>74</v>
      </c>
      <c r="E866" t="s">
        <v>74</v>
      </c>
      <c r="F866" t="s">
        <v>7517</v>
      </c>
      <c r="G866" t="s">
        <v>74</v>
      </c>
      <c r="H866" t="s">
        <v>74</v>
      </c>
      <c r="I866" t="s">
        <v>7518</v>
      </c>
      <c r="J866" t="s">
        <v>5460</v>
      </c>
      <c r="K866" t="s">
        <v>74</v>
      </c>
      <c r="L866" t="s">
        <v>74</v>
      </c>
      <c r="M866" t="s">
        <v>74</v>
      </c>
      <c r="N866" t="s">
        <v>74</v>
      </c>
      <c r="O866" t="s">
        <v>74</v>
      </c>
      <c r="P866" t="s">
        <v>74</v>
      </c>
      <c r="Q866" t="s">
        <v>74</v>
      </c>
      <c r="R866" t="s">
        <v>74</v>
      </c>
      <c r="S866" t="s">
        <v>74</v>
      </c>
      <c r="T866" t="s">
        <v>74</v>
      </c>
      <c r="U866" t="s">
        <v>74</v>
      </c>
      <c r="V866" t="s">
        <v>7519</v>
      </c>
      <c r="W866" t="s">
        <v>74</v>
      </c>
      <c r="X866" t="s">
        <v>74</v>
      </c>
      <c r="Y866" t="s">
        <v>74</v>
      </c>
      <c r="Z866" t="s">
        <v>74</v>
      </c>
      <c r="AA866" t="s">
        <v>7520</v>
      </c>
      <c r="AB866" t="s">
        <v>7521</v>
      </c>
      <c r="AC866" t="s">
        <v>74</v>
      </c>
      <c r="AD866" t="s">
        <v>74</v>
      </c>
      <c r="AE866" t="s">
        <v>74</v>
      </c>
      <c r="AF866" t="s">
        <v>74</v>
      </c>
      <c r="AG866" t="s">
        <v>74</v>
      </c>
      <c r="AH866" t="s">
        <v>74</v>
      </c>
      <c r="AI866" t="s">
        <v>74</v>
      </c>
      <c r="AJ866" t="s">
        <v>74</v>
      </c>
      <c r="AK866" t="s">
        <v>74</v>
      </c>
      <c r="AL866" t="s">
        <v>74</v>
      </c>
      <c r="AM866" t="s">
        <v>74</v>
      </c>
      <c r="AN866" t="s">
        <v>74</v>
      </c>
      <c r="AO866" t="s">
        <v>5464</v>
      </c>
      <c r="AP866" t="s">
        <v>74</v>
      </c>
      <c r="AQ866" t="s">
        <v>74</v>
      </c>
      <c r="AR866" t="s">
        <v>74</v>
      </c>
      <c r="AS866" t="s">
        <v>74</v>
      </c>
      <c r="AT866" t="s">
        <v>74</v>
      </c>
      <c r="AU866">
        <v>2015</v>
      </c>
      <c r="AV866">
        <v>5</v>
      </c>
      <c r="AW866">
        <v>125</v>
      </c>
      <c r="AX866" t="s">
        <v>74</v>
      </c>
      <c r="AY866" t="s">
        <v>74</v>
      </c>
      <c r="AZ866" t="s">
        <v>74</v>
      </c>
      <c r="BA866" t="s">
        <v>74</v>
      </c>
      <c r="BB866">
        <v>103019</v>
      </c>
      <c r="BC866">
        <v>103022</v>
      </c>
      <c r="BD866" t="s">
        <v>74</v>
      </c>
      <c r="BE866" t="s">
        <v>7522</v>
      </c>
      <c r="BF866" t="str">
        <f>HYPERLINK("http://dx.doi.org/10.1039/c5ra24880a","http://dx.doi.org/10.1039/c5ra24880a")</f>
        <v>http://dx.doi.org/10.1039/c5ra24880a</v>
      </c>
      <c r="BG866" t="s">
        <v>74</v>
      </c>
      <c r="BH866" t="s">
        <v>74</v>
      </c>
      <c r="BI866" t="s">
        <v>74</v>
      </c>
      <c r="BJ866" t="s">
        <v>74</v>
      </c>
      <c r="BK866" t="s">
        <v>74</v>
      </c>
      <c r="BL866" t="s">
        <v>74</v>
      </c>
      <c r="BM866" t="s">
        <v>74</v>
      </c>
      <c r="BN866" t="s">
        <v>74</v>
      </c>
      <c r="BO866" t="s">
        <v>74</v>
      </c>
      <c r="BP866" t="s">
        <v>74</v>
      </c>
      <c r="BQ866" t="s">
        <v>74</v>
      </c>
      <c r="BR866" t="s">
        <v>74</v>
      </c>
      <c r="BS866" t="s">
        <v>7523</v>
      </c>
      <c r="BT866" t="str">
        <f>HYPERLINK("https%3A%2F%2Fwww.webofscience.com%2Fwos%2Fwoscc%2Ffull-record%2FWOS:000366461000008","View Full Record in Web of Science")</f>
        <v>View Full Record in Web of Science</v>
      </c>
    </row>
    <row r="867" spans="1:72" x14ac:dyDescent="0.2">
      <c r="A867" t="s">
        <v>72</v>
      </c>
      <c r="B867" t="s">
        <v>7524</v>
      </c>
      <c r="C867" t="s">
        <v>74</v>
      </c>
      <c r="D867" t="s">
        <v>74</v>
      </c>
      <c r="E867" t="s">
        <v>74</v>
      </c>
      <c r="F867" t="s">
        <v>7525</v>
      </c>
      <c r="G867" t="s">
        <v>74</v>
      </c>
      <c r="H867" t="s">
        <v>74</v>
      </c>
      <c r="I867" t="s">
        <v>7526</v>
      </c>
      <c r="J867" t="s">
        <v>1040</v>
      </c>
      <c r="K867" t="s">
        <v>74</v>
      </c>
      <c r="L867" t="s">
        <v>74</v>
      </c>
      <c r="M867" t="s">
        <v>74</v>
      </c>
      <c r="N867" t="s">
        <v>74</v>
      </c>
      <c r="O867" t="s">
        <v>74</v>
      </c>
      <c r="P867" t="s">
        <v>74</v>
      </c>
      <c r="Q867" t="s">
        <v>74</v>
      </c>
      <c r="R867" t="s">
        <v>74</v>
      </c>
      <c r="S867" t="s">
        <v>74</v>
      </c>
      <c r="T867" t="s">
        <v>74</v>
      </c>
      <c r="U867" t="s">
        <v>74</v>
      </c>
      <c r="V867" t="s">
        <v>7527</v>
      </c>
      <c r="W867" t="s">
        <v>74</v>
      </c>
      <c r="X867" t="s">
        <v>74</v>
      </c>
      <c r="Y867" t="s">
        <v>74</v>
      </c>
      <c r="Z867" t="s">
        <v>74</v>
      </c>
      <c r="AA867" t="s">
        <v>7528</v>
      </c>
      <c r="AB867" t="s">
        <v>7529</v>
      </c>
      <c r="AC867" t="s">
        <v>74</v>
      </c>
      <c r="AD867" t="s">
        <v>74</v>
      </c>
      <c r="AE867" t="s">
        <v>74</v>
      </c>
      <c r="AF867" t="s">
        <v>74</v>
      </c>
      <c r="AG867" t="s">
        <v>74</v>
      </c>
      <c r="AH867" t="s">
        <v>74</v>
      </c>
      <c r="AI867" t="s">
        <v>74</v>
      </c>
      <c r="AJ867" t="s">
        <v>74</v>
      </c>
      <c r="AK867" t="s">
        <v>74</v>
      </c>
      <c r="AL867" t="s">
        <v>74</v>
      </c>
      <c r="AM867" t="s">
        <v>74</v>
      </c>
      <c r="AN867" t="s">
        <v>74</v>
      </c>
      <c r="AO867" t="s">
        <v>1043</v>
      </c>
      <c r="AP867" t="s">
        <v>1044</v>
      </c>
      <c r="AQ867" t="s">
        <v>74</v>
      </c>
      <c r="AR867" t="s">
        <v>74</v>
      </c>
      <c r="AS867" t="s">
        <v>74</v>
      </c>
      <c r="AT867" t="s">
        <v>74</v>
      </c>
      <c r="AU867">
        <v>2015</v>
      </c>
      <c r="AV867">
        <v>17</v>
      </c>
      <c r="AW867">
        <v>25</v>
      </c>
      <c r="AX867" t="s">
        <v>74</v>
      </c>
      <c r="AY867" t="s">
        <v>74</v>
      </c>
      <c r="AZ867" t="s">
        <v>74</v>
      </c>
      <c r="BA867" t="s">
        <v>74</v>
      </c>
      <c r="BB867">
        <v>16462</v>
      </c>
      <c r="BC867">
        <v>16468</v>
      </c>
      <c r="BD867" t="s">
        <v>74</v>
      </c>
      <c r="BE867" t="s">
        <v>7530</v>
      </c>
      <c r="BF867" t="str">
        <f>HYPERLINK("http://dx.doi.org/10.1039/c5cp00982k","http://dx.doi.org/10.1039/c5cp00982k")</f>
        <v>http://dx.doi.org/10.1039/c5cp00982k</v>
      </c>
      <c r="BG867" t="s">
        <v>74</v>
      </c>
      <c r="BH867" t="s">
        <v>74</v>
      </c>
      <c r="BI867" t="s">
        <v>74</v>
      </c>
      <c r="BJ867" t="s">
        <v>74</v>
      </c>
      <c r="BK867" t="s">
        <v>74</v>
      </c>
      <c r="BL867" t="s">
        <v>74</v>
      </c>
      <c r="BM867" t="s">
        <v>74</v>
      </c>
      <c r="BN867">
        <v>26051990</v>
      </c>
      <c r="BO867" t="s">
        <v>74</v>
      </c>
      <c r="BP867" t="s">
        <v>74</v>
      </c>
      <c r="BQ867" t="s">
        <v>74</v>
      </c>
      <c r="BR867" t="s">
        <v>74</v>
      </c>
      <c r="BS867" t="s">
        <v>7531</v>
      </c>
      <c r="BT867" t="str">
        <f>HYPERLINK("https%3A%2F%2Fwww.webofscience.com%2Fwos%2Fwoscc%2Ffull-record%2FWOS:000356396300028","View Full Record in Web of Science")</f>
        <v>View Full Record in Web of Science</v>
      </c>
    </row>
    <row r="868" spans="1:72" x14ac:dyDescent="0.2">
      <c r="A868" t="s">
        <v>72</v>
      </c>
      <c r="B868" t="s">
        <v>7532</v>
      </c>
      <c r="C868" t="s">
        <v>74</v>
      </c>
      <c r="D868" t="s">
        <v>74</v>
      </c>
      <c r="E868" t="s">
        <v>74</v>
      </c>
      <c r="F868" t="s">
        <v>7533</v>
      </c>
      <c r="G868" t="s">
        <v>74</v>
      </c>
      <c r="H868" t="s">
        <v>74</v>
      </c>
      <c r="I868" t="s">
        <v>7534</v>
      </c>
      <c r="J868" t="s">
        <v>654</v>
      </c>
      <c r="K868" t="s">
        <v>74</v>
      </c>
      <c r="L868" t="s">
        <v>74</v>
      </c>
      <c r="M868" t="s">
        <v>74</v>
      </c>
      <c r="N868" t="s">
        <v>74</v>
      </c>
      <c r="O868" t="s">
        <v>74</v>
      </c>
      <c r="P868" t="s">
        <v>74</v>
      </c>
      <c r="Q868" t="s">
        <v>74</v>
      </c>
      <c r="R868" t="s">
        <v>74</v>
      </c>
      <c r="S868" t="s">
        <v>74</v>
      </c>
      <c r="T868" t="s">
        <v>74</v>
      </c>
      <c r="U868" t="s">
        <v>74</v>
      </c>
      <c r="V868" t="s">
        <v>7535</v>
      </c>
      <c r="W868" t="s">
        <v>74</v>
      </c>
      <c r="X868" t="s">
        <v>74</v>
      </c>
      <c r="Y868" t="s">
        <v>74</v>
      </c>
      <c r="Z868" t="s">
        <v>74</v>
      </c>
      <c r="AA868" t="s">
        <v>7536</v>
      </c>
      <c r="AB868" t="s">
        <v>7537</v>
      </c>
      <c r="AC868" t="s">
        <v>74</v>
      </c>
      <c r="AD868" t="s">
        <v>74</v>
      </c>
      <c r="AE868" t="s">
        <v>74</v>
      </c>
      <c r="AF868" t="s">
        <v>74</v>
      </c>
      <c r="AG868" t="s">
        <v>74</v>
      </c>
      <c r="AH868" t="s">
        <v>74</v>
      </c>
      <c r="AI868" t="s">
        <v>74</v>
      </c>
      <c r="AJ868" t="s">
        <v>74</v>
      </c>
      <c r="AK868" t="s">
        <v>74</v>
      </c>
      <c r="AL868" t="s">
        <v>74</v>
      </c>
      <c r="AM868" t="s">
        <v>74</v>
      </c>
      <c r="AN868" t="s">
        <v>74</v>
      </c>
      <c r="AO868" t="s">
        <v>657</v>
      </c>
      <c r="AP868" t="s">
        <v>658</v>
      </c>
      <c r="AQ868" t="s">
        <v>74</v>
      </c>
      <c r="AR868" t="s">
        <v>74</v>
      </c>
      <c r="AS868" t="s">
        <v>74</v>
      </c>
      <c r="AT868" t="s">
        <v>113</v>
      </c>
      <c r="AU868">
        <v>2014</v>
      </c>
      <c r="AV868">
        <v>14</v>
      </c>
      <c r="AW868">
        <v>10</v>
      </c>
      <c r="AX868" t="s">
        <v>74</v>
      </c>
      <c r="AY868" t="s">
        <v>74</v>
      </c>
      <c r="AZ868" t="s">
        <v>74</v>
      </c>
      <c r="BA868" t="s">
        <v>74</v>
      </c>
      <c r="BB868">
        <v>6016</v>
      </c>
      <c r="BC868">
        <v>6022</v>
      </c>
      <c r="BD868" t="s">
        <v>74</v>
      </c>
      <c r="BE868" t="s">
        <v>7538</v>
      </c>
      <c r="BF868" t="str">
        <f>HYPERLINK("http://dx.doi.org/10.1021/nl503125u","http://dx.doi.org/10.1021/nl503125u")</f>
        <v>http://dx.doi.org/10.1021/nl503125u</v>
      </c>
      <c r="BG868" t="s">
        <v>74</v>
      </c>
      <c r="BH868" t="s">
        <v>74</v>
      </c>
      <c r="BI868" t="s">
        <v>74</v>
      </c>
      <c r="BJ868" t="s">
        <v>74</v>
      </c>
      <c r="BK868" t="s">
        <v>74</v>
      </c>
      <c r="BL868" t="s">
        <v>74</v>
      </c>
      <c r="BM868" t="s">
        <v>74</v>
      </c>
      <c r="BN868">
        <v>25166749</v>
      </c>
      <c r="BO868" t="s">
        <v>74</v>
      </c>
      <c r="BP868" t="s">
        <v>74</v>
      </c>
      <c r="BQ868" t="s">
        <v>74</v>
      </c>
      <c r="BR868" t="s">
        <v>74</v>
      </c>
      <c r="BS868" t="s">
        <v>7539</v>
      </c>
      <c r="BT868" t="str">
        <f>HYPERLINK("https%3A%2F%2Fwww.webofscience.com%2Fwos%2Fwoscc%2Ffull-record%2FWOS:000343016400082","View Full Record in Web of Science")</f>
        <v>View Full Record in Web of Science</v>
      </c>
    </row>
    <row r="869" spans="1:72" x14ac:dyDescent="0.2">
      <c r="A869" t="s">
        <v>72</v>
      </c>
      <c r="B869" t="s">
        <v>7540</v>
      </c>
      <c r="C869" t="s">
        <v>74</v>
      </c>
      <c r="D869" t="s">
        <v>74</v>
      </c>
      <c r="E869" t="s">
        <v>74</v>
      </c>
      <c r="F869" t="s">
        <v>7541</v>
      </c>
      <c r="G869" t="s">
        <v>74</v>
      </c>
      <c r="H869" t="s">
        <v>74</v>
      </c>
      <c r="I869" t="s">
        <v>7542</v>
      </c>
      <c r="J869" t="s">
        <v>665</v>
      </c>
      <c r="K869" t="s">
        <v>74</v>
      </c>
      <c r="L869" t="s">
        <v>74</v>
      </c>
      <c r="M869" t="s">
        <v>74</v>
      </c>
      <c r="N869" t="s">
        <v>74</v>
      </c>
      <c r="O869" t="s">
        <v>74</v>
      </c>
      <c r="P869" t="s">
        <v>74</v>
      </c>
      <c r="Q869" t="s">
        <v>74</v>
      </c>
      <c r="R869" t="s">
        <v>74</v>
      </c>
      <c r="S869" t="s">
        <v>74</v>
      </c>
      <c r="T869" t="s">
        <v>74</v>
      </c>
      <c r="U869" t="s">
        <v>74</v>
      </c>
      <c r="V869" t="s">
        <v>7543</v>
      </c>
      <c r="W869" t="s">
        <v>74</v>
      </c>
      <c r="X869" t="s">
        <v>74</v>
      </c>
      <c r="Y869" t="s">
        <v>74</v>
      </c>
      <c r="Z869" t="s">
        <v>74</v>
      </c>
      <c r="AA869" t="s">
        <v>7544</v>
      </c>
      <c r="AB869" t="s">
        <v>7545</v>
      </c>
      <c r="AC869" t="s">
        <v>74</v>
      </c>
      <c r="AD869" t="s">
        <v>74</v>
      </c>
      <c r="AE869" t="s">
        <v>74</v>
      </c>
      <c r="AF869" t="s">
        <v>74</v>
      </c>
      <c r="AG869" t="s">
        <v>74</v>
      </c>
      <c r="AH869" t="s">
        <v>74</v>
      </c>
      <c r="AI869" t="s">
        <v>74</v>
      </c>
      <c r="AJ869" t="s">
        <v>74</v>
      </c>
      <c r="AK869" t="s">
        <v>74</v>
      </c>
      <c r="AL869" t="s">
        <v>74</v>
      </c>
      <c r="AM869" t="s">
        <v>74</v>
      </c>
      <c r="AN869" t="s">
        <v>74</v>
      </c>
      <c r="AO869" t="s">
        <v>668</v>
      </c>
      <c r="AP869" t="s">
        <v>669</v>
      </c>
      <c r="AQ869" t="s">
        <v>74</v>
      </c>
      <c r="AR869" t="s">
        <v>74</v>
      </c>
      <c r="AS869" t="s">
        <v>74</v>
      </c>
      <c r="AT869" t="s">
        <v>134</v>
      </c>
      <c r="AU869">
        <v>2014</v>
      </c>
      <c r="AV869">
        <v>263</v>
      </c>
      <c r="AW869" t="s">
        <v>74</v>
      </c>
      <c r="AX869" t="s">
        <v>74</v>
      </c>
      <c r="AY869" t="s">
        <v>74</v>
      </c>
      <c r="AZ869" t="s">
        <v>74</v>
      </c>
      <c r="BA869" t="s">
        <v>74</v>
      </c>
      <c r="BB869">
        <v>146</v>
      </c>
      <c r="BC869">
        <v>151</v>
      </c>
      <c r="BD869" t="s">
        <v>74</v>
      </c>
      <c r="BE869" t="s">
        <v>7546</v>
      </c>
      <c r="BF869" t="str">
        <f>HYPERLINK("http://dx.doi.org/10.1016/j.ssi.2014.06.001","http://dx.doi.org/10.1016/j.ssi.2014.06.001")</f>
        <v>http://dx.doi.org/10.1016/j.ssi.2014.06.001</v>
      </c>
      <c r="BG869" t="s">
        <v>74</v>
      </c>
      <c r="BH869" t="s">
        <v>74</v>
      </c>
      <c r="BI869" t="s">
        <v>74</v>
      </c>
      <c r="BJ869" t="s">
        <v>74</v>
      </c>
      <c r="BK869" t="s">
        <v>74</v>
      </c>
      <c r="BL869" t="s">
        <v>74</v>
      </c>
      <c r="BM869" t="s">
        <v>74</v>
      </c>
      <c r="BN869" t="s">
        <v>74</v>
      </c>
      <c r="BO869" t="s">
        <v>74</v>
      </c>
      <c r="BP869" t="s">
        <v>74</v>
      </c>
      <c r="BQ869" t="s">
        <v>74</v>
      </c>
      <c r="BR869" t="s">
        <v>74</v>
      </c>
      <c r="BS869" t="s">
        <v>7547</v>
      </c>
      <c r="BT869" t="str">
        <f>HYPERLINK("https%3A%2F%2Fwww.webofscience.com%2Fwos%2Fwoscc%2Ffull-record%2FWOS:000340303000024","View Full Record in Web of Science")</f>
        <v>View Full Record in Web of Science</v>
      </c>
    </row>
    <row r="870" spans="1:72" x14ac:dyDescent="0.2">
      <c r="A870" t="s">
        <v>72</v>
      </c>
      <c r="B870" t="s">
        <v>7548</v>
      </c>
      <c r="C870" t="s">
        <v>74</v>
      </c>
      <c r="D870" t="s">
        <v>74</v>
      </c>
      <c r="E870" t="s">
        <v>74</v>
      </c>
      <c r="F870" t="s">
        <v>7549</v>
      </c>
      <c r="G870" t="s">
        <v>74</v>
      </c>
      <c r="H870" t="s">
        <v>74</v>
      </c>
      <c r="I870" t="s">
        <v>7550</v>
      </c>
      <c r="J870" t="s">
        <v>1256</v>
      </c>
      <c r="K870" t="s">
        <v>74</v>
      </c>
      <c r="L870" t="s">
        <v>74</v>
      </c>
      <c r="M870" t="s">
        <v>74</v>
      </c>
      <c r="N870" t="s">
        <v>74</v>
      </c>
      <c r="O870" t="s">
        <v>74</v>
      </c>
      <c r="P870" t="s">
        <v>74</v>
      </c>
      <c r="Q870" t="s">
        <v>74</v>
      </c>
      <c r="R870" t="s">
        <v>74</v>
      </c>
      <c r="S870" t="s">
        <v>74</v>
      </c>
      <c r="T870" t="s">
        <v>74</v>
      </c>
      <c r="U870" t="s">
        <v>74</v>
      </c>
      <c r="V870" t="s">
        <v>7551</v>
      </c>
      <c r="W870" t="s">
        <v>74</v>
      </c>
      <c r="X870" t="s">
        <v>74</v>
      </c>
      <c r="Y870" t="s">
        <v>74</v>
      </c>
      <c r="Z870" t="s">
        <v>74</v>
      </c>
      <c r="AA870" t="s">
        <v>7552</v>
      </c>
      <c r="AB870" t="s">
        <v>7553</v>
      </c>
      <c r="AC870" t="s">
        <v>74</v>
      </c>
      <c r="AD870" t="s">
        <v>74</v>
      </c>
      <c r="AE870" t="s">
        <v>74</v>
      </c>
      <c r="AF870" t="s">
        <v>74</v>
      </c>
      <c r="AG870" t="s">
        <v>74</v>
      </c>
      <c r="AH870" t="s">
        <v>74</v>
      </c>
      <c r="AI870" t="s">
        <v>74</v>
      </c>
      <c r="AJ870" t="s">
        <v>74</v>
      </c>
      <c r="AK870" t="s">
        <v>74</v>
      </c>
      <c r="AL870" t="s">
        <v>74</v>
      </c>
      <c r="AM870" t="s">
        <v>74</v>
      </c>
      <c r="AN870" t="s">
        <v>74</v>
      </c>
      <c r="AO870" t="s">
        <v>1258</v>
      </c>
      <c r="AP870" t="s">
        <v>1259</v>
      </c>
      <c r="AQ870" t="s">
        <v>74</v>
      </c>
      <c r="AR870" t="s">
        <v>74</v>
      </c>
      <c r="AS870" t="s">
        <v>74</v>
      </c>
      <c r="AT870" t="s">
        <v>1919</v>
      </c>
      <c r="AU870">
        <v>2014</v>
      </c>
      <c r="AV870">
        <v>139</v>
      </c>
      <c r="AW870" t="s">
        <v>74</v>
      </c>
      <c r="AX870" t="s">
        <v>74</v>
      </c>
      <c r="AY870" t="s">
        <v>74</v>
      </c>
      <c r="AZ870" t="s">
        <v>74</v>
      </c>
      <c r="BA870" t="s">
        <v>74</v>
      </c>
      <c r="BB870">
        <v>264</v>
      </c>
      <c r="BC870">
        <v>269</v>
      </c>
      <c r="BD870" t="s">
        <v>74</v>
      </c>
      <c r="BE870" t="s">
        <v>7554</v>
      </c>
      <c r="BF870" t="str">
        <f>HYPERLINK("http://dx.doi.org/10.1016/j.electacta.2014.06.173","http://dx.doi.org/10.1016/j.electacta.2014.06.173")</f>
        <v>http://dx.doi.org/10.1016/j.electacta.2014.06.173</v>
      </c>
      <c r="BG870" t="s">
        <v>74</v>
      </c>
      <c r="BH870" t="s">
        <v>74</v>
      </c>
      <c r="BI870" t="s">
        <v>74</v>
      </c>
      <c r="BJ870" t="s">
        <v>74</v>
      </c>
      <c r="BK870" t="s">
        <v>74</v>
      </c>
      <c r="BL870" t="s">
        <v>74</v>
      </c>
      <c r="BM870" t="s">
        <v>74</v>
      </c>
      <c r="BN870" t="s">
        <v>74</v>
      </c>
      <c r="BO870" t="s">
        <v>74</v>
      </c>
      <c r="BP870" t="s">
        <v>74</v>
      </c>
      <c r="BQ870" t="s">
        <v>74</v>
      </c>
      <c r="BR870" t="s">
        <v>74</v>
      </c>
      <c r="BS870" t="s">
        <v>7555</v>
      </c>
      <c r="BT870" t="str">
        <f>HYPERLINK("https%3A%2F%2Fwww.webofscience.com%2Fwos%2Fwoscc%2Ffull-record%2FWOS:000342275200037","View Full Record in Web of Science")</f>
        <v>View Full Record in Web of Science</v>
      </c>
    </row>
    <row r="871" spans="1:72" x14ac:dyDescent="0.2">
      <c r="A871" t="s">
        <v>72</v>
      </c>
      <c r="B871" t="s">
        <v>7556</v>
      </c>
      <c r="C871" t="s">
        <v>74</v>
      </c>
      <c r="D871" t="s">
        <v>74</v>
      </c>
      <c r="E871" t="s">
        <v>74</v>
      </c>
      <c r="F871" t="s">
        <v>7557</v>
      </c>
      <c r="G871" t="s">
        <v>74</v>
      </c>
      <c r="H871" t="s">
        <v>74</v>
      </c>
      <c r="I871" t="s">
        <v>7558</v>
      </c>
      <c r="J871" t="s">
        <v>1256</v>
      </c>
      <c r="K871" t="s">
        <v>74</v>
      </c>
      <c r="L871" t="s">
        <v>74</v>
      </c>
      <c r="M871" t="s">
        <v>74</v>
      </c>
      <c r="N871" t="s">
        <v>74</v>
      </c>
      <c r="O871" t="s">
        <v>74</v>
      </c>
      <c r="P871" t="s">
        <v>74</v>
      </c>
      <c r="Q871" t="s">
        <v>74</v>
      </c>
      <c r="R871" t="s">
        <v>74</v>
      </c>
      <c r="S871" t="s">
        <v>74</v>
      </c>
      <c r="T871" t="s">
        <v>74</v>
      </c>
      <c r="U871" t="s">
        <v>74</v>
      </c>
      <c r="V871" t="s">
        <v>7559</v>
      </c>
      <c r="W871" t="s">
        <v>74</v>
      </c>
      <c r="X871" t="s">
        <v>74</v>
      </c>
      <c r="Y871" t="s">
        <v>74</v>
      </c>
      <c r="Z871" t="s">
        <v>74</v>
      </c>
      <c r="AA871" t="s">
        <v>7560</v>
      </c>
      <c r="AB871" t="s">
        <v>74</v>
      </c>
      <c r="AC871" t="s">
        <v>74</v>
      </c>
      <c r="AD871" t="s">
        <v>74</v>
      </c>
      <c r="AE871" t="s">
        <v>74</v>
      </c>
      <c r="AF871" t="s">
        <v>74</v>
      </c>
      <c r="AG871" t="s">
        <v>74</v>
      </c>
      <c r="AH871" t="s">
        <v>74</v>
      </c>
      <c r="AI871" t="s">
        <v>74</v>
      </c>
      <c r="AJ871" t="s">
        <v>74</v>
      </c>
      <c r="AK871" t="s">
        <v>74</v>
      </c>
      <c r="AL871" t="s">
        <v>74</v>
      </c>
      <c r="AM871" t="s">
        <v>74</v>
      </c>
      <c r="AN871" t="s">
        <v>74</v>
      </c>
      <c r="AO871" t="s">
        <v>1258</v>
      </c>
      <c r="AP871" t="s">
        <v>1259</v>
      </c>
      <c r="AQ871" t="s">
        <v>74</v>
      </c>
      <c r="AR871" t="s">
        <v>74</v>
      </c>
      <c r="AS871" t="s">
        <v>74</v>
      </c>
      <c r="AT871" t="s">
        <v>1803</v>
      </c>
      <c r="AU871">
        <v>2014</v>
      </c>
      <c r="AV871">
        <v>136</v>
      </c>
      <c r="AW871" t="s">
        <v>74</v>
      </c>
      <c r="AX871" t="s">
        <v>74</v>
      </c>
      <c r="AY871" t="s">
        <v>74</v>
      </c>
      <c r="AZ871" t="s">
        <v>74</v>
      </c>
      <c r="BA871" t="s">
        <v>74</v>
      </c>
      <c r="BB871">
        <v>157</v>
      </c>
      <c r="BC871">
        <v>165</v>
      </c>
      <c r="BD871" t="s">
        <v>74</v>
      </c>
      <c r="BE871" t="s">
        <v>7561</v>
      </c>
      <c r="BF871" t="str">
        <f>HYPERLINK("http://dx.doi.org/10.1016/j.electacta.2014.05.072","http://dx.doi.org/10.1016/j.electacta.2014.05.072")</f>
        <v>http://dx.doi.org/10.1016/j.electacta.2014.05.072</v>
      </c>
      <c r="BG871" t="s">
        <v>74</v>
      </c>
      <c r="BH871" t="s">
        <v>74</v>
      </c>
      <c r="BI871" t="s">
        <v>74</v>
      </c>
      <c r="BJ871" t="s">
        <v>74</v>
      </c>
      <c r="BK871" t="s">
        <v>74</v>
      </c>
      <c r="BL871" t="s">
        <v>74</v>
      </c>
      <c r="BM871" t="s">
        <v>74</v>
      </c>
      <c r="BN871" t="s">
        <v>74</v>
      </c>
      <c r="BO871" t="s">
        <v>74</v>
      </c>
      <c r="BP871" t="s">
        <v>74</v>
      </c>
      <c r="BQ871" t="s">
        <v>74</v>
      </c>
      <c r="BR871" t="s">
        <v>74</v>
      </c>
      <c r="BS871" t="s">
        <v>7562</v>
      </c>
      <c r="BT871" t="str">
        <f>HYPERLINK("https%3A%2F%2Fwww.webofscience.com%2Fwos%2Fwoscc%2Ffull-record%2FWOS:000340320800020","View Full Record in Web of Science")</f>
        <v>View Full Record in Web of Science</v>
      </c>
    </row>
    <row r="872" spans="1:72" x14ac:dyDescent="0.2">
      <c r="A872" t="s">
        <v>72</v>
      </c>
      <c r="B872" t="s">
        <v>7563</v>
      </c>
      <c r="C872" t="s">
        <v>74</v>
      </c>
      <c r="D872" t="s">
        <v>74</v>
      </c>
      <c r="E872" t="s">
        <v>74</v>
      </c>
      <c r="F872" t="s">
        <v>7564</v>
      </c>
      <c r="G872" t="s">
        <v>74</v>
      </c>
      <c r="H872" t="s">
        <v>74</v>
      </c>
      <c r="I872" t="s">
        <v>7565</v>
      </c>
      <c r="J872" t="s">
        <v>341</v>
      </c>
      <c r="K872" t="s">
        <v>74</v>
      </c>
      <c r="L872" t="s">
        <v>74</v>
      </c>
      <c r="M872" t="s">
        <v>74</v>
      </c>
      <c r="N872" t="s">
        <v>74</v>
      </c>
      <c r="O872" t="s">
        <v>74</v>
      </c>
      <c r="P872" t="s">
        <v>74</v>
      </c>
      <c r="Q872" t="s">
        <v>74</v>
      </c>
      <c r="R872" t="s">
        <v>74</v>
      </c>
      <c r="S872" t="s">
        <v>74</v>
      </c>
      <c r="T872" t="s">
        <v>74</v>
      </c>
      <c r="U872" t="s">
        <v>74</v>
      </c>
      <c r="V872" t="s">
        <v>7566</v>
      </c>
      <c r="W872" t="s">
        <v>74</v>
      </c>
      <c r="X872" t="s">
        <v>74</v>
      </c>
      <c r="Y872" t="s">
        <v>74</v>
      </c>
      <c r="Z872" t="s">
        <v>74</v>
      </c>
      <c r="AA872" t="s">
        <v>7567</v>
      </c>
      <c r="AB872" t="s">
        <v>7568</v>
      </c>
      <c r="AC872" t="s">
        <v>74</v>
      </c>
      <c r="AD872" t="s">
        <v>74</v>
      </c>
      <c r="AE872" t="s">
        <v>74</v>
      </c>
      <c r="AF872" t="s">
        <v>74</v>
      </c>
      <c r="AG872" t="s">
        <v>74</v>
      </c>
      <c r="AH872" t="s">
        <v>74</v>
      </c>
      <c r="AI872" t="s">
        <v>74</v>
      </c>
      <c r="AJ872" t="s">
        <v>74</v>
      </c>
      <c r="AK872" t="s">
        <v>74</v>
      </c>
      <c r="AL872" t="s">
        <v>74</v>
      </c>
      <c r="AM872" t="s">
        <v>74</v>
      </c>
      <c r="AN872" t="s">
        <v>74</v>
      </c>
      <c r="AO872" t="s">
        <v>344</v>
      </c>
      <c r="AP872" t="s">
        <v>345</v>
      </c>
      <c r="AQ872" t="s">
        <v>74</v>
      </c>
      <c r="AR872" t="s">
        <v>74</v>
      </c>
      <c r="AS872" t="s">
        <v>74</v>
      </c>
      <c r="AT872" t="s">
        <v>368</v>
      </c>
      <c r="AU872">
        <v>2014</v>
      </c>
      <c r="AV872">
        <v>2</v>
      </c>
      <c r="AW872">
        <v>7</v>
      </c>
      <c r="AX872" t="s">
        <v>74</v>
      </c>
      <c r="AY872" t="s">
        <v>74</v>
      </c>
      <c r="AZ872" t="s">
        <v>74</v>
      </c>
      <c r="BA872" t="s">
        <v>74</v>
      </c>
      <c r="BB872">
        <v>643</v>
      </c>
      <c r="BC872">
        <v>650</v>
      </c>
      <c r="BD872" t="s">
        <v>74</v>
      </c>
      <c r="BE872" t="s">
        <v>7569</v>
      </c>
      <c r="BF872" t="str">
        <f>HYPERLINK("http://dx.doi.org/10.1002/ente.201402010","http://dx.doi.org/10.1002/ente.201402010")</f>
        <v>http://dx.doi.org/10.1002/ente.201402010</v>
      </c>
      <c r="BG872" t="s">
        <v>74</v>
      </c>
      <c r="BH872" t="s">
        <v>74</v>
      </c>
      <c r="BI872" t="s">
        <v>74</v>
      </c>
      <c r="BJ872" t="s">
        <v>74</v>
      </c>
      <c r="BK872" t="s">
        <v>74</v>
      </c>
      <c r="BL872" t="s">
        <v>74</v>
      </c>
      <c r="BM872" t="s">
        <v>74</v>
      </c>
      <c r="BN872" t="s">
        <v>74</v>
      </c>
      <c r="BO872" t="s">
        <v>74</v>
      </c>
      <c r="BP872" t="s">
        <v>74</v>
      </c>
      <c r="BQ872" t="s">
        <v>74</v>
      </c>
      <c r="BR872" t="s">
        <v>74</v>
      </c>
      <c r="BS872" t="s">
        <v>7570</v>
      </c>
      <c r="BT872" t="str">
        <f>HYPERLINK("https%3A%2F%2Fwww.webofscience.com%2Fwos%2Fwoscc%2Ffull-record%2FWOS:000338421600008","View Full Record in Web of Science")</f>
        <v>View Full Record in Web of Science</v>
      </c>
    </row>
    <row r="873" spans="1:72" x14ac:dyDescent="0.2">
      <c r="A873" t="s">
        <v>72</v>
      </c>
      <c r="B873" t="s">
        <v>7571</v>
      </c>
      <c r="C873" t="s">
        <v>74</v>
      </c>
      <c r="D873" t="s">
        <v>74</v>
      </c>
      <c r="E873" t="s">
        <v>74</v>
      </c>
      <c r="F873" t="s">
        <v>7572</v>
      </c>
      <c r="G873" t="s">
        <v>74</v>
      </c>
      <c r="H873" t="s">
        <v>74</v>
      </c>
      <c r="I873" t="s">
        <v>7573</v>
      </c>
      <c r="J873" t="s">
        <v>1256</v>
      </c>
      <c r="K873" t="s">
        <v>74</v>
      </c>
      <c r="L873" t="s">
        <v>74</v>
      </c>
      <c r="M873" t="s">
        <v>74</v>
      </c>
      <c r="N873" t="s">
        <v>74</v>
      </c>
      <c r="O873" t="s">
        <v>74</v>
      </c>
      <c r="P873" t="s">
        <v>74</v>
      </c>
      <c r="Q873" t="s">
        <v>74</v>
      </c>
      <c r="R873" t="s">
        <v>74</v>
      </c>
      <c r="S873" t="s">
        <v>74</v>
      </c>
      <c r="T873" t="s">
        <v>74</v>
      </c>
      <c r="U873" t="s">
        <v>74</v>
      </c>
      <c r="V873" t="s">
        <v>7574</v>
      </c>
      <c r="W873" t="s">
        <v>74</v>
      </c>
      <c r="X873" t="s">
        <v>74</v>
      </c>
      <c r="Y873" t="s">
        <v>74</v>
      </c>
      <c r="Z873" t="s">
        <v>74</v>
      </c>
      <c r="AA873" t="s">
        <v>7575</v>
      </c>
      <c r="AB873" t="s">
        <v>74</v>
      </c>
      <c r="AC873" t="s">
        <v>74</v>
      </c>
      <c r="AD873" t="s">
        <v>74</v>
      </c>
      <c r="AE873" t="s">
        <v>74</v>
      </c>
      <c r="AF873" t="s">
        <v>74</v>
      </c>
      <c r="AG873" t="s">
        <v>74</v>
      </c>
      <c r="AH873" t="s">
        <v>74</v>
      </c>
      <c r="AI873" t="s">
        <v>74</v>
      </c>
      <c r="AJ873" t="s">
        <v>74</v>
      </c>
      <c r="AK873" t="s">
        <v>74</v>
      </c>
      <c r="AL873" t="s">
        <v>74</v>
      </c>
      <c r="AM873" t="s">
        <v>74</v>
      </c>
      <c r="AN873" t="s">
        <v>74</v>
      </c>
      <c r="AO873" t="s">
        <v>1258</v>
      </c>
      <c r="AP873" t="s">
        <v>1259</v>
      </c>
      <c r="AQ873" t="s">
        <v>74</v>
      </c>
      <c r="AR873" t="s">
        <v>74</v>
      </c>
      <c r="AS873" t="s">
        <v>74</v>
      </c>
      <c r="AT873" t="s">
        <v>7576</v>
      </c>
      <c r="AU873">
        <v>2014</v>
      </c>
      <c r="AV873">
        <v>132</v>
      </c>
      <c r="AW873" t="s">
        <v>74</v>
      </c>
      <c r="AX873" t="s">
        <v>74</v>
      </c>
      <c r="AY873" t="s">
        <v>74</v>
      </c>
      <c r="AZ873" t="s">
        <v>74</v>
      </c>
      <c r="BA873" t="s">
        <v>74</v>
      </c>
      <c r="BB873">
        <v>103</v>
      </c>
      <c r="BC873">
        <v>111</v>
      </c>
      <c r="BD873" t="s">
        <v>74</v>
      </c>
      <c r="BE873" t="s">
        <v>7577</v>
      </c>
      <c r="BF873" t="str">
        <f>HYPERLINK("http://dx.doi.org/10.1016/j.electacta.2014.03.151","http://dx.doi.org/10.1016/j.electacta.2014.03.151")</f>
        <v>http://dx.doi.org/10.1016/j.electacta.2014.03.151</v>
      </c>
      <c r="BG873" t="s">
        <v>74</v>
      </c>
      <c r="BH873" t="s">
        <v>74</v>
      </c>
      <c r="BI873" t="s">
        <v>74</v>
      </c>
      <c r="BJ873" t="s">
        <v>74</v>
      </c>
      <c r="BK873" t="s">
        <v>74</v>
      </c>
      <c r="BL873" t="s">
        <v>74</v>
      </c>
      <c r="BM873" t="s">
        <v>74</v>
      </c>
      <c r="BN873" t="s">
        <v>74</v>
      </c>
      <c r="BO873" t="s">
        <v>74</v>
      </c>
      <c r="BP873" t="s">
        <v>74</v>
      </c>
      <c r="BQ873" t="s">
        <v>74</v>
      </c>
      <c r="BR873" t="s">
        <v>74</v>
      </c>
      <c r="BS873" t="s">
        <v>7578</v>
      </c>
      <c r="BT873" t="str">
        <f>HYPERLINK("https%3A%2F%2Fwww.webofscience.com%2Fwos%2Fwoscc%2Ffull-record%2FWOS:000337209600015","View Full Record in Web of Science")</f>
        <v>View Full Record in Web of Science</v>
      </c>
    </row>
    <row r="874" spans="1:72" x14ac:dyDescent="0.2">
      <c r="A874" t="s">
        <v>72</v>
      </c>
      <c r="B874" t="s">
        <v>7579</v>
      </c>
      <c r="C874" t="s">
        <v>74</v>
      </c>
      <c r="D874" t="s">
        <v>74</v>
      </c>
      <c r="E874" t="s">
        <v>74</v>
      </c>
      <c r="F874" t="s">
        <v>7580</v>
      </c>
      <c r="G874" t="s">
        <v>74</v>
      </c>
      <c r="H874" t="s">
        <v>74</v>
      </c>
      <c r="I874" t="s">
        <v>7581</v>
      </c>
      <c r="J874" t="s">
        <v>98</v>
      </c>
      <c r="K874" t="s">
        <v>74</v>
      </c>
      <c r="L874" t="s">
        <v>74</v>
      </c>
      <c r="M874" t="s">
        <v>74</v>
      </c>
      <c r="N874" t="s">
        <v>74</v>
      </c>
      <c r="O874" t="s">
        <v>74</v>
      </c>
      <c r="P874" t="s">
        <v>74</v>
      </c>
      <c r="Q874" t="s">
        <v>74</v>
      </c>
      <c r="R874" t="s">
        <v>74</v>
      </c>
      <c r="S874" t="s">
        <v>74</v>
      </c>
      <c r="T874" t="s">
        <v>74</v>
      </c>
      <c r="U874" t="s">
        <v>74</v>
      </c>
      <c r="V874" t="s">
        <v>7582</v>
      </c>
      <c r="W874" t="s">
        <v>74</v>
      </c>
      <c r="X874" t="s">
        <v>74</v>
      </c>
      <c r="Y874" t="s">
        <v>74</v>
      </c>
      <c r="Z874" t="s">
        <v>74</v>
      </c>
      <c r="AA874" t="s">
        <v>7583</v>
      </c>
      <c r="AB874" t="s">
        <v>7584</v>
      </c>
      <c r="AC874" t="s">
        <v>74</v>
      </c>
      <c r="AD874" t="s">
        <v>74</v>
      </c>
      <c r="AE874" t="s">
        <v>74</v>
      </c>
      <c r="AF874" t="s">
        <v>74</v>
      </c>
      <c r="AG874" t="s">
        <v>74</v>
      </c>
      <c r="AH874" t="s">
        <v>74</v>
      </c>
      <c r="AI874" t="s">
        <v>74</v>
      </c>
      <c r="AJ874" t="s">
        <v>74</v>
      </c>
      <c r="AK874" t="s">
        <v>74</v>
      </c>
      <c r="AL874" t="s">
        <v>74</v>
      </c>
      <c r="AM874" t="s">
        <v>74</v>
      </c>
      <c r="AN874" t="s">
        <v>74</v>
      </c>
      <c r="AO874" t="s">
        <v>101</v>
      </c>
      <c r="AP874" t="s">
        <v>102</v>
      </c>
      <c r="AQ874" t="s">
        <v>74</v>
      </c>
      <c r="AR874" t="s">
        <v>74</v>
      </c>
      <c r="AS874" t="s">
        <v>74</v>
      </c>
      <c r="AT874" t="s">
        <v>2174</v>
      </c>
      <c r="AU874">
        <v>2014</v>
      </c>
      <c r="AV874">
        <v>255</v>
      </c>
      <c r="AW874" t="s">
        <v>74</v>
      </c>
      <c r="AX874" t="s">
        <v>74</v>
      </c>
      <c r="AY874" t="s">
        <v>74</v>
      </c>
      <c r="AZ874" t="s">
        <v>74</v>
      </c>
      <c r="BA874" t="s">
        <v>74</v>
      </c>
      <c r="BB874">
        <v>204</v>
      </c>
      <c r="BC874">
        <v>218</v>
      </c>
      <c r="BD874" t="s">
        <v>74</v>
      </c>
      <c r="BE874" t="s">
        <v>7585</v>
      </c>
      <c r="BF874" t="str">
        <f>HYPERLINK("http://dx.doi.org/10.1016/j.jpowsour.2014.01.023","http://dx.doi.org/10.1016/j.jpowsour.2014.01.023")</f>
        <v>http://dx.doi.org/10.1016/j.jpowsour.2014.01.023</v>
      </c>
      <c r="BG874" t="s">
        <v>74</v>
      </c>
      <c r="BH874" t="s">
        <v>74</v>
      </c>
      <c r="BI874" t="s">
        <v>74</v>
      </c>
      <c r="BJ874" t="s">
        <v>74</v>
      </c>
      <c r="BK874" t="s">
        <v>74</v>
      </c>
      <c r="BL874" t="s">
        <v>74</v>
      </c>
      <c r="BM874" t="s">
        <v>74</v>
      </c>
      <c r="BN874" t="s">
        <v>74</v>
      </c>
      <c r="BO874" t="s">
        <v>74</v>
      </c>
      <c r="BP874" t="s">
        <v>74</v>
      </c>
      <c r="BQ874" t="s">
        <v>74</v>
      </c>
      <c r="BR874" t="s">
        <v>74</v>
      </c>
      <c r="BS874" t="s">
        <v>7586</v>
      </c>
      <c r="BT874" t="str">
        <f>HYPERLINK("https%3A%2F%2Fwww.webofscience.com%2Fwos%2Fwoscc%2Ffull-record%2FWOS:000332436400027","View Full Record in Web of Science")</f>
        <v>View Full Record in Web of Science</v>
      </c>
    </row>
    <row r="875" spans="1:72" x14ac:dyDescent="0.2">
      <c r="A875" t="s">
        <v>72</v>
      </c>
      <c r="B875" t="s">
        <v>7587</v>
      </c>
      <c r="C875" t="s">
        <v>74</v>
      </c>
      <c r="D875" t="s">
        <v>74</v>
      </c>
      <c r="E875" t="s">
        <v>74</v>
      </c>
      <c r="F875" t="s">
        <v>7588</v>
      </c>
      <c r="G875" t="s">
        <v>74</v>
      </c>
      <c r="H875" t="s">
        <v>74</v>
      </c>
      <c r="I875" t="s">
        <v>7589</v>
      </c>
      <c r="J875" t="s">
        <v>231</v>
      </c>
      <c r="K875" t="s">
        <v>74</v>
      </c>
      <c r="L875" t="s">
        <v>74</v>
      </c>
      <c r="M875" t="s">
        <v>74</v>
      </c>
      <c r="N875" t="s">
        <v>74</v>
      </c>
      <c r="O875" t="s">
        <v>74</v>
      </c>
      <c r="P875" t="s">
        <v>74</v>
      </c>
      <c r="Q875" t="s">
        <v>74</v>
      </c>
      <c r="R875" t="s">
        <v>74</v>
      </c>
      <c r="S875" t="s">
        <v>74</v>
      </c>
      <c r="T875" t="s">
        <v>74</v>
      </c>
      <c r="U875" t="s">
        <v>74</v>
      </c>
      <c r="V875" t="s">
        <v>7590</v>
      </c>
      <c r="W875" t="s">
        <v>74</v>
      </c>
      <c r="X875" t="s">
        <v>74</v>
      </c>
      <c r="Y875" t="s">
        <v>74</v>
      </c>
      <c r="Z875" t="s">
        <v>74</v>
      </c>
      <c r="AA875" t="s">
        <v>7591</v>
      </c>
      <c r="AB875" t="s">
        <v>74</v>
      </c>
      <c r="AC875" t="s">
        <v>74</v>
      </c>
      <c r="AD875" t="s">
        <v>74</v>
      </c>
      <c r="AE875" t="s">
        <v>74</v>
      </c>
      <c r="AF875" t="s">
        <v>74</v>
      </c>
      <c r="AG875" t="s">
        <v>74</v>
      </c>
      <c r="AH875" t="s">
        <v>74</v>
      </c>
      <c r="AI875" t="s">
        <v>74</v>
      </c>
      <c r="AJ875" t="s">
        <v>74</v>
      </c>
      <c r="AK875" t="s">
        <v>74</v>
      </c>
      <c r="AL875" t="s">
        <v>74</v>
      </c>
      <c r="AM875" t="s">
        <v>74</v>
      </c>
      <c r="AN875" t="s">
        <v>74</v>
      </c>
      <c r="AO875" t="s">
        <v>1363</v>
      </c>
      <c r="AP875" t="s">
        <v>234</v>
      </c>
      <c r="AQ875" t="s">
        <v>74</v>
      </c>
      <c r="AR875" t="s">
        <v>74</v>
      </c>
      <c r="AS875" t="s">
        <v>74</v>
      </c>
      <c r="AT875" t="s">
        <v>7592</v>
      </c>
      <c r="AU875">
        <v>2014</v>
      </c>
      <c r="AV875">
        <v>53</v>
      </c>
      <c r="AW875">
        <v>12</v>
      </c>
      <c r="AX875" t="s">
        <v>74</v>
      </c>
      <c r="AY875" t="s">
        <v>74</v>
      </c>
      <c r="AZ875" t="s">
        <v>74</v>
      </c>
      <c r="BA875" t="s">
        <v>74</v>
      </c>
      <c r="BB875">
        <v>3173</v>
      </c>
      <c r="BC875">
        <v>3177</v>
      </c>
      <c r="BD875" t="s">
        <v>74</v>
      </c>
      <c r="BE875" t="s">
        <v>7593</v>
      </c>
      <c r="BF875" t="str">
        <f>HYPERLINK("http://dx.doi.org/10.1002/anie.201310317","http://dx.doi.org/10.1002/anie.201310317")</f>
        <v>http://dx.doi.org/10.1002/anie.201310317</v>
      </c>
      <c r="BG875" t="s">
        <v>74</v>
      </c>
      <c r="BH875" t="s">
        <v>74</v>
      </c>
      <c r="BI875" t="s">
        <v>74</v>
      </c>
      <c r="BJ875" t="s">
        <v>74</v>
      </c>
      <c r="BK875" t="s">
        <v>74</v>
      </c>
      <c r="BL875" t="s">
        <v>74</v>
      </c>
      <c r="BM875" t="s">
        <v>74</v>
      </c>
      <c r="BN875" t="s">
        <v>74</v>
      </c>
      <c r="BO875" t="s">
        <v>74</v>
      </c>
      <c r="BP875" t="s">
        <v>74</v>
      </c>
      <c r="BQ875" t="s">
        <v>74</v>
      </c>
      <c r="BR875" t="s">
        <v>74</v>
      </c>
      <c r="BS875" t="s">
        <v>7594</v>
      </c>
      <c r="BT875" t="str">
        <f>HYPERLINK("https%3A%2F%2Fwww.webofscience.com%2Fwos%2Fwoscc%2Ffull-record%2FWOS:000332747700022","View Full Record in Web of Science")</f>
        <v>View Full Record in Web of Science</v>
      </c>
    </row>
    <row r="876" spans="1:72" x14ac:dyDescent="0.2">
      <c r="A876" t="s">
        <v>72</v>
      </c>
      <c r="B876" t="s">
        <v>7595</v>
      </c>
      <c r="C876" t="s">
        <v>74</v>
      </c>
      <c r="D876" t="s">
        <v>74</v>
      </c>
      <c r="E876" t="s">
        <v>74</v>
      </c>
      <c r="F876" t="s">
        <v>7596</v>
      </c>
      <c r="G876" t="s">
        <v>74</v>
      </c>
      <c r="H876" t="s">
        <v>74</v>
      </c>
      <c r="I876" t="s">
        <v>7597</v>
      </c>
      <c r="J876" t="s">
        <v>3637</v>
      </c>
      <c r="K876" t="s">
        <v>74</v>
      </c>
      <c r="L876" t="s">
        <v>74</v>
      </c>
      <c r="M876" t="s">
        <v>74</v>
      </c>
      <c r="N876" t="s">
        <v>74</v>
      </c>
      <c r="O876" t="s">
        <v>74</v>
      </c>
      <c r="P876" t="s">
        <v>74</v>
      </c>
      <c r="Q876" t="s">
        <v>74</v>
      </c>
      <c r="R876" t="s">
        <v>74</v>
      </c>
      <c r="S876" t="s">
        <v>74</v>
      </c>
      <c r="T876" t="s">
        <v>74</v>
      </c>
      <c r="U876" t="s">
        <v>74</v>
      </c>
      <c r="V876" t="s">
        <v>7598</v>
      </c>
      <c r="W876" t="s">
        <v>74</v>
      </c>
      <c r="X876" t="s">
        <v>74</v>
      </c>
      <c r="Y876" t="s">
        <v>74</v>
      </c>
      <c r="Z876" t="s">
        <v>74</v>
      </c>
      <c r="AA876" t="s">
        <v>7599</v>
      </c>
      <c r="AB876" t="s">
        <v>7600</v>
      </c>
      <c r="AC876" t="s">
        <v>74</v>
      </c>
      <c r="AD876" t="s">
        <v>74</v>
      </c>
      <c r="AE876" t="s">
        <v>74</v>
      </c>
      <c r="AF876" t="s">
        <v>74</v>
      </c>
      <c r="AG876" t="s">
        <v>74</v>
      </c>
      <c r="AH876" t="s">
        <v>74</v>
      </c>
      <c r="AI876" t="s">
        <v>74</v>
      </c>
      <c r="AJ876" t="s">
        <v>74</v>
      </c>
      <c r="AK876" t="s">
        <v>74</v>
      </c>
      <c r="AL876" t="s">
        <v>74</v>
      </c>
      <c r="AM876" t="s">
        <v>74</v>
      </c>
      <c r="AN876" t="s">
        <v>74</v>
      </c>
      <c r="AO876" t="s">
        <v>3641</v>
      </c>
      <c r="AP876" t="s">
        <v>3642</v>
      </c>
      <c r="AQ876" t="s">
        <v>74</v>
      </c>
      <c r="AR876" t="s">
        <v>74</v>
      </c>
      <c r="AS876" t="s">
        <v>74</v>
      </c>
      <c r="AT876" t="s">
        <v>6843</v>
      </c>
      <c r="AU876">
        <v>2014</v>
      </c>
      <c r="AV876">
        <v>29</v>
      </c>
      <c r="AW876">
        <v>5</v>
      </c>
      <c r="AX876" t="s">
        <v>74</v>
      </c>
      <c r="AY876" t="s">
        <v>74</v>
      </c>
      <c r="AZ876" t="s">
        <v>74</v>
      </c>
      <c r="BA876" t="s">
        <v>74</v>
      </c>
      <c r="BB876">
        <v>625</v>
      </c>
      <c r="BC876">
        <v>632</v>
      </c>
      <c r="BD876" t="s">
        <v>74</v>
      </c>
      <c r="BE876" t="s">
        <v>7601</v>
      </c>
      <c r="BF876" t="str">
        <f>HYPERLINK("http://dx.doi.org/10.1557/jmr.2014.31","http://dx.doi.org/10.1557/jmr.2014.31")</f>
        <v>http://dx.doi.org/10.1557/jmr.2014.31</v>
      </c>
      <c r="BG876" t="s">
        <v>74</v>
      </c>
      <c r="BH876" t="s">
        <v>74</v>
      </c>
      <c r="BI876" t="s">
        <v>74</v>
      </c>
      <c r="BJ876" t="s">
        <v>74</v>
      </c>
      <c r="BK876" t="s">
        <v>74</v>
      </c>
      <c r="BL876" t="s">
        <v>74</v>
      </c>
      <c r="BM876" t="s">
        <v>74</v>
      </c>
      <c r="BN876" t="s">
        <v>74</v>
      </c>
      <c r="BO876" t="s">
        <v>74</v>
      </c>
      <c r="BP876" t="s">
        <v>74</v>
      </c>
      <c r="BQ876" t="s">
        <v>74</v>
      </c>
      <c r="BR876" t="s">
        <v>74</v>
      </c>
      <c r="BS876" t="s">
        <v>7602</v>
      </c>
      <c r="BT876" t="str">
        <f>HYPERLINK("https%3A%2F%2Fwww.webofscience.com%2Fwos%2Fwoscc%2Ffull-record%2FWOS:000337189900003","View Full Record in Web of Science")</f>
        <v>View Full Record in Web of Science</v>
      </c>
    </row>
    <row r="877" spans="1:72" x14ac:dyDescent="0.2">
      <c r="A877" t="s">
        <v>72</v>
      </c>
      <c r="B877" t="s">
        <v>7603</v>
      </c>
      <c r="C877" t="s">
        <v>74</v>
      </c>
      <c r="D877" t="s">
        <v>74</v>
      </c>
      <c r="E877" t="s">
        <v>74</v>
      </c>
      <c r="F877" t="s">
        <v>7604</v>
      </c>
      <c r="G877" t="s">
        <v>74</v>
      </c>
      <c r="H877" t="s">
        <v>74</v>
      </c>
      <c r="I877" t="s">
        <v>7605</v>
      </c>
      <c r="J877" t="s">
        <v>4131</v>
      </c>
      <c r="K877" t="s">
        <v>74</v>
      </c>
      <c r="L877" t="s">
        <v>74</v>
      </c>
      <c r="M877" t="s">
        <v>74</v>
      </c>
      <c r="N877" t="s">
        <v>74</v>
      </c>
      <c r="O877" t="s">
        <v>74</v>
      </c>
      <c r="P877" t="s">
        <v>74</v>
      </c>
      <c r="Q877" t="s">
        <v>74</v>
      </c>
      <c r="R877" t="s">
        <v>74</v>
      </c>
      <c r="S877" t="s">
        <v>74</v>
      </c>
      <c r="T877" t="s">
        <v>74</v>
      </c>
      <c r="U877" t="s">
        <v>74</v>
      </c>
      <c r="V877" t="s">
        <v>7606</v>
      </c>
      <c r="W877" t="s">
        <v>74</v>
      </c>
      <c r="X877" t="s">
        <v>74</v>
      </c>
      <c r="Y877" t="s">
        <v>74</v>
      </c>
      <c r="Z877" t="s">
        <v>74</v>
      </c>
      <c r="AA877" t="s">
        <v>7607</v>
      </c>
      <c r="AB877" t="s">
        <v>7608</v>
      </c>
      <c r="AC877" t="s">
        <v>74</v>
      </c>
      <c r="AD877" t="s">
        <v>74</v>
      </c>
      <c r="AE877" t="s">
        <v>74</v>
      </c>
      <c r="AF877" t="s">
        <v>74</v>
      </c>
      <c r="AG877" t="s">
        <v>74</v>
      </c>
      <c r="AH877" t="s">
        <v>74</v>
      </c>
      <c r="AI877" t="s">
        <v>74</v>
      </c>
      <c r="AJ877" t="s">
        <v>74</v>
      </c>
      <c r="AK877" t="s">
        <v>74</v>
      </c>
      <c r="AL877" t="s">
        <v>74</v>
      </c>
      <c r="AM877" t="s">
        <v>74</v>
      </c>
      <c r="AN877" t="s">
        <v>74</v>
      </c>
      <c r="AO877" t="s">
        <v>4135</v>
      </c>
      <c r="AP877" t="s">
        <v>4136</v>
      </c>
      <c r="AQ877" t="s">
        <v>74</v>
      </c>
      <c r="AR877" t="s">
        <v>74</v>
      </c>
      <c r="AS877" t="s">
        <v>74</v>
      </c>
      <c r="AT877" t="s">
        <v>954</v>
      </c>
      <c r="AU877">
        <v>2014</v>
      </c>
      <c r="AV877">
        <v>211</v>
      </c>
      <c r="AW877" t="s">
        <v>74</v>
      </c>
      <c r="AX877" t="s">
        <v>74</v>
      </c>
      <c r="AY877" t="s">
        <v>74</v>
      </c>
      <c r="AZ877" t="s">
        <v>74</v>
      </c>
      <c r="BA877" t="s">
        <v>74</v>
      </c>
      <c r="BB877">
        <v>81</v>
      </c>
      <c r="BC877">
        <v>89</v>
      </c>
      <c r="BD877" t="s">
        <v>74</v>
      </c>
      <c r="BE877" t="s">
        <v>7609</v>
      </c>
      <c r="BF877" t="str">
        <f>HYPERLINK("http://dx.doi.org/10.1016/j.jssc.2013.12.006","http://dx.doi.org/10.1016/j.jssc.2013.12.006")</f>
        <v>http://dx.doi.org/10.1016/j.jssc.2013.12.006</v>
      </c>
      <c r="BG877" t="s">
        <v>74</v>
      </c>
      <c r="BH877" t="s">
        <v>74</v>
      </c>
      <c r="BI877" t="s">
        <v>74</v>
      </c>
      <c r="BJ877" t="s">
        <v>74</v>
      </c>
      <c r="BK877" t="s">
        <v>74</v>
      </c>
      <c r="BL877" t="s">
        <v>74</v>
      </c>
      <c r="BM877" t="s">
        <v>74</v>
      </c>
      <c r="BN877" t="s">
        <v>74</v>
      </c>
      <c r="BO877" t="s">
        <v>74</v>
      </c>
      <c r="BP877" t="s">
        <v>74</v>
      </c>
      <c r="BQ877" t="s">
        <v>74</v>
      </c>
      <c r="BR877" t="s">
        <v>74</v>
      </c>
      <c r="BS877" t="s">
        <v>7610</v>
      </c>
      <c r="BT877" t="str">
        <f>HYPERLINK("https%3A%2F%2Fwww.webofscience.com%2Fwos%2Fwoscc%2Ffull-record%2FWOS:000331686400012","View Full Record in Web of Science")</f>
        <v>View Full Record in Web of Science</v>
      </c>
    </row>
    <row r="878" spans="1:72" x14ac:dyDescent="0.2">
      <c r="A878" t="s">
        <v>72</v>
      </c>
      <c r="B878" t="s">
        <v>7611</v>
      </c>
      <c r="C878" t="s">
        <v>74</v>
      </c>
      <c r="D878" t="s">
        <v>74</v>
      </c>
      <c r="E878" t="s">
        <v>74</v>
      </c>
      <c r="F878" t="s">
        <v>7612</v>
      </c>
      <c r="G878" t="s">
        <v>74</v>
      </c>
      <c r="H878" t="s">
        <v>74</v>
      </c>
      <c r="I878" t="s">
        <v>7613</v>
      </c>
      <c r="J878" t="s">
        <v>98</v>
      </c>
      <c r="K878" t="s">
        <v>74</v>
      </c>
      <c r="L878" t="s">
        <v>74</v>
      </c>
      <c r="M878" t="s">
        <v>74</v>
      </c>
      <c r="N878" t="s">
        <v>74</v>
      </c>
      <c r="O878" t="s">
        <v>74</v>
      </c>
      <c r="P878" t="s">
        <v>74</v>
      </c>
      <c r="Q878" t="s">
        <v>74</v>
      </c>
      <c r="R878" t="s">
        <v>74</v>
      </c>
      <c r="S878" t="s">
        <v>74</v>
      </c>
      <c r="T878" t="s">
        <v>74</v>
      </c>
      <c r="U878" t="s">
        <v>74</v>
      </c>
      <c r="V878" t="s">
        <v>7614</v>
      </c>
      <c r="W878" t="s">
        <v>74</v>
      </c>
      <c r="X878" t="s">
        <v>74</v>
      </c>
      <c r="Y878" t="s">
        <v>74</v>
      </c>
      <c r="Z878" t="s">
        <v>74</v>
      </c>
      <c r="AA878" t="s">
        <v>7615</v>
      </c>
      <c r="AB878" t="s">
        <v>7616</v>
      </c>
      <c r="AC878" t="s">
        <v>74</v>
      </c>
      <c r="AD878" t="s">
        <v>74</v>
      </c>
      <c r="AE878" t="s">
        <v>74</v>
      </c>
      <c r="AF878" t="s">
        <v>74</v>
      </c>
      <c r="AG878" t="s">
        <v>74</v>
      </c>
      <c r="AH878" t="s">
        <v>74</v>
      </c>
      <c r="AI878" t="s">
        <v>74</v>
      </c>
      <c r="AJ878" t="s">
        <v>74</v>
      </c>
      <c r="AK878" t="s">
        <v>74</v>
      </c>
      <c r="AL878" t="s">
        <v>74</v>
      </c>
      <c r="AM878" t="s">
        <v>74</v>
      </c>
      <c r="AN878" t="s">
        <v>74</v>
      </c>
      <c r="AO878" t="s">
        <v>101</v>
      </c>
      <c r="AP878" t="s">
        <v>102</v>
      </c>
      <c r="AQ878" t="s">
        <v>74</v>
      </c>
      <c r="AR878" t="s">
        <v>74</v>
      </c>
      <c r="AS878" t="s">
        <v>74</v>
      </c>
      <c r="AT878" t="s">
        <v>1463</v>
      </c>
      <c r="AU878">
        <v>2014</v>
      </c>
      <c r="AV878">
        <v>248</v>
      </c>
      <c r="AW878" t="s">
        <v>74</v>
      </c>
      <c r="AX878" t="s">
        <v>74</v>
      </c>
      <c r="AY878" t="s">
        <v>74</v>
      </c>
      <c r="AZ878" t="s">
        <v>74</v>
      </c>
      <c r="BA878" t="s">
        <v>74</v>
      </c>
      <c r="BB878">
        <v>77</v>
      </c>
      <c r="BC878">
        <v>82</v>
      </c>
      <c r="BD878" t="s">
        <v>74</v>
      </c>
      <c r="BE878" t="s">
        <v>7617</v>
      </c>
      <c r="BF878" t="str">
        <f>HYPERLINK("http://dx.doi.org/10.1016/j.jpowsour.2013.09.044","http://dx.doi.org/10.1016/j.jpowsour.2013.09.044")</f>
        <v>http://dx.doi.org/10.1016/j.jpowsour.2013.09.044</v>
      </c>
      <c r="BG878" t="s">
        <v>74</v>
      </c>
      <c r="BH878" t="s">
        <v>74</v>
      </c>
      <c r="BI878" t="s">
        <v>74</v>
      </c>
      <c r="BJ878" t="s">
        <v>74</v>
      </c>
      <c r="BK878" t="s">
        <v>74</v>
      </c>
      <c r="BL878" t="s">
        <v>74</v>
      </c>
      <c r="BM878" t="s">
        <v>74</v>
      </c>
      <c r="BN878" t="s">
        <v>74</v>
      </c>
      <c r="BO878" t="s">
        <v>74</v>
      </c>
      <c r="BP878" t="s">
        <v>74</v>
      </c>
      <c r="BQ878" t="s">
        <v>74</v>
      </c>
      <c r="BR878" t="s">
        <v>74</v>
      </c>
      <c r="BS878" t="s">
        <v>7618</v>
      </c>
      <c r="BT878" t="str">
        <f>HYPERLINK("https%3A%2F%2Fwww.webofscience.com%2Fwos%2Fwoscc%2Ffull-record%2FWOS:000330551000010","View Full Record in Web of Science")</f>
        <v>View Full Record in Web of Science</v>
      </c>
    </row>
    <row r="879" spans="1:72" x14ac:dyDescent="0.2">
      <c r="A879" t="s">
        <v>72</v>
      </c>
      <c r="B879" t="s">
        <v>7619</v>
      </c>
      <c r="C879" t="s">
        <v>74</v>
      </c>
      <c r="D879" t="s">
        <v>74</v>
      </c>
      <c r="E879" t="s">
        <v>74</v>
      </c>
      <c r="F879" t="s">
        <v>7620</v>
      </c>
      <c r="G879" t="s">
        <v>74</v>
      </c>
      <c r="H879" t="s">
        <v>74</v>
      </c>
      <c r="I879" t="s">
        <v>7621</v>
      </c>
      <c r="J879" t="s">
        <v>98</v>
      </c>
      <c r="K879" t="s">
        <v>74</v>
      </c>
      <c r="L879" t="s">
        <v>74</v>
      </c>
      <c r="M879" t="s">
        <v>74</v>
      </c>
      <c r="N879" t="s">
        <v>74</v>
      </c>
      <c r="O879" t="s">
        <v>74</v>
      </c>
      <c r="P879" t="s">
        <v>74</v>
      </c>
      <c r="Q879" t="s">
        <v>74</v>
      </c>
      <c r="R879" t="s">
        <v>74</v>
      </c>
      <c r="S879" t="s">
        <v>74</v>
      </c>
      <c r="T879" t="s">
        <v>74</v>
      </c>
      <c r="U879" t="s">
        <v>74</v>
      </c>
      <c r="V879" t="s">
        <v>7622</v>
      </c>
      <c r="W879" t="s">
        <v>74</v>
      </c>
      <c r="X879" t="s">
        <v>74</v>
      </c>
      <c r="Y879" t="s">
        <v>74</v>
      </c>
      <c r="Z879" t="s">
        <v>74</v>
      </c>
      <c r="AA879" t="s">
        <v>7623</v>
      </c>
      <c r="AB879" t="s">
        <v>74</v>
      </c>
      <c r="AC879" t="s">
        <v>74</v>
      </c>
      <c r="AD879" t="s">
        <v>74</v>
      </c>
      <c r="AE879" t="s">
        <v>74</v>
      </c>
      <c r="AF879" t="s">
        <v>74</v>
      </c>
      <c r="AG879" t="s">
        <v>74</v>
      </c>
      <c r="AH879" t="s">
        <v>74</v>
      </c>
      <c r="AI879" t="s">
        <v>74</v>
      </c>
      <c r="AJ879" t="s">
        <v>74</v>
      </c>
      <c r="AK879" t="s">
        <v>74</v>
      </c>
      <c r="AL879" t="s">
        <v>74</v>
      </c>
      <c r="AM879" t="s">
        <v>74</v>
      </c>
      <c r="AN879" t="s">
        <v>74</v>
      </c>
      <c r="AO879" t="s">
        <v>101</v>
      </c>
      <c r="AP879" t="s">
        <v>102</v>
      </c>
      <c r="AQ879" t="s">
        <v>74</v>
      </c>
      <c r="AR879" t="s">
        <v>74</v>
      </c>
      <c r="AS879" t="s">
        <v>74</v>
      </c>
      <c r="AT879" t="s">
        <v>1463</v>
      </c>
      <c r="AU879">
        <v>2014</v>
      </c>
      <c r="AV879">
        <v>248</v>
      </c>
      <c r="AW879" t="s">
        <v>74</v>
      </c>
      <c r="AX879" t="s">
        <v>74</v>
      </c>
      <c r="AY879" t="s">
        <v>74</v>
      </c>
      <c r="AZ879" t="s">
        <v>74</v>
      </c>
      <c r="BA879" t="s">
        <v>74</v>
      </c>
      <c r="BB879">
        <v>690</v>
      </c>
      <c r="BC879">
        <v>694</v>
      </c>
      <c r="BD879" t="s">
        <v>74</v>
      </c>
      <c r="BE879" t="s">
        <v>7624</v>
      </c>
      <c r="BF879" t="str">
        <f>HYPERLINK("http://dx.doi.org/10.1016/j.jpowsour.2013.09.124","http://dx.doi.org/10.1016/j.jpowsour.2013.09.124")</f>
        <v>http://dx.doi.org/10.1016/j.jpowsour.2013.09.124</v>
      </c>
      <c r="BG879" t="s">
        <v>74</v>
      </c>
      <c r="BH879" t="s">
        <v>74</v>
      </c>
      <c r="BI879" t="s">
        <v>74</v>
      </c>
      <c r="BJ879" t="s">
        <v>74</v>
      </c>
      <c r="BK879" t="s">
        <v>74</v>
      </c>
      <c r="BL879" t="s">
        <v>74</v>
      </c>
      <c r="BM879" t="s">
        <v>74</v>
      </c>
      <c r="BN879" t="s">
        <v>74</v>
      </c>
      <c r="BO879" t="s">
        <v>74</v>
      </c>
      <c r="BP879" t="s">
        <v>74</v>
      </c>
      <c r="BQ879" t="s">
        <v>74</v>
      </c>
      <c r="BR879" t="s">
        <v>74</v>
      </c>
      <c r="BS879" t="s">
        <v>7625</v>
      </c>
      <c r="BT879" t="str">
        <f>HYPERLINK("https%3A%2F%2Fwww.webofscience.com%2Fwos%2Fwoscc%2Ffull-record%2FWOS:000330551000089","View Full Record in Web of Science")</f>
        <v>View Full Record in Web of Science</v>
      </c>
    </row>
    <row r="880" spans="1:72" x14ac:dyDescent="0.2">
      <c r="A880" t="s">
        <v>72</v>
      </c>
      <c r="B880" t="s">
        <v>7626</v>
      </c>
      <c r="C880" t="s">
        <v>74</v>
      </c>
      <c r="D880" t="s">
        <v>74</v>
      </c>
      <c r="E880" t="s">
        <v>74</v>
      </c>
      <c r="F880" t="s">
        <v>7627</v>
      </c>
      <c r="G880" t="s">
        <v>74</v>
      </c>
      <c r="H880" t="s">
        <v>74</v>
      </c>
      <c r="I880" t="s">
        <v>7628</v>
      </c>
      <c r="J880" t="s">
        <v>98</v>
      </c>
      <c r="K880" t="s">
        <v>74</v>
      </c>
      <c r="L880" t="s">
        <v>74</v>
      </c>
      <c r="M880" t="s">
        <v>74</v>
      </c>
      <c r="N880" t="s">
        <v>74</v>
      </c>
      <c r="O880" t="s">
        <v>74</v>
      </c>
      <c r="P880" t="s">
        <v>74</v>
      </c>
      <c r="Q880" t="s">
        <v>74</v>
      </c>
      <c r="R880" t="s">
        <v>74</v>
      </c>
      <c r="S880" t="s">
        <v>74</v>
      </c>
      <c r="T880" t="s">
        <v>74</v>
      </c>
      <c r="U880" t="s">
        <v>74</v>
      </c>
      <c r="V880" t="s">
        <v>7629</v>
      </c>
      <c r="W880" t="s">
        <v>74</v>
      </c>
      <c r="X880" t="s">
        <v>74</v>
      </c>
      <c r="Y880" t="s">
        <v>74</v>
      </c>
      <c r="Z880" t="s">
        <v>74</v>
      </c>
      <c r="AA880" t="s">
        <v>7630</v>
      </c>
      <c r="AB880" t="s">
        <v>7631</v>
      </c>
      <c r="AC880" t="s">
        <v>74</v>
      </c>
      <c r="AD880" t="s">
        <v>74</v>
      </c>
      <c r="AE880" t="s">
        <v>74</v>
      </c>
      <c r="AF880" t="s">
        <v>74</v>
      </c>
      <c r="AG880" t="s">
        <v>74</v>
      </c>
      <c r="AH880" t="s">
        <v>74</v>
      </c>
      <c r="AI880" t="s">
        <v>74</v>
      </c>
      <c r="AJ880" t="s">
        <v>74</v>
      </c>
      <c r="AK880" t="s">
        <v>74</v>
      </c>
      <c r="AL880" t="s">
        <v>74</v>
      </c>
      <c r="AM880" t="s">
        <v>74</v>
      </c>
      <c r="AN880" t="s">
        <v>74</v>
      </c>
      <c r="AO880" t="s">
        <v>101</v>
      </c>
      <c r="AP880" t="s">
        <v>102</v>
      </c>
      <c r="AQ880" t="s">
        <v>74</v>
      </c>
      <c r="AR880" t="s">
        <v>74</v>
      </c>
      <c r="AS880" t="s">
        <v>74</v>
      </c>
      <c r="AT880" t="s">
        <v>1154</v>
      </c>
      <c r="AU880">
        <v>2014</v>
      </c>
      <c r="AV880">
        <v>247</v>
      </c>
      <c r="AW880" t="s">
        <v>74</v>
      </c>
      <c r="AX880" t="s">
        <v>74</v>
      </c>
      <c r="AY880" t="s">
        <v>74</v>
      </c>
      <c r="AZ880" t="s">
        <v>74</v>
      </c>
      <c r="BA880" t="s">
        <v>74</v>
      </c>
      <c r="BB880">
        <v>813</v>
      </c>
      <c r="BC880">
        <v>820</v>
      </c>
      <c r="BD880" t="s">
        <v>74</v>
      </c>
      <c r="BE880" t="s">
        <v>7632</v>
      </c>
      <c r="BF880" t="str">
        <f>HYPERLINK("http://dx.doi.org/10.1016/j.jpowsour.2013.09.028","http://dx.doi.org/10.1016/j.jpowsour.2013.09.028")</f>
        <v>http://dx.doi.org/10.1016/j.jpowsour.2013.09.028</v>
      </c>
      <c r="BG880" t="s">
        <v>74</v>
      </c>
      <c r="BH880" t="s">
        <v>74</v>
      </c>
      <c r="BI880" t="s">
        <v>74</v>
      </c>
      <c r="BJ880" t="s">
        <v>74</v>
      </c>
      <c r="BK880" t="s">
        <v>74</v>
      </c>
      <c r="BL880" t="s">
        <v>74</v>
      </c>
      <c r="BM880" t="s">
        <v>74</v>
      </c>
      <c r="BN880" t="s">
        <v>74</v>
      </c>
      <c r="BO880" t="s">
        <v>74</v>
      </c>
      <c r="BP880" t="s">
        <v>74</v>
      </c>
      <c r="BQ880" t="s">
        <v>74</v>
      </c>
      <c r="BR880" t="s">
        <v>74</v>
      </c>
      <c r="BS880" t="s">
        <v>7633</v>
      </c>
      <c r="BT880" t="str">
        <f>HYPERLINK("https%3A%2F%2Fwww.webofscience.com%2Fwos%2Fwoscc%2Ffull-record%2FWOS:000328177000107","View Full Record in Web of Science")</f>
        <v>View Full Record in Web of Science</v>
      </c>
    </row>
    <row r="881" spans="1:72" x14ac:dyDescent="0.2">
      <c r="A881" t="s">
        <v>72</v>
      </c>
      <c r="B881" t="s">
        <v>7634</v>
      </c>
      <c r="C881" t="s">
        <v>74</v>
      </c>
      <c r="D881" t="s">
        <v>74</v>
      </c>
      <c r="E881" t="s">
        <v>74</v>
      </c>
      <c r="F881" t="s">
        <v>7635</v>
      </c>
      <c r="G881" t="s">
        <v>74</v>
      </c>
      <c r="H881" t="s">
        <v>74</v>
      </c>
      <c r="I881" t="s">
        <v>7636</v>
      </c>
      <c r="J881" t="s">
        <v>1293</v>
      </c>
      <c r="K881" t="s">
        <v>74</v>
      </c>
      <c r="L881" t="s">
        <v>74</v>
      </c>
      <c r="M881" t="s">
        <v>74</v>
      </c>
      <c r="N881" t="s">
        <v>74</v>
      </c>
      <c r="O881" t="s">
        <v>74</v>
      </c>
      <c r="P881" t="s">
        <v>74</v>
      </c>
      <c r="Q881" t="s">
        <v>74</v>
      </c>
      <c r="R881" t="s">
        <v>74</v>
      </c>
      <c r="S881" t="s">
        <v>74</v>
      </c>
      <c r="T881" t="s">
        <v>74</v>
      </c>
      <c r="U881" t="s">
        <v>74</v>
      </c>
      <c r="V881" t="s">
        <v>7637</v>
      </c>
      <c r="W881" t="s">
        <v>74</v>
      </c>
      <c r="X881" t="s">
        <v>74</v>
      </c>
      <c r="Y881" t="s">
        <v>74</v>
      </c>
      <c r="Z881" t="s">
        <v>74</v>
      </c>
      <c r="AA881" t="s">
        <v>7638</v>
      </c>
      <c r="AB881" t="s">
        <v>7639</v>
      </c>
      <c r="AC881" t="s">
        <v>74</v>
      </c>
      <c r="AD881" t="s">
        <v>74</v>
      </c>
      <c r="AE881" t="s">
        <v>74</v>
      </c>
      <c r="AF881" t="s">
        <v>74</v>
      </c>
      <c r="AG881" t="s">
        <v>74</v>
      </c>
      <c r="AH881" t="s">
        <v>74</v>
      </c>
      <c r="AI881" t="s">
        <v>74</v>
      </c>
      <c r="AJ881" t="s">
        <v>74</v>
      </c>
      <c r="AK881" t="s">
        <v>74</v>
      </c>
      <c r="AL881" t="s">
        <v>74</v>
      </c>
      <c r="AM881" t="s">
        <v>74</v>
      </c>
      <c r="AN881" t="s">
        <v>74</v>
      </c>
      <c r="AO881" t="s">
        <v>1297</v>
      </c>
      <c r="AP881" t="s">
        <v>1298</v>
      </c>
      <c r="AQ881" t="s">
        <v>74</v>
      </c>
      <c r="AR881" t="s">
        <v>74</v>
      </c>
      <c r="AS881" t="s">
        <v>74</v>
      </c>
      <c r="AT881" t="s">
        <v>74</v>
      </c>
      <c r="AU881">
        <v>2014</v>
      </c>
      <c r="AV881">
        <v>161</v>
      </c>
      <c r="AW881">
        <v>14</v>
      </c>
      <c r="AX881" t="s">
        <v>74</v>
      </c>
      <c r="AY881" t="s">
        <v>74</v>
      </c>
      <c r="AZ881" t="s">
        <v>74</v>
      </c>
      <c r="BA881" t="s">
        <v>74</v>
      </c>
      <c r="BB881" t="s">
        <v>7640</v>
      </c>
      <c r="BC881" t="s">
        <v>7641</v>
      </c>
      <c r="BD881" t="s">
        <v>74</v>
      </c>
      <c r="BE881" t="s">
        <v>7642</v>
      </c>
      <c r="BF881" t="str">
        <f>HYPERLINK("http://dx.doi.org/10.1149/2.0011501jes","http://dx.doi.org/10.1149/2.0011501jes")</f>
        <v>http://dx.doi.org/10.1149/2.0011501jes</v>
      </c>
      <c r="BG881" t="s">
        <v>74</v>
      </c>
      <c r="BH881" t="s">
        <v>74</v>
      </c>
      <c r="BI881" t="s">
        <v>74</v>
      </c>
      <c r="BJ881" t="s">
        <v>74</v>
      </c>
      <c r="BK881" t="s">
        <v>74</v>
      </c>
      <c r="BL881" t="s">
        <v>74</v>
      </c>
      <c r="BM881" t="s">
        <v>74</v>
      </c>
      <c r="BN881" t="s">
        <v>74</v>
      </c>
      <c r="BO881" t="s">
        <v>74</v>
      </c>
      <c r="BP881" t="s">
        <v>74</v>
      </c>
      <c r="BQ881" t="s">
        <v>74</v>
      </c>
      <c r="BR881" t="s">
        <v>74</v>
      </c>
      <c r="BS881" t="s">
        <v>7643</v>
      </c>
      <c r="BT881" t="str">
        <f>HYPERLINK("https%3A%2F%2Fwww.webofscience.com%2Fwos%2Fwoscc%2Ffull-record%2FWOS:000345975500046","View Full Record in Web of Science")</f>
        <v>View Full Record in Web of Science</v>
      </c>
    </row>
    <row r="882" spans="1:72" x14ac:dyDescent="0.2">
      <c r="A882" t="s">
        <v>72</v>
      </c>
      <c r="B882" t="s">
        <v>7644</v>
      </c>
      <c r="C882" t="s">
        <v>74</v>
      </c>
      <c r="D882" t="s">
        <v>74</v>
      </c>
      <c r="E882" t="s">
        <v>74</v>
      </c>
      <c r="F882" t="s">
        <v>7645</v>
      </c>
      <c r="G882" t="s">
        <v>74</v>
      </c>
      <c r="H882" t="s">
        <v>74</v>
      </c>
      <c r="I882" t="s">
        <v>7646</v>
      </c>
      <c r="J882" t="s">
        <v>1040</v>
      </c>
      <c r="K882" t="s">
        <v>74</v>
      </c>
      <c r="L882" t="s">
        <v>74</v>
      </c>
      <c r="M882" t="s">
        <v>74</v>
      </c>
      <c r="N882" t="s">
        <v>74</v>
      </c>
      <c r="O882" t="s">
        <v>74</v>
      </c>
      <c r="P882" t="s">
        <v>74</v>
      </c>
      <c r="Q882" t="s">
        <v>74</v>
      </c>
      <c r="R882" t="s">
        <v>74</v>
      </c>
      <c r="S882" t="s">
        <v>74</v>
      </c>
      <c r="T882" t="s">
        <v>74</v>
      </c>
      <c r="U882" t="s">
        <v>74</v>
      </c>
      <c r="V882" t="s">
        <v>7647</v>
      </c>
      <c r="W882" t="s">
        <v>74</v>
      </c>
      <c r="X882" t="s">
        <v>74</v>
      </c>
      <c r="Y882" t="s">
        <v>74</v>
      </c>
      <c r="Z882" t="s">
        <v>74</v>
      </c>
      <c r="AA882" t="s">
        <v>7648</v>
      </c>
      <c r="AB882" t="s">
        <v>74</v>
      </c>
      <c r="AC882" t="s">
        <v>74</v>
      </c>
      <c r="AD882" t="s">
        <v>74</v>
      </c>
      <c r="AE882" t="s">
        <v>74</v>
      </c>
      <c r="AF882" t="s">
        <v>74</v>
      </c>
      <c r="AG882" t="s">
        <v>74</v>
      </c>
      <c r="AH882" t="s">
        <v>74</v>
      </c>
      <c r="AI882" t="s">
        <v>74</v>
      </c>
      <c r="AJ882" t="s">
        <v>74</v>
      </c>
      <c r="AK882" t="s">
        <v>74</v>
      </c>
      <c r="AL882" t="s">
        <v>74</v>
      </c>
      <c r="AM882" t="s">
        <v>74</v>
      </c>
      <c r="AN882" t="s">
        <v>74</v>
      </c>
      <c r="AO882" t="s">
        <v>1043</v>
      </c>
      <c r="AP882" t="s">
        <v>1044</v>
      </c>
      <c r="AQ882" t="s">
        <v>74</v>
      </c>
      <c r="AR882" t="s">
        <v>74</v>
      </c>
      <c r="AS882" t="s">
        <v>74</v>
      </c>
      <c r="AT882" t="s">
        <v>74</v>
      </c>
      <c r="AU882">
        <v>2014</v>
      </c>
      <c r="AV882">
        <v>16</v>
      </c>
      <c r="AW882">
        <v>22</v>
      </c>
      <c r="AX882" t="s">
        <v>74</v>
      </c>
      <c r="AY882" t="s">
        <v>74</v>
      </c>
      <c r="AZ882" t="s">
        <v>74</v>
      </c>
      <c r="BA882" t="s">
        <v>74</v>
      </c>
      <c r="BB882">
        <v>10419</v>
      </c>
      <c r="BC882">
        <v>10424</v>
      </c>
      <c r="BD882" t="s">
        <v>74</v>
      </c>
      <c r="BE882" t="s">
        <v>7649</v>
      </c>
      <c r="BF882" t="str">
        <f>HYPERLINK("http://dx.doi.org/10.1039/c4cp01045k","http://dx.doi.org/10.1039/c4cp01045k")</f>
        <v>http://dx.doi.org/10.1039/c4cp01045k</v>
      </c>
      <c r="BG882" t="s">
        <v>74</v>
      </c>
      <c r="BH882" t="s">
        <v>74</v>
      </c>
      <c r="BI882" t="s">
        <v>74</v>
      </c>
      <c r="BJ882" t="s">
        <v>74</v>
      </c>
      <c r="BK882" t="s">
        <v>74</v>
      </c>
      <c r="BL882" t="s">
        <v>74</v>
      </c>
      <c r="BM882" t="s">
        <v>74</v>
      </c>
      <c r="BN882">
        <v>24760182</v>
      </c>
      <c r="BO882" t="s">
        <v>74</v>
      </c>
      <c r="BP882" t="s">
        <v>74</v>
      </c>
      <c r="BQ882" t="s">
        <v>74</v>
      </c>
      <c r="BR882" t="s">
        <v>74</v>
      </c>
      <c r="BS882" t="s">
        <v>7650</v>
      </c>
      <c r="BT882" t="str">
        <f>HYPERLINK("https%3A%2F%2Fwww.webofscience.com%2Fwos%2Fwoscc%2Ffull-record%2FWOS:000336781500016","View Full Record in Web of Science")</f>
        <v>View Full Record in Web of Science</v>
      </c>
    </row>
    <row r="883" spans="1:72" x14ac:dyDescent="0.2">
      <c r="A883" t="s">
        <v>72</v>
      </c>
      <c r="B883" t="s">
        <v>7651</v>
      </c>
      <c r="C883" t="s">
        <v>74</v>
      </c>
      <c r="D883" t="s">
        <v>74</v>
      </c>
      <c r="E883" t="s">
        <v>74</v>
      </c>
      <c r="F883" t="s">
        <v>7652</v>
      </c>
      <c r="G883" t="s">
        <v>74</v>
      </c>
      <c r="H883" t="s">
        <v>74</v>
      </c>
      <c r="I883" t="s">
        <v>7653</v>
      </c>
      <c r="J883" t="s">
        <v>1256</v>
      </c>
      <c r="K883" t="s">
        <v>74</v>
      </c>
      <c r="L883" t="s">
        <v>74</v>
      </c>
      <c r="M883" t="s">
        <v>74</v>
      </c>
      <c r="N883" t="s">
        <v>74</v>
      </c>
      <c r="O883" t="s">
        <v>74</v>
      </c>
      <c r="P883" t="s">
        <v>74</v>
      </c>
      <c r="Q883" t="s">
        <v>74</v>
      </c>
      <c r="R883" t="s">
        <v>74</v>
      </c>
      <c r="S883" t="s">
        <v>74</v>
      </c>
      <c r="T883" t="s">
        <v>74</v>
      </c>
      <c r="U883" t="s">
        <v>74</v>
      </c>
      <c r="V883" t="s">
        <v>7654</v>
      </c>
      <c r="W883" t="s">
        <v>74</v>
      </c>
      <c r="X883" t="s">
        <v>74</v>
      </c>
      <c r="Y883" t="s">
        <v>74</v>
      </c>
      <c r="Z883" t="s">
        <v>74</v>
      </c>
      <c r="AA883" t="s">
        <v>7655</v>
      </c>
      <c r="AB883" t="s">
        <v>74</v>
      </c>
      <c r="AC883" t="s">
        <v>74</v>
      </c>
      <c r="AD883" t="s">
        <v>74</v>
      </c>
      <c r="AE883" t="s">
        <v>74</v>
      </c>
      <c r="AF883" t="s">
        <v>74</v>
      </c>
      <c r="AG883" t="s">
        <v>74</v>
      </c>
      <c r="AH883" t="s">
        <v>74</v>
      </c>
      <c r="AI883" t="s">
        <v>74</v>
      </c>
      <c r="AJ883" t="s">
        <v>74</v>
      </c>
      <c r="AK883" t="s">
        <v>74</v>
      </c>
      <c r="AL883" t="s">
        <v>74</v>
      </c>
      <c r="AM883" t="s">
        <v>74</v>
      </c>
      <c r="AN883" t="s">
        <v>74</v>
      </c>
      <c r="AO883" t="s">
        <v>1258</v>
      </c>
      <c r="AP883" t="s">
        <v>1259</v>
      </c>
      <c r="AQ883" t="s">
        <v>74</v>
      </c>
      <c r="AR883" t="s">
        <v>74</v>
      </c>
      <c r="AS883" t="s">
        <v>74</v>
      </c>
      <c r="AT883" t="s">
        <v>1165</v>
      </c>
      <c r="AU883">
        <v>2014</v>
      </c>
      <c r="AV883">
        <v>115</v>
      </c>
      <c r="AW883" t="s">
        <v>74</v>
      </c>
      <c r="AX883" t="s">
        <v>74</v>
      </c>
      <c r="AY883" t="s">
        <v>74</v>
      </c>
      <c r="AZ883" t="s">
        <v>74</v>
      </c>
      <c r="BA883" t="s">
        <v>74</v>
      </c>
      <c r="BB883">
        <v>607</v>
      </c>
      <c r="BC883">
        <v>611</v>
      </c>
      <c r="BD883" t="s">
        <v>74</v>
      </c>
      <c r="BE883" t="s">
        <v>7656</v>
      </c>
      <c r="BF883" t="str">
        <f>HYPERLINK("http://dx.doi.org/10.1016/j.electacta.2013.11.030","http://dx.doi.org/10.1016/j.electacta.2013.11.030")</f>
        <v>http://dx.doi.org/10.1016/j.electacta.2013.11.030</v>
      </c>
      <c r="BG883" t="s">
        <v>74</v>
      </c>
      <c r="BH883" t="s">
        <v>74</v>
      </c>
      <c r="BI883" t="s">
        <v>74</v>
      </c>
      <c r="BJ883" t="s">
        <v>74</v>
      </c>
      <c r="BK883" t="s">
        <v>74</v>
      </c>
      <c r="BL883" t="s">
        <v>74</v>
      </c>
      <c r="BM883" t="s">
        <v>74</v>
      </c>
      <c r="BN883" t="s">
        <v>74</v>
      </c>
      <c r="BO883" t="s">
        <v>74</v>
      </c>
      <c r="BP883" t="s">
        <v>74</v>
      </c>
      <c r="BQ883" t="s">
        <v>74</v>
      </c>
      <c r="BR883" t="s">
        <v>74</v>
      </c>
      <c r="BS883" t="s">
        <v>7657</v>
      </c>
      <c r="BT883" t="str">
        <f>HYPERLINK("https%3A%2F%2Fwww.webofscience.com%2Fwos%2Fwoscc%2Ffull-record%2FWOS:000331424300082","View Full Record in Web of Science")</f>
        <v>View Full Record in Web of Science</v>
      </c>
    </row>
    <row r="884" spans="1:72" x14ac:dyDescent="0.2">
      <c r="A884" t="s">
        <v>72</v>
      </c>
      <c r="B884" t="s">
        <v>7658</v>
      </c>
      <c r="C884" t="s">
        <v>74</v>
      </c>
      <c r="D884" t="s">
        <v>74</v>
      </c>
      <c r="E884" t="s">
        <v>74</v>
      </c>
      <c r="F884" t="s">
        <v>7659</v>
      </c>
      <c r="G884" t="s">
        <v>74</v>
      </c>
      <c r="H884" t="s">
        <v>74</v>
      </c>
      <c r="I884" t="s">
        <v>7660</v>
      </c>
      <c r="J884" t="s">
        <v>98</v>
      </c>
      <c r="K884" t="s">
        <v>74</v>
      </c>
      <c r="L884" t="s">
        <v>74</v>
      </c>
      <c r="M884" t="s">
        <v>74</v>
      </c>
      <c r="N884" t="s">
        <v>74</v>
      </c>
      <c r="O884" t="s">
        <v>74</v>
      </c>
      <c r="P884" t="s">
        <v>74</v>
      </c>
      <c r="Q884" t="s">
        <v>74</v>
      </c>
      <c r="R884" t="s">
        <v>74</v>
      </c>
      <c r="S884" t="s">
        <v>74</v>
      </c>
      <c r="T884" t="s">
        <v>74</v>
      </c>
      <c r="U884" t="s">
        <v>74</v>
      </c>
      <c r="V884" t="s">
        <v>7661</v>
      </c>
      <c r="W884" t="s">
        <v>74</v>
      </c>
      <c r="X884" t="s">
        <v>74</v>
      </c>
      <c r="Y884" t="s">
        <v>74</v>
      </c>
      <c r="Z884" t="s">
        <v>74</v>
      </c>
      <c r="AA884" t="s">
        <v>7655</v>
      </c>
      <c r="AB884" t="s">
        <v>74</v>
      </c>
      <c r="AC884" t="s">
        <v>74</v>
      </c>
      <c r="AD884" t="s">
        <v>74</v>
      </c>
      <c r="AE884" t="s">
        <v>74</v>
      </c>
      <c r="AF884" t="s">
        <v>74</v>
      </c>
      <c r="AG884" t="s">
        <v>74</v>
      </c>
      <c r="AH884" t="s">
        <v>74</v>
      </c>
      <c r="AI884" t="s">
        <v>74</v>
      </c>
      <c r="AJ884" t="s">
        <v>74</v>
      </c>
      <c r="AK884" t="s">
        <v>74</v>
      </c>
      <c r="AL884" t="s">
        <v>74</v>
      </c>
      <c r="AM884" t="s">
        <v>74</v>
      </c>
      <c r="AN884" t="s">
        <v>74</v>
      </c>
      <c r="AO884" t="s">
        <v>101</v>
      </c>
      <c r="AP884" t="s">
        <v>74</v>
      </c>
      <c r="AQ884" t="s">
        <v>74</v>
      </c>
      <c r="AR884" t="s">
        <v>74</v>
      </c>
      <c r="AS884" t="s">
        <v>74</v>
      </c>
      <c r="AT884" t="s">
        <v>1165</v>
      </c>
      <c r="AU884">
        <v>2014</v>
      </c>
      <c r="AV884">
        <v>245</v>
      </c>
      <c r="AW884" t="s">
        <v>74</v>
      </c>
      <c r="AX884" t="s">
        <v>74</v>
      </c>
      <c r="AY884" t="s">
        <v>74</v>
      </c>
      <c r="AZ884" t="s">
        <v>74</v>
      </c>
      <c r="BA884" t="s">
        <v>74</v>
      </c>
      <c r="BB884">
        <v>537</v>
      </c>
      <c r="BC884">
        <v>542</v>
      </c>
      <c r="BD884" t="s">
        <v>74</v>
      </c>
      <c r="BE884" t="s">
        <v>7662</v>
      </c>
      <c r="BF884" t="str">
        <f>HYPERLINK("http://dx.doi.org/10.1016/j.jpowsour.2013.06.140","http://dx.doi.org/10.1016/j.jpowsour.2013.06.140")</f>
        <v>http://dx.doi.org/10.1016/j.jpowsour.2013.06.140</v>
      </c>
      <c r="BG884" t="s">
        <v>74</v>
      </c>
      <c r="BH884" t="s">
        <v>74</v>
      </c>
      <c r="BI884" t="s">
        <v>74</v>
      </c>
      <c r="BJ884" t="s">
        <v>74</v>
      </c>
      <c r="BK884" t="s">
        <v>74</v>
      </c>
      <c r="BL884" t="s">
        <v>74</v>
      </c>
      <c r="BM884" t="s">
        <v>74</v>
      </c>
      <c r="BN884" t="s">
        <v>74</v>
      </c>
      <c r="BO884" t="s">
        <v>74</v>
      </c>
      <c r="BP884" t="s">
        <v>74</v>
      </c>
      <c r="BQ884" t="s">
        <v>74</v>
      </c>
      <c r="BR884" t="s">
        <v>74</v>
      </c>
      <c r="BS884" t="s">
        <v>7663</v>
      </c>
      <c r="BT884" t="str">
        <f>HYPERLINK("https%3A%2F%2Fwww.webofscience.com%2Fwos%2Fwoscc%2Ffull-record%2FWOS:000325234500068","View Full Record in Web of Science")</f>
        <v>View Full Record in Web of Science</v>
      </c>
    </row>
    <row r="885" spans="1:72" x14ac:dyDescent="0.2">
      <c r="A885" t="s">
        <v>72</v>
      </c>
      <c r="B885" t="s">
        <v>7664</v>
      </c>
      <c r="C885" t="s">
        <v>74</v>
      </c>
      <c r="D885" t="s">
        <v>74</v>
      </c>
      <c r="E885" t="s">
        <v>74</v>
      </c>
      <c r="F885" t="s">
        <v>7665</v>
      </c>
      <c r="G885" t="s">
        <v>74</v>
      </c>
      <c r="H885" t="s">
        <v>74</v>
      </c>
      <c r="I885" t="s">
        <v>7666</v>
      </c>
      <c r="J885" t="s">
        <v>5296</v>
      </c>
      <c r="K885" t="s">
        <v>74</v>
      </c>
      <c r="L885" t="s">
        <v>74</v>
      </c>
      <c r="M885" t="s">
        <v>74</v>
      </c>
      <c r="N885" t="s">
        <v>74</v>
      </c>
      <c r="O885" t="s">
        <v>74</v>
      </c>
      <c r="P885" t="s">
        <v>74</v>
      </c>
      <c r="Q885" t="s">
        <v>74</v>
      </c>
      <c r="R885" t="s">
        <v>74</v>
      </c>
      <c r="S885" t="s">
        <v>74</v>
      </c>
      <c r="T885" t="s">
        <v>74</v>
      </c>
      <c r="U885" t="s">
        <v>74</v>
      </c>
      <c r="V885" t="s">
        <v>7667</v>
      </c>
      <c r="W885" t="s">
        <v>74</v>
      </c>
      <c r="X885" t="s">
        <v>74</v>
      </c>
      <c r="Y885" t="s">
        <v>74</v>
      </c>
      <c r="Z885" t="s">
        <v>74</v>
      </c>
      <c r="AA885" t="s">
        <v>3265</v>
      </c>
      <c r="AB885" t="s">
        <v>7668</v>
      </c>
      <c r="AC885" t="s">
        <v>74</v>
      </c>
      <c r="AD885" t="s">
        <v>74</v>
      </c>
      <c r="AE885" t="s">
        <v>74</v>
      </c>
      <c r="AF885" t="s">
        <v>74</v>
      </c>
      <c r="AG885" t="s">
        <v>74</v>
      </c>
      <c r="AH885" t="s">
        <v>74</v>
      </c>
      <c r="AI885" t="s">
        <v>74</v>
      </c>
      <c r="AJ885" t="s">
        <v>74</v>
      </c>
      <c r="AK885" t="s">
        <v>74</v>
      </c>
      <c r="AL885" t="s">
        <v>74</v>
      </c>
      <c r="AM885" t="s">
        <v>74</v>
      </c>
      <c r="AN885" t="s">
        <v>74</v>
      </c>
      <c r="AO885" t="s">
        <v>5300</v>
      </c>
      <c r="AP885" t="s">
        <v>5301</v>
      </c>
      <c r="AQ885" t="s">
        <v>74</v>
      </c>
      <c r="AR885" t="s">
        <v>74</v>
      </c>
      <c r="AS885" t="s">
        <v>74</v>
      </c>
      <c r="AT885" t="s">
        <v>1194</v>
      </c>
      <c r="AU885">
        <v>2014</v>
      </c>
      <c r="AV885">
        <v>9</v>
      </c>
      <c r="AW885">
        <v>1</v>
      </c>
      <c r="AX885" t="s">
        <v>74</v>
      </c>
      <c r="AY885" t="s">
        <v>74</v>
      </c>
      <c r="AZ885" t="s">
        <v>74</v>
      </c>
      <c r="BA885" t="s">
        <v>74</v>
      </c>
      <c r="BB885">
        <v>100</v>
      </c>
      <c r="BC885">
        <v>103</v>
      </c>
      <c r="BD885" t="s">
        <v>74</v>
      </c>
      <c r="BE885" t="s">
        <v>7669</v>
      </c>
      <c r="BF885" t="str">
        <f>HYPERLINK("http://dx.doi.org/10.1002/asia.201301037","http://dx.doi.org/10.1002/asia.201301037")</f>
        <v>http://dx.doi.org/10.1002/asia.201301037</v>
      </c>
      <c r="BG885" t="s">
        <v>74</v>
      </c>
      <c r="BH885" t="s">
        <v>74</v>
      </c>
      <c r="BI885" t="s">
        <v>74</v>
      </c>
      <c r="BJ885" t="s">
        <v>74</v>
      </c>
      <c r="BK885" t="s">
        <v>74</v>
      </c>
      <c r="BL885" t="s">
        <v>74</v>
      </c>
      <c r="BM885" t="s">
        <v>74</v>
      </c>
      <c r="BN885">
        <v>24151029</v>
      </c>
      <c r="BO885" t="s">
        <v>74</v>
      </c>
      <c r="BP885" t="s">
        <v>74</v>
      </c>
      <c r="BQ885" t="s">
        <v>74</v>
      </c>
      <c r="BR885" t="s">
        <v>74</v>
      </c>
      <c r="BS885" t="s">
        <v>7670</v>
      </c>
      <c r="BT885" t="str">
        <f>HYPERLINK("https%3A%2F%2Fwww.webofscience.com%2Fwos%2Fwoscc%2Ffull-record%2FWOS:000328501400014","View Full Record in Web of Science")</f>
        <v>View Full Record in Web of Science</v>
      </c>
    </row>
    <row r="886" spans="1:72" x14ac:dyDescent="0.2">
      <c r="A886" t="s">
        <v>72</v>
      </c>
      <c r="B886" t="s">
        <v>7671</v>
      </c>
      <c r="C886" t="s">
        <v>74</v>
      </c>
      <c r="D886" t="s">
        <v>74</v>
      </c>
      <c r="E886" t="s">
        <v>74</v>
      </c>
      <c r="F886" t="s">
        <v>7672</v>
      </c>
      <c r="G886" t="s">
        <v>74</v>
      </c>
      <c r="H886" t="s">
        <v>74</v>
      </c>
      <c r="I886" t="s">
        <v>7673</v>
      </c>
      <c r="J886" t="s">
        <v>5460</v>
      </c>
      <c r="K886" t="s">
        <v>74</v>
      </c>
      <c r="L886" t="s">
        <v>74</v>
      </c>
      <c r="M886" t="s">
        <v>74</v>
      </c>
      <c r="N886" t="s">
        <v>74</v>
      </c>
      <c r="O886" t="s">
        <v>74</v>
      </c>
      <c r="P886" t="s">
        <v>74</v>
      </c>
      <c r="Q886" t="s">
        <v>74</v>
      </c>
      <c r="R886" t="s">
        <v>74</v>
      </c>
      <c r="S886" t="s">
        <v>74</v>
      </c>
      <c r="T886" t="s">
        <v>74</v>
      </c>
      <c r="U886" t="s">
        <v>74</v>
      </c>
      <c r="V886" t="s">
        <v>7674</v>
      </c>
      <c r="W886" t="s">
        <v>74</v>
      </c>
      <c r="X886" t="s">
        <v>74</v>
      </c>
      <c r="Y886" t="s">
        <v>74</v>
      </c>
      <c r="Z886" t="s">
        <v>74</v>
      </c>
      <c r="AA886" t="s">
        <v>7675</v>
      </c>
      <c r="AB886" t="s">
        <v>7676</v>
      </c>
      <c r="AC886" t="s">
        <v>74</v>
      </c>
      <c r="AD886" t="s">
        <v>74</v>
      </c>
      <c r="AE886" t="s">
        <v>74</v>
      </c>
      <c r="AF886" t="s">
        <v>74</v>
      </c>
      <c r="AG886" t="s">
        <v>74</v>
      </c>
      <c r="AH886" t="s">
        <v>74</v>
      </c>
      <c r="AI886" t="s">
        <v>74</v>
      </c>
      <c r="AJ886" t="s">
        <v>74</v>
      </c>
      <c r="AK886" t="s">
        <v>74</v>
      </c>
      <c r="AL886" t="s">
        <v>74</v>
      </c>
      <c r="AM886" t="s">
        <v>74</v>
      </c>
      <c r="AN886" t="s">
        <v>74</v>
      </c>
      <c r="AO886" t="s">
        <v>74</v>
      </c>
      <c r="AP886" t="s">
        <v>5464</v>
      </c>
      <c r="AQ886" t="s">
        <v>74</v>
      </c>
      <c r="AR886" t="s">
        <v>74</v>
      </c>
      <c r="AS886" t="s">
        <v>74</v>
      </c>
      <c r="AT886" t="s">
        <v>74</v>
      </c>
      <c r="AU886">
        <v>2014</v>
      </c>
      <c r="AV886">
        <v>4</v>
      </c>
      <c r="AW886">
        <v>25</v>
      </c>
      <c r="AX886" t="s">
        <v>74</v>
      </c>
      <c r="AY886" t="s">
        <v>74</v>
      </c>
      <c r="AZ886" t="s">
        <v>74</v>
      </c>
      <c r="BA886" t="s">
        <v>74</v>
      </c>
      <c r="BB886">
        <v>13119</v>
      </c>
      <c r="BC886">
        <v>13122</v>
      </c>
      <c r="BD886" t="s">
        <v>74</v>
      </c>
      <c r="BE886" t="s">
        <v>7677</v>
      </c>
      <c r="BF886" t="str">
        <f>HYPERLINK("http://dx.doi.org/10.1039/c4ra00809j","http://dx.doi.org/10.1039/c4ra00809j")</f>
        <v>http://dx.doi.org/10.1039/c4ra00809j</v>
      </c>
      <c r="BG886" t="s">
        <v>74</v>
      </c>
      <c r="BH886" t="s">
        <v>74</v>
      </c>
      <c r="BI886" t="s">
        <v>74</v>
      </c>
      <c r="BJ886" t="s">
        <v>74</v>
      </c>
      <c r="BK886" t="s">
        <v>74</v>
      </c>
      <c r="BL886" t="s">
        <v>74</v>
      </c>
      <c r="BM886" t="s">
        <v>74</v>
      </c>
      <c r="BN886" t="s">
        <v>74</v>
      </c>
      <c r="BO886" t="s">
        <v>74</v>
      </c>
      <c r="BP886" t="s">
        <v>74</v>
      </c>
      <c r="BQ886" t="s">
        <v>74</v>
      </c>
      <c r="BR886" t="s">
        <v>74</v>
      </c>
      <c r="BS886" t="s">
        <v>7678</v>
      </c>
      <c r="BT886" t="str">
        <f>HYPERLINK("https%3A%2F%2Fwww.webofscience.com%2Fwos%2Fwoscc%2Ffull-record%2FWOS:000332485000059","View Full Record in Web of Science")</f>
        <v>View Full Record in Web of Science</v>
      </c>
    </row>
    <row r="887" spans="1:72" x14ac:dyDescent="0.2">
      <c r="A887" t="s">
        <v>72</v>
      </c>
      <c r="B887" t="s">
        <v>7679</v>
      </c>
      <c r="C887" t="s">
        <v>74</v>
      </c>
      <c r="D887" t="s">
        <v>74</v>
      </c>
      <c r="E887" t="s">
        <v>74</v>
      </c>
      <c r="F887" t="s">
        <v>7680</v>
      </c>
      <c r="G887" t="s">
        <v>74</v>
      </c>
      <c r="H887" t="s">
        <v>74</v>
      </c>
      <c r="I887" t="s">
        <v>7681</v>
      </c>
      <c r="J887" t="s">
        <v>278</v>
      </c>
      <c r="K887" t="s">
        <v>74</v>
      </c>
      <c r="L887" t="s">
        <v>74</v>
      </c>
      <c r="M887" t="s">
        <v>74</v>
      </c>
      <c r="N887" t="s">
        <v>74</v>
      </c>
      <c r="O887" t="s">
        <v>74</v>
      </c>
      <c r="P887" t="s">
        <v>74</v>
      </c>
      <c r="Q887" t="s">
        <v>74</v>
      </c>
      <c r="R887" t="s">
        <v>74</v>
      </c>
      <c r="S887" t="s">
        <v>74</v>
      </c>
      <c r="T887" t="s">
        <v>74</v>
      </c>
      <c r="U887" t="s">
        <v>74</v>
      </c>
      <c r="V887" t="s">
        <v>7682</v>
      </c>
      <c r="W887" t="s">
        <v>74</v>
      </c>
      <c r="X887" t="s">
        <v>74</v>
      </c>
      <c r="Y887" t="s">
        <v>74</v>
      </c>
      <c r="Z887" t="s">
        <v>74</v>
      </c>
      <c r="AA887" t="s">
        <v>7683</v>
      </c>
      <c r="AB887" t="s">
        <v>7684</v>
      </c>
      <c r="AC887" t="s">
        <v>74</v>
      </c>
      <c r="AD887" t="s">
        <v>74</v>
      </c>
      <c r="AE887" t="s">
        <v>74</v>
      </c>
      <c r="AF887" t="s">
        <v>74</v>
      </c>
      <c r="AG887" t="s">
        <v>74</v>
      </c>
      <c r="AH887" t="s">
        <v>74</v>
      </c>
      <c r="AI887" t="s">
        <v>74</v>
      </c>
      <c r="AJ887" t="s">
        <v>74</v>
      </c>
      <c r="AK887" t="s">
        <v>74</v>
      </c>
      <c r="AL887" t="s">
        <v>74</v>
      </c>
      <c r="AM887" t="s">
        <v>74</v>
      </c>
      <c r="AN887" t="s">
        <v>74</v>
      </c>
      <c r="AO887" t="s">
        <v>281</v>
      </c>
      <c r="AP887" t="s">
        <v>282</v>
      </c>
      <c r="AQ887" t="s">
        <v>74</v>
      </c>
      <c r="AR887" t="s">
        <v>74</v>
      </c>
      <c r="AS887" t="s">
        <v>74</v>
      </c>
      <c r="AT887" t="s">
        <v>74</v>
      </c>
      <c r="AU887">
        <v>2014</v>
      </c>
      <c r="AV887">
        <v>2</v>
      </c>
      <c r="AW887">
        <v>23</v>
      </c>
      <c r="AX887" t="s">
        <v>74</v>
      </c>
      <c r="AY887" t="s">
        <v>74</v>
      </c>
      <c r="AZ887" t="s">
        <v>74</v>
      </c>
      <c r="BA887" t="s">
        <v>74</v>
      </c>
      <c r="BB887">
        <v>8910</v>
      </c>
      <c r="BC887">
        <v>8917</v>
      </c>
      <c r="BD887" t="s">
        <v>74</v>
      </c>
      <c r="BE887" t="s">
        <v>7685</v>
      </c>
      <c r="BF887" t="str">
        <f>HYPERLINK("http://dx.doi.org/10.1039/c4ta00103f","http://dx.doi.org/10.1039/c4ta00103f")</f>
        <v>http://dx.doi.org/10.1039/c4ta00103f</v>
      </c>
      <c r="BG887" t="s">
        <v>74</v>
      </c>
      <c r="BH887" t="s">
        <v>74</v>
      </c>
      <c r="BI887" t="s">
        <v>74</v>
      </c>
      <c r="BJ887" t="s">
        <v>74</v>
      </c>
      <c r="BK887" t="s">
        <v>74</v>
      </c>
      <c r="BL887" t="s">
        <v>74</v>
      </c>
      <c r="BM887" t="s">
        <v>74</v>
      </c>
      <c r="BN887" t="s">
        <v>74</v>
      </c>
      <c r="BO887" t="s">
        <v>74</v>
      </c>
      <c r="BP887" t="s">
        <v>74</v>
      </c>
      <c r="BQ887" t="s">
        <v>74</v>
      </c>
      <c r="BR887" t="s">
        <v>74</v>
      </c>
      <c r="BS887" t="s">
        <v>7686</v>
      </c>
      <c r="BT887" t="str">
        <f>HYPERLINK("https%3A%2F%2Fwww.webofscience.com%2Fwos%2Fwoscc%2Ffull-record%2FWOS:000336848600045","View Full Record in Web of Science")</f>
        <v>View Full Record in Web of Science</v>
      </c>
    </row>
    <row r="888" spans="1:72" x14ac:dyDescent="0.2">
      <c r="A888" t="s">
        <v>72</v>
      </c>
      <c r="B888" t="s">
        <v>7687</v>
      </c>
      <c r="C888" t="s">
        <v>74</v>
      </c>
      <c r="D888" t="s">
        <v>74</v>
      </c>
      <c r="E888" t="s">
        <v>74</v>
      </c>
      <c r="F888" t="s">
        <v>7688</v>
      </c>
      <c r="G888" t="s">
        <v>74</v>
      </c>
      <c r="H888" t="s">
        <v>74</v>
      </c>
      <c r="I888" t="s">
        <v>7689</v>
      </c>
      <c r="J888" t="s">
        <v>5460</v>
      </c>
      <c r="K888" t="s">
        <v>74</v>
      </c>
      <c r="L888" t="s">
        <v>74</v>
      </c>
      <c r="M888" t="s">
        <v>74</v>
      </c>
      <c r="N888" t="s">
        <v>74</v>
      </c>
      <c r="O888" t="s">
        <v>74</v>
      </c>
      <c r="P888" t="s">
        <v>74</v>
      </c>
      <c r="Q888" t="s">
        <v>74</v>
      </c>
      <c r="R888" t="s">
        <v>74</v>
      </c>
      <c r="S888" t="s">
        <v>74</v>
      </c>
      <c r="T888" t="s">
        <v>74</v>
      </c>
      <c r="U888" t="s">
        <v>74</v>
      </c>
      <c r="V888" t="s">
        <v>7690</v>
      </c>
      <c r="W888" t="s">
        <v>74</v>
      </c>
      <c r="X888" t="s">
        <v>74</v>
      </c>
      <c r="Y888" t="s">
        <v>74</v>
      </c>
      <c r="Z888" t="s">
        <v>74</v>
      </c>
      <c r="AA888" t="s">
        <v>7691</v>
      </c>
      <c r="AB888" t="s">
        <v>7692</v>
      </c>
      <c r="AC888" t="s">
        <v>74</v>
      </c>
      <c r="AD888" t="s">
        <v>74</v>
      </c>
      <c r="AE888" t="s">
        <v>74</v>
      </c>
      <c r="AF888" t="s">
        <v>74</v>
      </c>
      <c r="AG888" t="s">
        <v>74</v>
      </c>
      <c r="AH888" t="s">
        <v>74</v>
      </c>
      <c r="AI888" t="s">
        <v>74</v>
      </c>
      <c r="AJ888" t="s">
        <v>74</v>
      </c>
      <c r="AK888" t="s">
        <v>74</v>
      </c>
      <c r="AL888" t="s">
        <v>74</v>
      </c>
      <c r="AM888" t="s">
        <v>74</v>
      </c>
      <c r="AN888" t="s">
        <v>74</v>
      </c>
      <c r="AO888" t="s">
        <v>74</v>
      </c>
      <c r="AP888" t="s">
        <v>5464</v>
      </c>
      <c r="AQ888" t="s">
        <v>74</v>
      </c>
      <c r="AR888" t="s">
        <v>74</v>
      </c>
      <c r="AS888" t="s">
        <v>74</v>
      </c>
      <c r="AT888" t="s">
        <v>74</v>
      </c>
      <c r="AU888">
        <v>2014</v>
      </c>
      <c r="AV888">
        <v>4</v>
      </c>
      <c r="AW888">
        <v>40</v>
      </c>
      <c r="AX888" t="s">
        <v>74</v>
      </c>
      <c r="AY888" t="s">
        <v>74</v>
      </c>
      <c r="AZ888" t="s">
        <v>74</v>
      </c>
      <c r="BA888" t="s">
        <v>74</v>
      </c>
      <c r="BB888">
        <v>21163</v>
      </c>
      <c r="BC888">
        <v>21170</v>
      </c>
      <c r="BD888" t="s">
        <v>74</v>
      </c>
      <c r="BE888" t="s">
        <v>7693</v>
      </c>
      <c r="BF888" t="str">
        <f>HYPERLINK("http://dx.doi.org/10.1039/c4ra02729a","http://dx.doi.org/10.1039/c4ra02729a")</f>
        <v>http://dx.doi.org/10.1039/c4ra02729a</v>
      </c>
      <c r="BG888" t="s">
        <v>74</v>
      </c>
      <c r="BH888" t="s">
        <v>74</v>
      </c>
      <c r="BI888" t="s">
        <v>74</v>
      </c>
      <c r="BJ888" t="s">
        <v>74</v>
      </c>
      <c r="BK888" t="s">
        <v>74</v>
      </c>
      <c r="BL888" t="s">
        <v>74</v>
      </c>
      <c r="BM888" t="s">
        <v>74</v>
      </c>
      <c r="BN888" t="s">
        <v>74</v>
      </c>
      <c r="BO888" t="s">
        <v>74</v>
      </c>
      <c r="BP888" t="s">
        <v>74</v>
      </c>
      <c r="BQ888" t="s">
        <v>74</v>
      </c>
      <c r="BR888" t="s">
        <v>74</v>
      </c>
      <c r="BS888" t="s">
        <v>7694</v>
      </c>
      <c r="BT888" t="str">
        <f>HYPERLINK("https%3A%2F%2Fwww.webofscience.com%2Fwos%2Fwoscc%2Ffull-record%2FWOS:000336833400069","View Full Record in Web of Science")</f>
        <v>View Full Record in Web of Science</v>
      </c>
    </row>
    <row r="889" spans="1:72" x14ac:dyDescent="0.2">
      <c r="A889" t="s">
        <v>72</v>
      </c>
      <c r="B889" t="s">
        <v>7695</v>
      </c>
      <c r="C889" t="s">
        <v>74</v>
      </c>
      <c r="D889" t="s">
        <v>74</v>
      </c>
      <c r="E889" t="s">
        <v>74</v>
      </c>
      <c r="F889" t="s">
        <v>7696</v>
      </c>
      <c r="G889" t="s">
        <v>74</v>
      </c>
      <c r="H889" t="s">
        <v>74</v>
      </c>
      <c r="I889" t="s">
        <v>7697</v>
      </c>
      <c r="J889" t="s">
        <v>352</v>
      </c>
      <c r="K889" t="s">
        <v>74</v>
      </c>
      <c r="L889" t="s">
        <v>74</v>
      </c>
      <c r="M889" t="s">
        <v>74</v>
      </c>
      <c r="N889" t="s">
        <v>74</v>
      </c>
      <c r="O889" t="s">
        <v>74</v>
      </c>
      <c r="P889" t="s">
        <v>74</v>
      </c>
      <c r="Q889" t="s">
        <v>74</v>
      </c>
      <c r="R889" t="s">
        <v>74</v>
      </c>
      <c r="S889" t="s">
        <v>74</v>
      </c>
      <c r="T889" t="s">
        <v>74</v>
      </c>
      <c r="U889" t="s">
        <v>74</v>
      </c>
      <c r="V889" t="s">
        <v>7698</v>
      </c>
      <c r="W889" t="s">
        <v>74</v>
      </c>
      <c r="X889" t="s">
        <v>74</v>
      </c>
      <c r="Y889" t="s">
        <v>74</v>
      </c>
      <c r="Z889" t="s">
        <v>74</v>
      </c>
      <c r="AA889" t="s">
        <v>7699</v>
      </c>
      <c r="AB889" t="s">
        <v>7700</v>
      </c>
      <c r="AC889" t="s">
        <v>74</v>
      </c>
      <c r="AD889" t="s">
        <v>74</v>
      </c>
      <c r="AE889" t="s">
        <v>74</v>
      </c>
      <c r="AF889" t="s">
        <v>74</v>
      </c>
      <c r="AG889" t="s">
        <v>74</v>
      </c>
      <c r="AH889" t="s">
        <v>74</v>
      </c>
      <c r="AI889" t="s">
        <v>74</v>
      </c>
      <c r="AJ889" t="s">
        <v>74</v>
      </c>
      <c r="AK889" t="s">
        <v>74</v>
      </c>
      <c r="AL889" t="s">
        <v>74</v>
      </c>
      <c r="AM889" t="s">
        <v>74</v>
      </c>
      <c r="AN889" t="s">
        <v>74</v>
      </c>
      <c r="AO889" t="s">
        <v>354</v>
      </c>
      <c r="AP889" t="s">
        <v>355</v>
      </c>
      <c r="AQ889" t="s">
        <v>74</v>
      </c>
      <c r="AR889" t="s">
        <v>74</v>
      </c>
      <c r="AS889" t="s">
        <v>74</v>
      </c>
      <c r="AT889" t="s">
        <v>1194</v>
      </c>
      <c r="AU889">
        <v>2014</v>
      </c>
      <c r="AV889">
        <v>4</v>
      </c>
      <c r="AW889">
        <v>1</v>
      </c>
      <c r="AX889" t="s">
        <v>74</v>
      </c>
      <c r="AY889" t="s">
        <v>74</v>
      </c>
      <c r="AZ889" t="s">
        <v>74</v>
      </c>
      <c r="BA889" t="s">
        <v>74</v>
      </c>
      <c r="BB889" t="s">
        <v>74</v>
      </c>
      <c r="BC889" t="s">
        <v>74</v>
      </c>
      <c r="BD889">
        <v>1300647</v>
      </c>
      <c r="BE889" t="s">
        <v>7701</v>
      </c>
      <c r="BF889" t="str">
        <f>HYPERLINK("http://dx.doi.org/10.1002/aenm.201300647","http://dx.doi.org/10.1002/aenm.201300647")</f>
        <v>http://dx.doi.org/10.1002/aenm.201300647</v>
      </c>
      <c r="BG889" t="s">
        <v>74</v>
      </c>
      <c r="BH889" t="s">
        <v>74</v>
      </c>
      <c r="BI889" t="s">
        <v>74</v>
      </c>
      <c r="BJ889" t="s">
        <v>74</v>
      </c>
      <c r="BK889" t="s">
        <v>74</v>
      </c>
      <c r="BL889" t="s">
        <v>74</v>
      </c>
      <c r="BM889" t="s">
        <v>74</v>
      </c>
      <c r="BN889" t="s">
        <v>74</v>
      </c>
      <c r="BO889" t="s">
        <v>74</v>
      </c>
      <c r="BP889" t="s">
        <v>74</v>
      </c>
      <c r="BQ889" t="s">
        <v>74</v>
      </c>
      <c r="BR889" t="s">
        <v>74</v>
      </c>
      <c r="BS889" t="s">
        <v>7702</v>
      </c>
      <c r="BT889" t="str">
        <f>HYPERLINK("https%3A%2F%2Fwww.webofscience.com%2Fwos%2Fwoscc%2Ffull-record%2FWOS:000330594600012","View Full Record in Web of Science")</f>
        <v>View Full Record in Web of Science</v>
      </c>
    </row>
    <row r="890" spans="1:72" x14ac:dyDescent="0.2">
      <c r="A890" t="s">
        <v>72</v>
      </c>
      <c r="B890" t="s">
        <v>7703</v>
      </c>
      <c r="C890" t="s">
        <v>74</v>
      </c>
      <c r="D890" t="s">
        <v>74</v>
      </c>
      <c r="E890" t="s">
        <v>74</v>
      </c>
      <c r="F890" t="s">
        <v>7704</v>
      </c>
      <c r="G890" t="s">
        <v>74</v>
      </c>
      <c r="H890" t="s">
        <v>74</v>
      </c>
      <c r="I890" t="s">
        <v>7705</v>
      </c>
      <c r="J890" t="s">
        <v>1256</v>
      </c>
      <c r="K890" t="s">
        <v>74</v>
      </c>
      <c r="L890" t="s">
        <v>74</v>
      </c>
      <c r="M890" t="s">
        <v>74</v>
      </c>
      <c r="N890" t="s">
        <v>74</v>
      </c>
      <c r="O890" t="s">
        <v>74</v>
      </c>
      <c r="P890" t="s">
        <v>74</v>
      </c>
      <c r="Q890" t="s">
        <v>74</v>
      </c>
      <c r="R890" t="s">
        <v>74</v>
      </c>
      <c r="S890" t="s">
        <v>74</v>
      </c>
      <c r="T890" t="s">
        <v>74</v>
      </c>
      <c r="U890" t="s">
        <v>74</v>
      </c>
      <c r="V890" t="s">
        <v>7706</v>
      </c>
      <c r="W890" t="s">
        <v>74</v>
      </c>
      <c r="X890" t="s">
        <v>74</v>
      </c>
      <c r="Y890" t="s">
        <v>74</v>
      </c>
      <c r="Z890" t="s">
        <v>74</v>
      </c>
      <c r="AA890" t="s">
        <v>74</v>
      </c>
      <c r="AB890" t="s">
        <v>74</v>
      </c>
      <c r="AC890" t="s">
        <v>74</v>
      </c>
      <c r="AD890" t="s">
        <v>74</v>
      </c>
      <c r="AE890" t="s">
        <v>74</v>
      </c>
      <c r="AF890" t="s">
        <v>74</v>
      </c>
      <c r="AG890" t="s">
        <v>74</v>
      </c>
      <c r="AH890" t="s">
        <v>74</v>
      </c>
      <c r="AI890" t="s">
        <v>74</v>
      </c>
      <c r="AJ890" t="s">
        <v>74</v>
      </c>
      <c r="AK890" t="s">
        <v>74</v>
      </c>
      <c r="AL890" t="s">
        <v>74</v>
      </c>
      <c r="AM890" t="s">
        <v>74</v>
      </c>
      <c r="AN890" t="s">
        <v>74</v>
      </c>
      <c r="AO890" t="s">
        <v>1258</v>
      </c>
      <c r="AP890" t="s">
        <v>1259</v>
      </c>
      <c r="AQ890" t="s">
        <v>74</v>
      </c>
      <c r="AR890" t="s">
        <v>74</v>
      </c>
      <c r="AS890" t="s">
        <v>74</v>
      </c>
      <c r="AT890" t="s">
        <v>3442</v>
      </c>
      <c r="AU890">
        <v>2013</v>
      </c>
      <c r="AV890">
        <v>111</v>
      </c>
      <c r="AW890" t="s">
        <v>74</v>
      </c>
      <c r="AX890" t="s">
        <v>74</v>
      </c>
      <c r="AY890" t="s">
        <v>74</v>
      </c>
      <c r="AZ890" t="s">
        <v>74</v>
      </c>
      <c r="BA890" t="s">
        <v>74</v>
      </c>
      <c r="BB890">
        <v>144</v>
      </c>
      <c r="BC890">
        <v>151</v>
      </c>
      <c r="BD890" t="s">
        <v>74</v>
      </c>
      <c r="BE890" t="s">
        <v>7707</v>
      </c>
      <c r="BF890" t="str">
        <f>HYPERLINK("http://dx.doi.org/10.1016/j.electacta.2013.08.053","http://dx.doi.org/10.1016/j.electacta.2013.08.053")</f>
        <v>http://dx.doi.org/10.1016/j.electacta.2013.08.053</v>
      </c>
      <c r="BG890" t="s">
        <v>74</v>
      </c>
      <c r="BH890" t="s">
        <v>74</v>
      </c>
      <c r="BI890" t="s">
        <v>74</v>
      </c>
      <c r="BJ890" t="s">
        <v>74</v>
      </c>
      <c r="BK890" t="s">
        <v>74</v>
      </c>
      <c r="BL890" t="s">
        <v>74</v>
      </c>
      <c r="BM890" t="s">
        <v>74</v>
      </c>
      <c r="BN890" t="s">
        <v>74</v>
      </c>
      <c r="BO890" t="s">
        <v>74</v>
      </c>
      <c r="BP890" t="s">
        <v>74</v>
      </c>
      <c r="BQ890" t="s">
        <v>74</v>
      </c>
      <c r="BR890" t="s">
        <v>74</v>
      </c>
      <c r="BS890" t="s">
        <v>7708</v>
      </c>
      <c r="BT890" t="str">
        <f>HYPERLINK("https%3A%2F%2Fwww.webofscience.com%2Fwos%2Fwoscc%2Ffull-record%2FWOS:000329531100020","View Full Record in Web of Science")</f>
        <v>View Full Record in Web of Science</v>
      </c>
    </row>
    <row r="891" spans="1:72" x14ac:dyDescent="0.2">
      <c r="A891" t="s">
        <v>72</v>
      </c>
      <c r="B891" t="s">
        <v>7709</v>
      </c>
      <c r="C891" t="s">
        <v>74</v>
      </c>
      <c r="D891" t="s">
        <v>74</v>
      </c>
      <c r="E891" t="s">
        <v>74</v>
      </c>
      <c r="F891" t="s">
        <v>7710</v>
      </c>
      <c r="G891" t="s">
        <v>74</v>
      </c>
      <c r="H891" t="s">
        <v>74</v>
      </c>
      <c r="I891" t="s">
        <v>7711</v>
      </c>
      <c r="J891" t="s">
        <v>665</v>
      </c>
      <c r="K891" t="s">
        <v>74</v>
      </c>
      <c r="L891" t="s">
        <v>74</v>
      </c>
      <c r="M891" t="s">
        <v>74</v>
      </c>
      <c r="N891" t="s">
        <v>74</v>
      </c>
      <c r="O891" t="s">
        <v>74</v>
      </c>
      <c r="P891" t="s">
        <v>74</v>
      </c>
      <c r="Q891" t="s">
        <v>74</v>
      </c>
      <c r="R891" t="s">
        <v>74</v>
      </c>
      <c r="S891" t="s">
        <v>74</v>
      </c>
      <c r="T891" t="s">
        <v>74</v>
      </c>
      <c r="U891" t="s">
        <v>74</v>
      </c>
      <c r="V891" t="s">
        <v>7712</v>
      </c>
      <c r="W891" t="s">
        <v>74</v>
      </c>
      <c r="X891" t="s">
        <v>74</v>
      </c>
      <c r="Y891" t="s">
        <v>74</v>
      </c>
      <c r="Z891" t="s">
        <v>74</v>
      </c>
      <c r="AA891" t="s">
        <v>7713</v>
      </c>
      <c r="AB891" t="s">
        <v>7714</v>
      </c>
      <c r="AC891" t="s">
        <v>74</v>
      </c>
      <c r="AD891" t="s">
        <v>74</v>
      </c>
      <c r="AE891" t="s">
        <v>74</v>
      </c>
      <c r="AF891" t="s">
        <v>74</v>
      </c>
      <c r="AG891" t="s">
        <v>74</v>
      </c>
      <c r="AH891" t="s">
        <v>74</v>
      </c>
      <c r="AI891" t="s">
        <v>74</v>
      </c>
      <c r="AJ891" t="s">
        <v>74</v>
      </c>
      <c r="AK891" t="s">
        <v>74</v>
      </c>
      <c r="AL891" t="s">
        <v>74</v>
      </c>
      <c r="AM891" t="s">
        <v>74</v>
      </c>
      <c r="AN891" t="s">
        <v>74</v>
      </c>
      <c r="AO891" t="s">
        <v>668</v>
      </c>
      <c r="AP891" t="s">
        <v>669</v>
      </c>
      <c r="AQ891" t="s">
        <v>74</v>
      </c>
      <c r="AR891" t="s">
        <v>74</v>
      </c>
      <c r="AS891" t="s">
        <v>74</v>
      </c>
      <c r="AT891" t="s">
        <v>3505</v>
      </c>
      <c r="AU891">
        <v>2013</v>
      </c>
      <c r="AV891">
        <v>249</v>
      </c>
      <c r="AW891" t="s">
        <v>74</v>
      </c>
      <c r="AX891" t="s">
        <v>74</v>
      </c>
      <c r="AY891" t="s">
        <v>74</v>
      </c>
      <c r="AZ891" t="s">
        <v>74</v>
      </c>
      <c r="BA891" t="s">
        <v>74</v>
      </c>
      <c r="BB891">
        <v>41</v>
      </c>
      <c r="BC891">
        <v>48</v>
      </c>
      <c r="BD891" t="s">
        <v>74</v>
      </c>
      <c r="BE891" t="s">
        <v>7715</v>
      </c>
      <c r="BF891" t="str">
        <f>HYPERLINK("http://dx.doi.org/10.1016/j.ssi.2013.07.013","http://dx.doi.org/10.1016/j.ssi.2013.07.013")</f>
        <v>http://dx.doi.org/10.1016/j.ssi.2013.07.013</v>
      </c>
      <c r="BG891" t="s">
        <v>74</v>
      </c>
      <c r="BH891" t="s">
        <v>74</v>
      </c>
      <c r="BI891" t="s">
        <v>74</v>
      </c>
      <c r="BJ891" t="s">
        <v>74</v>
      </c>
      <c r="BK891" t="s">
        <v>74</v>
      </c>
      <c r="BL891" t="s">
        <v>74</v>
      </c>
      <c r="BM891" t="s">
        <v>74</v>
      </c>
      <c r="BN891" t="s">
        <v>74</v>
      </c>
      <c r="BO891" t="s">
        <v>74</v>
      </c>
      <c r="BP891" t="s">
        <v>74</v>
      </c>
      <c r="BQ891" t="s">
        <v>74</v>
      </c>
      <c r="BR891" t="s">
        <v>74</v>
      </c>
      <c r="BS891" t="s">
        <v>7716</v>
      </c>
      <c r="BT891" t="str">
        <f>HYPERLINK("https%3A%2F%2Fwww.webofscience.com%2Fwos%2Fwoscc%2Ffull-record%2FWOS:000326006900006","View Full Record in Web of Science")</f>
        <v>View Full Record in Web of Science</v>
      </c>
    </row>
    <row r="892" spans="1:72" x14ac:dyDescent="0.2">
      <c r="A892" t="s">
        <v>72</v>
      </c>
      <c r="B892" t="s">
        <v>7717</v>
      </c>
      <c r="C892" t="s">
        <v>74</v>
      </c>
      <c r="D892" t="s">
        <v>74</v>
      </c>
      <c r="E892" t="s">
        <v>74</v>
      </c>
      <c r="F892" t="s">
        <v>7718</v>
      </c>
      <c r="G892" t="s">
        <v>74</v>
      </c>
      <c r="H892" t="s">
        <v>74</v>
      </c>
      <c r="I892" t="s">
        <v>7719</v>
      </c>
      <c r="J892" t="s">
        <v>665</v>
      </c>
      <c r="K892" t="s">
        <v>74</v>
      </c>
      <c r="L892" t="s">
        <v>74</v>
      </c>
      <c r="M892" t="s">
        <v>74</v>
      </c>
      <c r="N892" t="s">
        <v>74</v>
      </c>
      <c r="O892" t="s">
        <v>74</v>
      </c>
      <c r="P892" t="s">
        <v>74</v>
      </c>
      <c r="Q892" t="s">
        <v>74</v>
      </c>
      <c r="R892" t="s">
        <v>74</v>
      </c>
      <c r="S892" t="s">
        <v>74</v>
      </c>
      <c r="T892" t="s">
        <v>74</v>
      </c>
      <c r="U892" t="s">
        <v>74</v>
      </c>
      <c r="V892" t="s">
        <v>7720</v>
      </c>
      <c r="W892" t="s">
        <v>74</v>
      </c>
      <c r="X892" t="s">
        <v>74</v>
      </c>
      <c r="Y892" t="s">
        <v>74</v>
      </c>
      <c r="Z892" t="s">
        <v>74</v>
      </c>
      <c r="AA892" t="s">
        <v>7721</v>
      </c>
      <c r="AB892" t="s">
        <v>7722</v>
      </c>
      <c r="AC892" t="s">
        <v>74</v>
      </c>
      <c r="AD892" t="s">
        <v>74</v>
      </c>
      <c r="AE892" t="s">
        <v>74</v>
      </c>
      <c r="AF892" t="s">
        <v>74</v>
      </c>
      <c r="AG892" t="s">
        <v>74</v>
      </c>
      <c r="AH892" t="s">
        <v>74</v>
      </c>
      <c r="AI892" t="s">
        <v>74</v>
      </c>
      <c r="AJ892" t="s">
        <v>74</v>
      </c>
      <c r="AK892" t="s">
        <v>74</v>
      </c>
      <c r="AL892" t="s">
        <v>74</v>
      </c>
      <c r="AM892" t="s">
        <v>74</v>
      </c>
      <c r="AN892" t="s">
        <v>74</v>
      </c>
      <c r="AO892" t="s">
        <v>668</v>
      </c>
      <c r="AP892" t="s">
        <v>669</v>
      </c>
      <c r="AQ892" t="s">
        <v>74</v>
      </c>
      <c r="AR892" t="s">
        <v>74</v>
      </c>
      <c r="AS892" t="s">
        <v>74</v>
      </c>
      <c r="AT892" t="s">
        <v>3505</v>
      </c>
      <c r="AU892">
        <v>2013</v>
      </c>
      <c r="AV892">
        <v>249</v>
      </c>
      <c r="AW892" t="s">
        <v>74</v>
      </c>
      <c r="AX892" t="s">
        <v>74</v>
      </c>
      <c r="AY892" t="s">
        <v>74</v>
      </c>
      <c r="AZ892" t="s">
        <v>74</v>
      </c>
      <c r="BA892" t="s">
        <v>74</v>
      </c>
      <c r="BB892">
        <v>49</v>
      </c>
      <c r="BC892">
        <v>55</v>
      </c>
      <c r="BD892" t="s">
        <v>74</v>
      </c>
      <c r="BE892" t="s">
        <v>7723</v>
      </c>
      <c r="BF892" t="str">
        <f>HYPERLINK("http://dx.doi.org/10.1016/j.ssi.2013.07.009","http://dx.doi.org/10.1016/j.ssi.2013.07.009")</f>
        <v>http://dx.doi.org/10.1016/j.ssi.2013.07.009</v>
      </c>
      <c r="BG892" t="s">
        <v>74</v>
      </c>
      <c r="BH892" t="s">
        <v>74</v>
      </c>
      <c r="BI892" t="s">
        <v>74</v>
      </c>
      <c r="BJ892" t="s">
        <v>74</v>
      </c>
      <c r="BK892" t="s">
        <v>74</v>
      </c>
      <c r="BL892" t="s">
        <v>74</v>
      </c>
      <c r="BM892" t="s">
        <v>74</v>
      </c>
      <c r="BN892" t="s">
        <v>74</v>
      </c>
      <c r="BO892" t="s">
        <v>74</v>
      </c>
      <c r="BP892" t="s">
        <v>74</v>
      </c>
      <c r="BQ892" t="s">
        <v>74</v>
      </c>
      <c r="BR892" t="s">
        <v>74</v>
      </c>
      <c r="BS892" t="s">
        <v>7724</v>
      </c>
      <c r="BT892" t="str">
        <f>HYPERLINK("https%3A%2F%2Fwww.webofscience.com%2Fwos%2Fwoscc%2Ffull-record%2FWOS:000326006900007","View Full Record in Web of Science")</f>
        <v>View Full Record in Web of Science</v>
      </c>
    </row>
    <row r="893" spans="1:72" x14ac:dyDescent="0.2">
      <c r="A893" t="s">
        <v>72</v>
      </c>
      <c r="B893" t="s">
        <v>7725</v>
      </c>
      <c r="C893" t="s">
        <v>74</v>
      </c>
      <c r="D893" t="s">
        <v>74</v>
      </c>
      <c r="E893" t="s">
        <v>74</v>
      </c>
      <c r="F893" t="s">
        <v>7726</v>
      </c>
      <c r="G893" t="s">
        <v>74</v>
      </c>
      <c r="H893" t="s">
        <v>74</v>
      </c>
      <c r="I893" t="s">
        <v>7727</v>
      </c>
      <c r="J893" t="s">
        <v>7728</v>
      </c>
      <c r="K893" t="s">
        <v>74</v>
      </c>
      <c r="L893" t="s">
        <v>74</v>
      </c>
      <c r="M893" t="s">
        <v>74</v>
      </c>
      <c r="N893" t="s">
        <v>74</v>
      </c>
      <c r="O893" t="s">
        <v>74</v>
      </c>
      <c r="P893" t="s">
        <v>74</v>
      </c>
      <c r="Q893" t="s">
        <v>74</v>
      </c>
      <c r="R893" t="s">
        <v>74</v>
      </c>
      <c r="S893" t="s">
        <v>74</v>
      </c>
      <c r="T893" t="s">
        <v>74</v>
      </c>
      <c r="U893" t="s">
        <v>74</v>
      </c>
      <c r="V893" t="s">
        <v>7729</v>
      </c>
      <c r="W893" t="s">
        <v>74</v>
      </c>
      <c r="X893" t="s">
        <v>74</v>
      </c>
      <c r="Y893" t="s">
        <v>74</v>
      </c>
      <c r="Z893" t="s">
        <v>74</v>
      </c>
      <c r="AA893" t="s">
        <v>74</v>
      </c>
      <c r="AB893" t="s">
        <v>74</v>
      </c>
      <c r="AC893" t="s">
        <v>74</v>
      </c>
      <c r="AD893" t="s">
        <v>74</v>
      </c>
      <c r="AE893" t="s">
        <v>74</v>
      </c>
      <c r="AF893" t="s">
        <v>74</v>
      </c>
      <c r="AG893" t="s">
        <v>74</v>
      </c>
      <c r="AH893" t="s">
        <v>74</v>
      </c>
      <c r="AI893" t="s">
        <v>74</v>
      </c>
      <c r="AJ893" t="s">
        <v>74</v>
      </c>
      <c r="AK893" t="s">
        <v>74</v>
      </c>
      <c r="AL893" t="s">
        <v>74</v>
      </c>
      <c r="AM893" t="s">
        <v>74</v>
      </c>
      <c r="AN893" t="s">
        <v>74</v>
      </c>
      <c r="AO893" t="s">
        <v>7730</v>
      </c>
      <c r="AP893" t="s">
        <v>7731</v>
      </c>
      <c r="AQ893" t="s">
        <v>74</v>
      </c>
      <c r="AR893" t="s">
        <v>74</v>
      </c>
      <c r="AS893" t="s">
        <v>74</v>
      </c>
      <c r="AT893" t="s">
        <v>92</v>
      </c>
      <c r="AU893">
        <v>2013</v>
      </c>
      <c r="AV893">
        <v>77</v>
      </c>
      <c r="AW893">
        <v>11</v>
      </c>
      <c r="AX893" t="s">
        <v>74</v>
      </c>
      <c r="AY893" t="s">
        <v>74</v>
      </c>
      <c r="AZ893" t="s">
        <v>74</v>
      </c>
      <c r="BA893" t="s">
        <v>74</v>
      </c>
      <c r="BB893">
        <v>509</v>
      </c>
      <c r="BC893">
        <v>513</v>
      </c>
      <c r="BD893" t="s">
        <v>74</v>
      </c>
      <c r="BE893" t="s">
        <v>7732</v>
      </c>
      <c r="BF893" t="str">
        <f>HYPERLINK("http://dx.doi.org/10.2320/jinstmet.J2013048","http://dx.doi.org/10.2320/jinstmet.J2013048")</f>
        <v>http://dx.doi.org/10.2320/jinstmet.J2013048</v>
      </c>
      <c r="BG893" t="s">
        <v>74</v>
      </c>
      <c r="BH893" t="s">
        <v>74</v>
      </c>
      <c r="BI893" t="s">
        <v>74</v>
      </c>
      <c r="BJ893" t="s">
        <v>74</v>
      </c>
      <c r="BK893" t="s">
        <v>74</v>
      </c>
      <c r="BL893" t="s">
        <v>74</v>
      </c>
      <c r="BM893" t="s">
        <v>74</v>
      </c>
      <c r="BN893" t="s">
        <v>74</v>
      </c>
      <c r="BO893" t="s">
        <v>74</v>
      </c>
      <c r="BP893" t="s">
        <v>74</v>
      </c>
      <c r="BQ893" t="s">
        <v>74</v>
      </c>
      <c r="BR893" t="s">
        <v>74</v>
      </c>
      <c r="BS893" t="s">
        <v>7733</v>
      </c>
      <c r="BT893" t="str">
        <f>HYPERLINK("https%3A%2F%2Fwww.webofscience.com%2Fwos%2Fwoscc%2Ffull-record%2FWOS:000329275500005","View Full Record in Web of Science")</f>
        <v>View Full Record in Web of Science</v>
      </c>
    </row>
    <row r="894" spans="1:72" x14ac:dyDescent="0.2">
      <c r="A894" t="s">
        <v>72</v>
      </c>
      <c r="B894" t="s">
        <v>7734</v>
      </c>
      <c r="C894" t="s">
        <v>74</v>
      </c>
      <c r="D894" t="s">
        <v>74</v>
      </c>
      <c r="E894" t="s">
        <v>74</v>
      </c>
      <c r="F894" t="s">
        <v>7735</v>
      </c>
      <c r="G894" t="s">
        <v>74</v>
      </c>
      <c r="H894" t="s">
        <v>74</v>
      </c>
      <c r="I894" t="s">
        <v>7736</v>
      </c>
      <c r="J894" t="s">
        <v>7737</v>
      </c>
      <c r="K894" t="s">
        <v>74</v>
      </c>
      <c r="L894" t="s">
        <v>74</v>
      </c>
      <c r="M894" t="s">
        <v>74</v>
      </c>
      <c r="N894" t="s">
        <v>74</v>
      </c>
      <c r="O894" t="s">
        <v>74</v>
      </c>
      <c r="P894" t="s">
        <v>74</v>
      </c>
      <c r="Q894" t="s">
        <v>74</v>
      </c>
      <c r="R894" t="s">
        <v>74</v>
      </c>
      <c r="S894" t="s">
        <v>74</v>
      </c>
      <c r="T894" t="s">
        <v>74</v>
      </c>
      <c r="U894" t="s">
        <v>74</v>
      </c>
      <c r="V894" t="s">
        <v>7738</v>
      </c>
      <c r="W894" t="s">
        <v>74</v>
      </c>
      <c r="X894" t="s">
        <v>74</v>
      </c>
      <c r="Y894" t="s">
        <v>74</v>
      </c>
      <c r="Z894" t="s">
        <v>74</v>
      </c>
      <c r="AA894" t="s">
        <v>7739</v>
      </c>
      <c r="AB894" t="s">
        <v>7740</v>
      </c>
      <c r="AC894" t="s">
        <v>74</v>
      </c>
      <c r="AD894" t="s">
        <v>74</v>
      </c>
      <c r="AE894" t="s">
        <v>74</v>
      </c>
      <c r="AF894" t="s">
        <v>74</v>
      </c>
      <c r="AG894" t="s">
        <v>74</v>
      </c>
      <c r="AH894" t="s">
        <v>74</v>
      </c>
      <c r="AI894" t="s">
        <v>74</v>
      </c>
      <c r="AJ894" t="s">
        <v>74</v>
      </c>
      <c r="AK894" t="s">
        <v>74</v>
      </c>
      <c r="AL894" t="s">
        <v>74</v>
      </c>
      <c r="AM894" t="s">
        <v>74</v>
      </c>
      <c r="AN894" t="s">
        <v>74</v>
      </c>
      <c r="AO894" t="s">
        <v>7741</v>
      </c>
      <c r="AP894" t="s">
        <v>74</v>
      </c>
      <c r="AQ894" t="s">
        <v>74</v>
      </c>
      <c r="AR894" t="s">
        <v>74</v>
      </c>
      <c r="AS894" t="s">
        <v>74</v>
      </c>
      <c r="AT894" t="s">
        <v>113</v>
      </c>
      <c r="AU894">
        <v>2013</v>
      </c>
      <c r="AV894">
        <v>13</v>
      </c>
      <c r="AW894">
        <v>8</v>
      </c>
      <c r="AX894" t="s">
        <v>74</v>
      </c>
      <c r="AY894" t="s">
        <v>74</v>
      </c>
      <c r="AZ894" t="s">
        <v>74</v>
      </c>
      <c r="BA894" t="s">
        <v>74</v>
      </c>
      <c r="BB894">
        <v>1668</v>
      </c>
      <c r="BC894">
        <v>1673</v>
      </c>
      <c r="BD894" t="s">
        <v>74</v>
      </c>
      <c r="BE894" t="s">
        <v>7742</v>
      </c>
      <c r="BF894" t="str">
        <f>HYPERLINK("http://dx.doi.org/10.1016/j.cap.2013.06.009","http://dx.doi.org/10.1016/j.cap.2013.06.009")</f>
        <v>http://dx.doi.org/10.1016/j.cap.2013.06.009</v>
      </c>
      <c r="BG894" t="s">
        <v>74</v>
      </c>
      <c r="BH894" t="s">
        <v>74</v>
      </c>
      <c r="BI894" t="s">
        <v>74</v>
      </c>
      <c r="BJ894" t="s">
        <v>74</v>
      </c>
      <c r="BK894" t="s">
        <v>74</v>
      </c>
      <c r="BL894" t="s">
        <v>74</v>
      </c>
      <c r="BM894" t="s">
        <v>74</v>
      </c>
      <c r="BN894" t="s">
        <v>74</v>
      </c>
      <c r="BO894" t="s">
        <v>74</v>
      </c>
      <c r="BP894" t="s">
        <v>74</v>
      </c>
      <c r="BQ894" t="s">
        <v>74</v>
      </c>
      <c r="BR894" t="s">
        <v>74</v>
      </c>
      <c r="BS894" t="s">
        <v>7743</v>
      </c>
      <c r="BT894" t="str">
        <f>HYPERLINK("https%3A%2F%2Fwww.webofscience.com%2Fwos%2Fwoscc%2Ffull-record%2FWOS:000324099300020","View Full Record in Web of Science")</f>
        <v>View Full Record in Web of Science</v>
      </c>
    </row>
    <row r="895" spans="1:72" x14ac:dyDescent="0.2">
      <c r="A895" t="s">
        <v>72</v>
      </c>
      <c r="B895" t="s">
        <v>7744</v>
      </c>
      <c r="C895" t="s">
        <v>74</v>
      </c>
      <c r="D895" t="s">
        <v>74</v>
      </c>
      <c r="E895" t="s">
        <v>74</v>
      </c>
      <c r="F895" t="s">
        <v>7745</v>
      </c>
      <c r="G895" t="s">
        <v>74</v>
      </c>
      <c r="H895" t="s">
        <v>74</v>
      </c>
      <c r="I895" t="s">
        <v>7746</v>
      </c>
      <c r="J895" t="s">
        <v>98</v>
      </c>
      <c r="K895" t="s">
        <v>74</v>
      </c>
      <c r="L895" t="s">
        <v>74</v>
      </c>
      <c r="M895" t="s">
        <v>74</v>
      </c>
      <c r="N895" t="s">
        <v>74</v>
      </c>
      <c r="O895" t="s">
        <v>74</v>
      </c>
      <c r="P895" t="s">
        <v>74</v>
      </c>
      <c r="Q895" t="s">
        <v>74</v>
      </c>
      <c r="R895" t="s">
        <v>74</v>
      </c>
      <c r="S895" t="s">
        <v>74</v>
      </c>
      <c r="T895" t="s">
        <v>74</v>
      </c>
      <c r="U895" t="s">
        <v>74</v>
      </c>
      <c r="V895" t="s">
        <v>7747</v>
      </c>
      <c r="W895" t="s">
        <v>74</v>
      </c>
      <c r="X895" t="s">
        <v>74</v>
      </c>
      <c r="Y895" t="s">
        <v>74</v>
      </c>
      <c r="Z895" t="s">
        <v>74</v>
      </c>
      <c r="AA895" t="s">
        <v>7748</v>
      </c>
      <c r="AB895" t="s">
        <v>7749</v>
      </c>
      <c r="AC895" t="s">
        <v>74</v>
      </c>
      <c r="AD895" t="s">
        <v>74</v>
      </c>
      <c r="AE895" t="s">
        <v>74</v>
      </c>
      <c r="AF895" t="s">
        <v>74</v>
      </c>
      <c r="AG895" t="s">
        <v>74</v>
      </c>
      <c r="AH895" t="s">
        <v>74</v>
      </c>
      <c r="AI895" t="s">
        <v>74</v>
      </c>
      <c r="AJ895" t="s">
        <v>74</v>
      </c>
      <c r="AK895" t="s">
        <v>74</v>
      </c>
      <c r="AL895" t="s">
        <v>74</v>
      </c>
      <c r="AM895" t="s">
        <v>74</v>
      </c>
      <c r="AN895" t="s">
        <v>74</v>
      </c>
      <c r="AO895" t="s">
        <v>101</v>
      </c>
      <c r="AP895" t="s">
        <v>102</v>
      </c>
      <c r="AQ895" t="s">
        <v>74</v>
      </c>
      <c r="AR895" t="s">
        <v>74</v>
      </c>
      <c r="AS895" t="s">
        <v>74</v>
      </c>
      <c r="AT895" t="s">
        <v>134</v>
      </c>
      <c r="AU895">
        <v>2013</v>
      </c>
      <c r="AV895">
        <v>239</v>
      </c>
      <c r="AW895" t="s">
        <v>74</v>
      </c>
      <c r="AX895" t="s">
        <v>74</v>
      </c>
      <c r="AY895" t="s">
        <v>74</v>
      </c>
      <c r="AZ895" t="s">
        <v>74</v>
      </c>
      <c r="BA895" t="s">
        <v>74</v>
      </c>
      <c r="BB895">
        <v>659</v>
      </c>
      <c r="BC895">
        <v>669</v>
      </c>
      <c r="BD895" t="s">
        <v>74</v>
      </c>
      <c r="BE895" t="s">
        <v>7750</v>
      </c>
      <c r="BF895" t="str">
        <f>HYPERLINK("http://dx.doi.org/10.1016/j.jpowsour.2012.12.105","http://dx.doi.org/10.1016/j.jpowsour.2012.12.105")</f>
        <v>http://dx.doi.org/10.1016/j.jpowsour.2012.12.105</v>
      </c>
      <c r="BG895" t="s">
        <v>74</v>
      </c>
      <c r="BH895" t="s">
        <v>74</v>
      </c>
      <c r="BI895" t="s">
        <v>74</v>
      </c>
      <c r="BJ895" t="s">
        <v>74</v>
      </c>
      <c r="BK895" t="s">
        <v>74</v>
      </c>
      <c r="BL895" t="s">
        <v>74</v>
      </c>
      <c r="BM895" t="s">
        <v>74</v>
      </c>
      <c r="BN895" t="s">
        <v>74</v>
      </c>
      <c r="BO895" t="s">
        <v>74</v>
      </c>
      <c r="BP895" t="s">
        <v>74</v>
      </c>
      <c r="BQ895" t="s">
        <v>74</v>
      </c>
      <c r="BR895" t="s">
        <v>74</v>
      </c>
      <c r="BS895" t="s">
        <v>7751</v>
      </c>
      <c r="BT895" t="str">
        <f>HYPERLINK("https%3A%2F%2Fwww.webofscience.com%2Fwos%2Fwoscc%2Ffull-record%2FWOS:000321314100084","View Full Record in Web of Science")</f>
        <v>View Full Record in Web of Science</v>
      </c>
    </row>
    <row r="896" spans="1:72" x14ac:dyDescent="0.2">
      <c r="A896" t="s">
        <v>72</v>
      </c>
      <c r="B896" t="s">
        <v>7752</v>
      </c>
      <c r="C896" t="s">
        <v>74</v>
      </c>
      <c r="D896" t="s">
        <v>74</v>
      </c>
      <c r="E896" t="s">
        <v>74</v>
      </c>
      <c r="F896" t="s">
        <v>7753</v>
      </c>
      <c r="G896" t="s">
        <v>74</v>
      </c>
      <c r="H896" t="s">
        <v>74</v>
      </c>
      <c r="I896" t="s">
        <v>7754</v>
      </c>
      <c r="J896" t="s">
        <v>3822</v>
      </c>
      <c r="K896" t="s">
        <v>74</v>
      </c>
      <c r="L896" t="s">
        <v>74</v>
      </c>
      <c r="M896" t="s">
        <v>74</v>
      </c>
      <c r="N896" t="s">
        <v>74</v>
      </c>
      <c r="O896" t="s">
        <v>74</v>
      </c>
      <c r="P896" t="s">
        <v>74</v>
      </c>
      <c r="Q896" t="s">
        <v>74</v>
      </c>
      <c r="R896" t="s">
        <v>74</v>
      </c>
      <c r="S896" t="s">
        <v>74</v>
      </c>
      <c r="T896" t="s">
        <v>74</v>
      </c>
      <c r="U896" t="s">
        <v>74</v>
      </c>
      <c r="V896" t="s">
        <v>7755</v>
      </c>
      <c r="W896" t="s">
        <v>74</v>
      </c>
      <c r="X896" t="s">
        <v>74</v>
      </c>
      <c r="Y896" t="s">
        <v>74</v>
      </c>
      <c r="Z896" t="s">
        <v>74</v>
      </c>
      <c r="AA896" t="s">
        <v>7756</v>
      </c>
      <c r="AB896" t="s">
        <v>7757</v>
      </c>
      <c r="AC896" t="s">
        <v>74</v>
      </c>
      <c r="AD896" t="s">
        <v>74</v>
      </c>
      <c r="AE896" t="s">
        <v>74</v>
      </c>
      <c r="AF896" t="s">
        <v>74</v>
      </c>
      <c r="AG896" t="s">
        <v>74</v>
      </c>
      <c r="AH896" t="s">
        <v>74</v>
      </c>
      <c r="AI896" t="s">
        <v>74</v>
      </c>
      <c r="AJ896" t="s">
        <v>74</v>
      </c>
      <c r="AK896" t="s">
        <v>74</v>
      </c>
      <c r="AL896" t="s">
        <v>74</v>
      </c>
      <c r="AM896" t="s">
        <v>74</v>
      </c>
      <c r="AN896" t="s">
        <v>74</v>
      </c>
      <c r="AO896" t="s">
        <v>3826</v>
      </c>
      <c r="AP896" t="s">
        <v>3827</v>
      </c>
      <c r="AQ896" t="s">
        <v>74</v>
      </c>
      <c r="AR896" t="s">
        <v>74</v>
      </c>
      <c r="AS896" t="s">
        <v>74</v>
      </c>
      <c r="AT896" t="s">
        <v>113</v>
      </c>
      <c r="AU896">
        <v>2013</v>
      </c>
      <c r="AV896">
        <v>62</v>
      </c>
      <c r="AW896" t="s">
        <v>74</v>
      </c>
      <c r="AX896" t="s">
        <v>74</v>
      </c>
      <c r="AY896" t="s">
        <v>74</v>
      </c>
      <c r="AZ896" t="s">
        <v>74</v>
      </c>
      <c r="BA896" t="s">
        <v>74</v>
      </c>
      <c r="BB896">
        <v>278</v>
      </c>
      <c r="BC896">
        <v>287</v>
      </c>
      <c r="BD896" t="s">
        <v>74</v>
      </c>
      <c r="BE896" t="s">
        <v>7758</v>
      </c>
      <c r="BF896" t="str">
        <f>HYPERLINK("http://dx.doi.org/10.1016/j.carbon.2013.05.065","http://dx.doi.org/10.1016/j.carbon.2013.05.065")</f>
        <v>http://dx.doi.org/10.1016/j.carbon.2013.05.065</v>
      </c>
      <c r="BG896" t="s">
        <v>74</v>
      </c>
      <c r="BH896" t="s">
        <v>74</v>
      </c>
      <c r="BI896" t="s">
        <v>74</v>
      </c>
      <c r="BJ896" t="s">
        <v>74</v>
      </c>
      <c r="BK896" t="s">
        <v>74</v>
      </c>
      <c r="BL896" t="s">
        <v>74</v>
      </c>
      <c r="BM896" t="s">
        <v>74</v>
      </c>
      <c r="BN896" t="s">
        <v>74</v>
      </c>
      <c r="BO896" t="s">
        <v>74</v>
      </c>
      <c r="BP896" t="s">
        <v>74</v>
      </c>
      <c r="BQ896" t="s">
        <v>74</v>
      </c>
      <c r="BR896" t="s">
        <v>74</v>
      </c>
      <c r="BS896" t="s">
        <v>7759</v>
      </c>
      <c r="BT896" t="str">
        <f>HYPERLINK("https%3A%2F%2Fwww.webofscience.com%2Fwos%2Fwoscc%2Ffull-record%2FWOS:000322931300031","View Full Record in Web of Science")</f>
        <v>View Full Record in Web of Science</v>
      </c>
    </row>
    <row r="897" spans="1:72" x14ac:dyDescent="0.2">
      <c r="A897" t="s">
        <v>72</v>
      </c>
      <c r="B897" t="s">
        <v>7760</v>
      </c>
      <c r="C897" t="s">
        <v>74</v>
      </c>
      <c r="D897" t="s">
        <v>74</v>
      </c>
      <c r="E897" t="s">
        <v>74</v>
      </c>
      <c r="F897" t="s">
        <v>7761</v>
      </c>
      <c r="G897" t="s">
        <v>74</v>
      </c>
      <c r="H897" t="s">
        <v>74</v>
      </c>
      <c r="I897" t="s">
        <v>7762</v>
      </c>
      <c r="J897" t="s">
        <v>1256</v>
      </c>
      <c r="K897" t="s">
        <v>74</v>
      </c>
      <c r="L897" t="s">
        <v>74</v>
      </c>
      <c r="M897" t="s">
        <v>74</v>
      </c>
      <c r="N897" t="s">
        <v>74</v>
      </c>
      <c r="O897" t="s">
        <v>74</v>
      </c>
      <c r="P897" t="s">
        <v>74</v>
      </c>
      <c r="Q897" t="s">
        <v>74</v>
      </c>
      <c r="R897" t="s">
        <v>74</v>
      </c>
      <c r="S897" t="s">
        <v>74</v>
      </c>
      <c r="T897" t="s">
        <v>74</v>
      </c>
      <c r="U897" t="s">
        <v>74</v>
      </c>
      <c r="V897" t="s">
        <v>7763</v>
      </c>
      <c r="W897" t="s">
        <v>74</v>
      </c>
      <c r="X897" t="s">
        <v>74</v>
      </c>
      <c r="Y897" t="s">
        <v>74</v>
      </c>
      <c r="Z897" t="s">
        <v>74</v>
      </c>
      <c r="AA897" t="s">
        <v>7764</v>
      </c>
      <c r="AB897" t="s">
        <v>7765</v>
      </c>
      <c r="AC897" t="s">
        <v>74</v>
      </c>
      <c r="AD897" t="s">
        <v>74</v>
      </c>
      <c r="AE897" t="s">
        <v>74</v>
      </c>
      <c r="AF897" t="s">
        <v>74</v>
      </c>
      <c r="AG897" t="s">
        <v>74</v>
      </c>
      <c r="AH897" t="s">
        <v>74</v>
      </c>
      <c r="AI897" t="s">
        <v>74</v>
      </c>
      <c r="AJ897" t="s">
        <v>74</v>
      </c>
      <c r="AK897" t="s">
        <v>74</v>
      </c>
      <c r="AL897" t="s">
        <v>74</v>
      </c>
      <c r="AM897" t="s">
        <v>74</v>
      </c>
      <c r="AN897" t="s">
        <v>74</v>
      </c>
      <c r="AO897" t="s">
        <v>1258</v>
      </c>
      <c r="AP897" t="s">
        <v>1259</v>
      </c>
      <c r="AQ897" t="s">
        <v>74</v>
      </c>
      <c r="AR897" t="s">
        <v>74</v>
      </c>
      <c r="AS897" t="s">
        <v>74</v>
      </c>
      <c r="AT897" t="s">
        <v>144</v>
      </c>
      <c r="AU897">
        <v>2013</v>
      </c>
      <c r="AV897">
        <v>107</v>
      </c>
      <c r="AW897" t="s">
        <v>74</v>
      </c>
      <c r="AX897" t="s">
        <v>74</v>
      </c>
      <c r="AY897" t="s">
        <v>74</v>
      </c>
      <c r="AZ897" t="s">
        <v>74</v>
      </c>
      <c r="BA897" t="s">
        <v>74</v>
      </c>
      <c r="BB897">
        <v>26</v>
      </c>
      <c r="BC897">
        <v>32</v>
      </c>
      <c r="BD897" t="s">
        <v>74</v>
      </c>
      <c r="BE897" t="s">
        <v>7766</v>
      </c>
      <c r="BF897" t="str">
        <f>HYPERLINK("http://dx.doi.org/10.1016/j.electacta.2013.05.130","http://dx.doi.org/10.1016/j.electacta.2013.05.130")</f>
        <v>http://dx.doi.org/10.1016/j.electacta.2013.05.130</v>
      </c>
      <c r="BG897" t="s">
        <v>74</v>
      </c>
      <c r="BH897" t="s">
        <v>74</v>
      </c>
      <c r="BI897" t="s">
        <v>74</v>
      </c>
      <c r="BJ897" t="s">
        <v>74</v>
      </c>
      <c r="BK897" t="s">
        <v>74</v>
      </c>
      <c r="BL897" t="s">
        <v>74</v>
      </c>
      <c r="BM897" t="s">
        <v>74</v>
      </c>
      <c r="BN897" t="s">
        <v>74</v>
      </c>
      <c r="BO897" t="s">
        <v>74</v>
      </c>
      <c r="BP897" t="s">
        <v>74</v>
      </c>
      <c r="BQ897" t="s">
        <v>74</v>
      </c>
      <c r="BR897" t="s">
        <v>74</v>
      </c>
      <c r="BS897" t="s">
        <v>7767</v>
      </c>
      <c r="BT897" t="str">
        <f>HYPERLINK("https%3A%2F%2Fwww.webofscience.com%2Fwos%2Fwoscc%2Ffull-record%2FWOS:000326661200003","View Full Record in Web of Science")</f>
        <v>View Full Record in Web of Science</v>
      </c>
    </row>
    <row r="898" spans="1:72" x14ac:dyDescent="0.2">
      <c r="A898" t="s">
        <v>72</v>
      </c>
      <c r="B898" t="s">
        <v>7768</v>
      </c>
      <c r="C898" t="s">
        <v>74</v>
      </c>
      <c r="D898" t="s">
        <v>74</v>
      </c>
      <c r="E898" t="s">
        <v>74</v>
      </c>
      <c r="F898" t="s">
        <v>7769</v>
      </c>
      <c r="G898" t="s">
        <v>74</v>
      </c>
      <c r="H898" t="s">
        <v>74</v>
      </c>
      <c r="I898" t="s">
        <v>7770</v>
      </c>
      <c r="J898" t="s">
        <v>5921</v>
      </c>
      <c r="K898" t="s">
        <v>74</v>
      </c>
      <c r="L898" t="s">
        <v>74</v>
      </c>
      <c r="M898" t="s">
        <v>74</v>
      </c>
      <c r="N898" t="s">
        <v>74</v>
      </c>
      <c r="O898" t="s">
        <v>7771</v>
      </c>
      <c r="P898" t="s">
        <v>7772</v>
      </c>
      <c r="Q898" t="s">
        <v>7773</v>
      </c>
      <c r="R898" t="s">
        <v>7774</v>
      </c>
      <c r="S898" t="s">
        <v>74</v>
      </c>
      <c r="T898" t="s">
        <v>74</v>
      </c>
      <c r="U898" t="s">
        <v>74</v>
      </c>
      <c r="V898" t="s">
        <v>74</v>
      </c>
      <c r="W898" t="s">
        <v>74</v>
      </c>
      <c r="X898" t="s">
        <v>74</v>
      </c>
      <c r="Y898" t="s">
        <v>74</v>
      </c>
      <c r="Z898" t="s">
        <v>74</v>
      </c>
      <c r="AA898" t="s">
        <v>74</v>
      </c>
      <c r="AB898" t="s">
        <v>74</v>
      </c>
      <c r="AC898" t="s">
        <v>74</v>
      </c>
      <c r="AD898" t="s">
        <v>74</v>
      </c>
      <c r="AE898" t="s">
        <v>74</v>
      </c>
      <c r="AF898" t="s">
        <v>74</v>
      </c>
      <c r="AG898" t="s">
        <v>74</v>
      </c>
      <c r="AH898" t="s">
        <v>74</v>
      </c>
      <c r="AI898" t="s">
        <v>74</v>
      </c>
      <c r="AJ898" t="s">
        <v>74</v>
      </c>
      <c r="AK898" t="s">
        <v>74</v>
      </c>
      <c r="AL898" t="s">
        <v>74</v>
      </c>
      <c r="AM898" t="s">
        <v>74</v>
      </c>
      <c r="AN898" t="s">
        <v>74</v>
      </c>
      <c r="AO898" t="s">
        <v>5926</v>
      </c>
      <c r="AP898" t="s">
        <v>74</v>
      </c>
      <c r="AQ898" t="s">
        <v>74</v>
      </c>
      <c r="AR898" t="s">
        <v>74</v>
      </c>
      <c r="AS898" t="s">
        <v>74</v>
      </c>
      <c r="AT898" t="s">
        <v>7775</v>
      </c>
      <c r="AU898">
        <v>2013</v>
      </c>
      <c r="AV898">
        <v>246</v>
      </c>
      <c r="AW898" t="s">
        <v>74</v>
      </c>
      <c r="AX898" t="s">
        <v>74</v>
      </c>
      <c r="AY898" t="s">
        <v>74</v>
      </c>
      <c r="AZ898" t="s">
        <v>74</v>
      </c>
      <c r="BA898" t="s">
        <v>7776</v>
      </c>
      <c r="BB898" t="s">
        <v>74</v>
      </c>
      <c r="BC898" t="s">
        <v>74</v>
      </c>
      <c r="BD898" t="s">
        <v>74</v>
      </c>
      <c r="BE898" t="s">
        <v>74</v>
      </c>
      <c r="BF898" t="s">
        <v>74</v>
      </c>
      <c r="BG898" t="s">
        <v>74</v>
      </c>
      <c r="BH898" t="s">
        <v>74</v>
      </c>
      <c r="BI898" t="s">
        <v>74</v>
      </c>
      <c r="BJ898" t="s">
        <v>74</v>
      </c>
      <c r="BK898" t="s">
        <v>74</v>
      </c>
      <c r="BL898" t="s">
        <v>74</v>
      </c>
      <c r="BM898" t="s">
        <v>74</v>
      </c>
      <c r="BN898" t="s">
        <v>74</v>
      </c>
      <c r="BO898" t="s">
        <v>74</v>
      </c>
      <c r="BP898" t="s">
        <v>74</v>
      </c>
      <c r="BQ898" t="s">
        <v>74</v>
      </c>
      <c r="BR898" t="s">
        <v>74</v>
      </c>
      <c r="BS898" t="s">
        <v>7777</v>
      </c>
      <c r="BT898" t="str">
        <f>HYPERLINK("https%3A%2F%2Fwww.webofscience.com%2Fwos%2Fwoscc%2Ffull-record%2FWOS:000329618402312","View Full Record in Web of Science")</f>
        <v>View Full Record in Web of Science</v>
      </c>
    </row>
    <row r="899" spans="1:72" x14ac:dyDescent="0.2">
      <c r="A899" t="s">
        <v>72</v>
      </c>
      <c r="B899" t="s">
        <v>7778</v>
      </c>
      <c r="C899" t="s">
        <v>74</v>
      </c>
      <c r="D899" t="s">
        <v>74</v>
      </c>
      <c r="E899" t="s">
        <v>74</v>
      </c>
      <c r="F899" t="s">
        <v>7779</v>
      </c>
      <c r="G899" t="s">
        <v>74</v>
      </c>
      <c r="H899" t="s">
        <v>74</v>
      </c>
      <c r="I899" t="s">
        <v>7780</v>
      </c>
      <c r="J899" t="s">
        <v>98</v>
      </c>
      <c r="K899" t="s">
        <v>74</v>
      </c>
      <c r="L899" t="s">
        <v>74</v>
      </c>
      <c r="M899" t="s">
        <v>74</v>
      </c>
      <c r="N899" t="s">
        <v>74</v>
      </c>
      <c r="O899" t="s">
        <v>74</v>
      </c>
      <c r="P899" t="s">
        <v>74</v>
      </c>
      <c r="Q899" t="s">
        <v>74</v>
      </c>
      <c r="R899" t="s">
        <v>74</v>
      </c>
      <c r="S899" t="s">
        <v>74</v>
      </c>
      <c r="T899" t="s">
        <v>74</v>
      </c>
      <c r="U899" t="s">
        <v>74</v>
      </c>
      <c r="V899" t="s">
        <v>7781</v>
      </c>
      <c r="W899" t="s">
        <v>74</v>
      </c>
      <c r="X899" t="s">
        <v>74</v>
      </c>
      <c r="Y899" t="s">
        <v>74</v>
      </c>
      <c r="Z899" t="s">
        <v>74</v>
      </c>
      <c r="AA899" t="s">
        <v>7782</v>
      </c>
      <c r="AB899" t="s">
        <v>7783</v>
      </c>
      <c r="AC899" t="s">
        <v>74</v>
      </c>
      <c r="AD899" t="s">
        <v>74</v>
      </c>
      <c r="AE899" t="s">
        <v>74</v>
      </c>
      <c r="AF899" t="s">
        <v>74</v>
      </c>
      <c r="AG899" t="s">
        <v>74</v>
      </c>
      <c r="AH899" t="s">
        <v>74</v>
      </c>
      <c r="AI899" t="s">
        <v>74</v>
      </c>
      <c r="AJ899" t="s">
        <v>74</v>
      </c>
      <c r="AK899" t="s">
        <v>74</v>
      </c>
      <c r="AL899" t="s">
        <v>74</v>
      </c>
      <c r="AM899" t="s">
        <v>74</v>
      </c>
      <c r="AN899" t="s">
        <v>74</v>
      </c>
      <c r="AO899" t="s">
        <v>101</v>
      </c>
      <c r="AP899" t="s">
        <v>102</v>
      </c>
      <c r="AQ899" t="s">
        <v>74</v>
      </c>
      <c r="AR899" t="s">
        <v>74</v>
      </c>
      <c r="AS899" t="s">
        <v>74</v>
      </c>
      <c r="AT899" t="s">
        <v>1803</v>
      </c>
      <c r="AU899">
        <v>2013</v>
      </c>
      <c r="AV899">
        <v>235</v>
      </c>
      <c r="AW899" t="s">
        <v>74</v>
      </c>
      <c r="AX899" t="s">
        <v>74</v>
      </c>
      <c r="AY899" t="s">
        <v>74</v>
      </c>
      <c r="AZ899" t="s">
        <v>74</v>
      </c>
      <c r="BA899" t="s">
        <v>74</v>
      </c>
      <c r="BB899">
        <v>274</v>
      </c>
      <c r="BC899">
        <v>279</v>
      </c>
      <c r="BD899" t="s">
        <v>74</v>
      </c>
      <c r="BE899" t="s">
        <v>7784</v>
      </c>
      <c r="BF899" t="str">
        <f>HYPERLINK("http://dx.doi.org/10.1016/j.jpowsour.2013.02.005","http://dx.doi.org/10.1016/j.jpowsour.2013.02.005")</f>
        <v>http://dx.doi.org/10.1016/j.jpowsour.2013.02.005</v>
      </c>
      <c r="BG899" t="s">
        <v>74</v>
      </c>
      <c r="BH899" t="s">
        <v>74</v>
      </c>
      <c r="BI899" t="s">
        <v>74</v>
      </c>
      <c r="BJ899" t="s">
        <v>74</v>
      </c>
      <c r="BK899" t="s">
        <v>74</v>
      </c>
      <c r="BL899" t="s">
        <v>74</v>
      </c>
      <c r="BM899" t="s">
        <v>74</v>
      </c>
      <c r="BN899" t="s">
        <v>74</v>
      </c>
      <c r="BO899" t="s">
        <v>74</v>
      </c>
      <c r="BP899" t="s">
        <v>74</v>
      </c>
      <c r="BQ899" t="s">
        <v>74</v>
      </c>
      <c r="BR899" t="s">
        <v>74</v>
      </c>
      <c r="BS899" t="s">
        <v>7785</v>
      </c>
      <c r="BT899" t="str">
        <f>HYPERLINK("https%3A%2F%2Fwww.webofscience.com%2Fwos%2Fwoscc%2Ffull-record%2FWOS:000318200300037","View Full Record in Web of Science")</f>
        <v>View Full Record in Web of Science</v>
      </c>
    </row>
    <row r="900" spans="1:72" x14ac:dyDescent="0.2">
      <c r="A900" t="s">
        <v>72</v>
      </c>
      <c r="B900" t="s">
        <v>7786</v>
      </c>
      <c r="C900" t="s">
        <v>74</v>
      </c>
      <c r="D900" t="s">
        <v>74</v>
      </c>
      <c r="E900" t="s">
        <v>74</v>
      </c>
      <c r="F900" t="s">
        <v>7787</v>
      </c>
      <c r="G900" t="s">
        <v>74</v>
      </c>
      <c r="H900" t="s">
        <v>74</v>
      </c>
      <c r="I900" t="s">
        <v>7788</v>
      </c>
      <c r="J900" t="s">
        <v>7789</v>
      </c>
      <c r="K900" t="s">
        <v>74</v>
      </c>
      <c r="L900" t="s">
        <v>74</v>
      </c>
      <c r="M900" t="s">
        <v>74</v>
      </c>
      <c r="N900" t="s">
        <v>74</v>
      </c>
      <c r="O900" t="s">
        <v>74</v>
      </c>
      <c r="P900" t="s">
        <v>74</v>
      </c>
      <c r="Q900" t="s">
        <v>74</v>
      </c>
      <c r="R900" t="s">
        <v>74</v>
      </c>
      <c r="S900" t="s">
        <v>74</v>
      </c>
      <c r="T900" t="s">
        <v>74</v>
      </c>
      <c r="U900" t="s">
        <v>74</v>
      </c>
      <c r="V900" t="s">
        <v>7790</v>
      </c>
      <c r="W900" t="s">
        <v>74</v>
      </c>
      <c r="X900" t="s">
        <v>74</v>
      </c>
      <c r="Y900" t="s">
        <v>74</v>
      </c>
      <c r="Z900" t="s">
        <v>74</v>
      </c>
      <c r="AA900" t="s">
        <v>7791</v>
      </c>
      <c r="AB900" t="s">
        <v>7792</v>
      </c>
      <c r="AC900" t="s">
        <v>74</v>
      </c>
      <c r="AD900" t="s">
        <v>74</v>
      </c>
      <c r="AE900" t="s">
        <v>74</v>
      </c>
      <c r="AF900" t="s">
        <v>74</v>
      </c>
      <c r="AG900" t="s">
        <v>74</v>
      </c>
      <c r="AH900" t="s">
        <v>74</v>
      </c>
      <c r="AI900" t="s">
        <v>74</v>
      </c>
      <c r="AJ900" t="s">
        <v>74</v>
      </c>
      <c r="AK900" t="s">
        <v>74</v>
      </c>
      <c r="AL900" t="s">
        <v>74</v>
      </c>
      <c r="AM900" t="s">
        <v>74</v>
      </c>
      <c r="AN900" t="s">
        <v>74</v>
      </c>
      <c r="AO900" t="s">
        <v>7793</v>
      </c>
      <c r="AP900" t="s">
        <v>7794</v>
      </c>
      <c r="AQ900" t="s">
        <v>74</v>
      </c>
      <c r="AR900" t="s">
        <v>74</v>
      </c>
      <c r="AS900" t="s">
        <v>74</v>
      </c>
      <c r="AT900" t="s">
        <v>954</v>
      </c>
      <c r="AU900">
        <v>2013</v>
      </c>
      <c r="AV900">
        <v>96</v>
      </c>
      <c r="AW900">
        <v>3</v>
      </c>
      <c r="AX900" t="s">
        <v>74</v>
      </c>
      <c r="AY900" t="s">
        <v>74</v>
      </c>
      <c r="AZ900" t="s">
        <v>74</v>
      </c>
      <c r="BA900" t="s">
        <v>74</v>
      </c>
      <c r="BB900">
        <v>801</v>
      </c>
      <c r="BC900">
        <v>805</v>
      </c>
      <c r="BD900" t="s">
        <v>74</v>
      </c>
      <c r="BE900" t="s">
        <v>7795</v>
      </c>
      <c r="BF900" t="str">
        <f>HYPERLINK("http://dx.doi.org/10.1111/jace.12094","http://dx.doi.org/10.1111/jace.12094")</f>
        <v>http://dx.doi.org/10.1111/jace.12094</v>
      </c>
      <c r="BG900" t="s">
        <v>74</v>
      </c>
      <c r="BH900" t="s">
        <v>74</v>
      </c>
      <c r="BI900" t="s">
        <v>74</v>
      </c>
      <c r="BJ900" t="s">
        <v>74</v>
      </c>
      <c r="BK900" t="s">
        <v>74</v>
      </c>
      <c r="BL900" t="s">
        <v>74</v>
      </c>
      <c r="BM900" t="s">
        <v>74</v>
      </c>
      <c r="BN900" t="s">
        <v>74</v>
      </c>
      <c r="BO900" t="s">
        <v>74</v>
      </c>
      <c r="BP900" t="s">
        <v>74</v>
      </c>
      <c r="BQ900" t="s">
        <v>74</v>
      </c>
      <c r="BR900" t="s">
        <v>74</v>
      </c>
      <c r="BS900" t="s">
        <v>7796</v>
      </c>
      <c r="BT900" t="str">
        <f>HYPERLINK("https%3A%2F%2Fwww.webofscience.com%2Fwos%2Fwoscc%2Ffull-record%2FWOS:000316572000021","View Full Record in Web of Science")</f>
        <v>View Full Record in Web of Science</v>
      </c>
    </row>
    <row r="901" spans="1:72" x14ac:dyDescent="0.2">
      <c r="A901" t="s">
        <v>72</v>
      </c>
      <c r="B901" t="s">
        <v>7797</v>
      </c>
      <c r="C901" t="s">
        <v>74</v>
      </c>
      <c r="D901" t="s">
        <v>74</v>
      </c>
      <c r="E901" t="s">
        <v>74</v>
      </c>
      <c r="F901" t="s">
        <v>7798</v>
      </c>
      <c r="G901" t="s">
        <v>74</v>
      </c>
      <c r="H901" t="s">
        <v>74</v>
      </c>
      <c r="I901" t="s">
        <v>7799</v>
      </c>
      <c r="J901" t="s">
        <v>1728</v>
      </c>
      <c r="K901" t="s">
        <v>74</v>
      </c>
      <c r="L901" t="s">
        <v>74</v>
      </c>
      <c r="M901" t="s">
        <v>74</v>
      </c>
      <c r="N901" t="s">
        <v>74</v>
      </c>
      <c r="O901" t="s">
        <v>74</v>
      </c>
      <c r="P901" t="s">
        <v>74</v>
      </c>
      <c r="Q901" t="s">
        <v>74</v>
      </c>
      <c r="R901" t="s">
        <v>74</v>
      </c>
      <c r="S901" t="s">
        <v>74</v>
      </c>
      <c r="T901" t="s">
        <v>74</v>
      </c>
      <c r="U901" t="s">
        <v>74</v>
      </c>
      <c r="V901" t="s">
        <v>7800</v>
      </c>
      <c r="W901" t="s">
        <v>74</v>
      </c>
      <c r="X901" t="s">
        <v>74</v>
      </c>
      <c r="Y901" t="s">
        <v>74</v>
      </c>
      <c r="Z901" t="s">
        <v>74</v>
      </c>
      <c r="AA901" t="s">
        <v>7801</v>
      </c>
      <c r="AB901" t="s">
        <v>74</v>
      </c>
      <c r="AC901" t="s">
        <v>74</v>
      </c>
      <c r="AD901" t="s">
        <v>74</v>
      </c>
      <c r="AE901" t="s">
        <v>74</v>
      </c>
      <c r="AF901" t="s">
        <v>74</v>
      </c>
      <c r="AG901" t="s">
        <v>74</v>
      </c>
      <c r="AH901" t="s">
        <v>74</v>
      </c>
      <c r="AI901" t="s">
        <v>74</v>
      </c>
      <c r="AJ901" t="s">
        <v>74</v>
      </c>
      <c r="AK901" t="s">
        <v>74</v>
      </c>
      <c r="AL901" t="s">
        <v>74</v>
      </c>
      <c r="AM901" t="s">
        <v>74</v>
      </c>
      <c r="AN901" t="s">
        <v>74</v>
      </c>
      <c r="AO901" t="s">
        <v>1731</v>
      </c>
      <c r="AP901" t="s">
        <v>74</v>
      </c>
      <c r="AQ901" t="s">
        <v>74</v>
      </c>
      <c r="AR901" t="s">
        <v>74</v>
      </c>
      <c r="AS901" t="s">
        <v>74</v>
      </c>
      <c r="AT901" t="s">
        <v>954</v>
      </c>
      <c r="AU901">
        <v>2013</v>
      </c>
      <c r="AV901">
        <v>6</v>
      </c>
      <c r="AW901">
        <v>3</v>
      </c>
      <c r="AX901" t="s">
        <v>74</v>
      </c>
      <c r="AY901" t="s">
        <v>74</v>
      </c>
      <c r="AZ901" t="s">
        <v>74</v>
      </c>
      <c r="BA901" t="s">
        <v>74</v>
      </c>
      <c r="BB901">
        <v>174</v>
      </c>
      <c r="BC901">
        <v>181</v>
      </c>
      <c r="BD901" t="s">
        <v>74</v>
      </c>
      <c r="BE901" t="s">
        <v>7802</v>
      </c>
      <c r="BF901" t="str">
        <f>HYPERLINK("http://dx.doi.org/10.1007/s12274-013-0293-y","http://dx.doi.org/10.1007/s12274-013-0293-y")</f>
        <v>http://dx.doi.org/10.1007/s12274-013-0293-y</v>
      </c>
      <c r="BG901" t="s">
        <v>74</v>
      </c>
      <c r="BH901" t="s">
        <v>74</v>
      </c>
      <c r="BI901" t="s">
        <v>74</v>
      </c>
      <c r="BJ901" t="s">
        <v>74</v>
      </c>
      <c r="BK901" t="s">
        <v>74</v>
      </c>
      <c r="BL901" t="s">
        <v>74</v>
      </c>
      <c r="BM901" t="s">
        <v>74</v>
      </c>
      <c r="BN901" t="s">
        <v>74</v>
      </c>
      <c r="BO901" t="s">
        <v>74</v>
      </c>
      <c r="BP901" t="s">
        <v>74</v>
      </c>
      <c r="BQ901" t="s">
        <v>74</v>
      </c>
      <c r="BR901" t="s">
        <v>74</v>
      </c>
      <c r="BS901" t="s">
        <v>7803</v>
      </c>
      <c r="BT901" t="str">
        <f>HYPERLINK("https%3A%2F%2Fwww.webofscience.com%2Fwos%2Fwoscc%2Ffull-record%2FWOS:000316087300003","View Full Record in Web of Science")</f>
        <v>View Full Record in Web of Science</v>
      </c>
    </row>
    <row r="902" spans="1:72" x14ac:dyDescent="0.2">
      <c r="A902" t="s">
        <v>72</v>
      </c>
      <c r="B902" t="s">
        <v>7804</v>
      </c>
      <c r="C902" t="s">
        <v>74</v>
      </c>
      <c r="D902" t="s">
        <v>74</v>
      </c>
      <c r="E902" t="s">
        <v>74</v>
      </c>
      <c r="F902" t="s">
        <v>7805</v>
      </c>
      <c r="G902" t="s">
        <v>74</v>
      </c>
      <c r="H902" t="s">
        <v>74</v>
      </c>
      <c r="I902" t="s">
        <v>7806</v>
      </c>
      <c r="J902" t="s">
        <v>1256</v>
      </c>
      <c r="K902" t="s">
        <v>74</v>
      </c>
      <c r="L902" t="s">
        <v>74</v>
      </c>
      <c r="M902" t="s">
        <v>74</v>
      </c>
      <c r="N902" t="s">
        <v>74</v>
      </c>
      <c r="O902" t="s">
        <v>74</v>
      </c>
      <c r="P902" t="s">
        <v>74</v>
      </c>
      <c r="Q902" t="s">
        <v>74</v>
      </c>
      <c r="R902" t="s">
        <v>74</v>
      </c>
      <c r="S902" t="s">
        <v>74</v>
      </c>
      <c r="T902" t="s">
        <v>74</v>
      </c>
      <c r="U902" t="s">
        <v>74</v>
      </c>
      <c r="V902" t="s">
        <v>7807</v>
      </c>
      <c r="W902" t="s">
        <v>74</v>
      </c>
      <c r="X902" t="s">
        <v>74</v>
      </c>
      <c r="Y902" t="s">
        <v>74</v>
      </c>
      <c r="Z902" t="s">
        <v>74</v>
      </c>
      <c r="AA902" t="s">
        <v>7808</v>
      </c>
      <c r="AB902" t="s">
        <v>7809</v>
      </c>
      <c r="AC902" t="s">
        <v>74</v>
      </c>
      <c r="AD902" t="s">
        <v>74</v>
      </c>
      <c r="AE902" t="s">
        <v>74</v>
      </c>
      <c r="AF902" t="s">
        <v>74</v>
      </c>
      <c r="AG902" t="s">
        <v>74</v>
      </c>
      <c r="AH902" t="s">
        <v>74</v>
      </c>
      <c r="AI902" t="s">
        <v>74</v>
      </c>
      <c r="AJ902" t="s">
        <v>74</v>
      </c>
      <c r="AK902" t="s">
        <v>74</v>
      </c>
      <c r="AL902" t="s">
        <v>74</v>
      </c>
      <c r="AM902" t="s">
        <v>74</v>
      </c>
      <c r="AN902" t="s">
        <v>74</v>
      </c>
      <c r="AO902" t="s">
        <v>1258</v>
      </c>
      <c r="AP902" t="s">
        <v>1259</v>
      </c>
      <c r="AQ902" t="s">
        <v>74</v>
      </c>
      <c r="AR902" t="s">
        <v>74</v>
      </c>
      <c r="AS902" t="s">
        <v>74</v>
      </c>
      <c r="AT902" t="s">
        <v>2556</v>
      </c>
      <c r="AU902">
        <v>2013</v>
      </c>
      <c r="AV902">
        <v>92</v>
      </c>
      <c r="AW902" t="s">
        <v>74</v>
      </c>
      <c r="AX902" t="s">
        <v>74</v>
      </c>
      <c r="AY902" t="s">
        <v>74</v>
      </c>
      <c r="AZ902" t="s">
        <v>74</v>
      </c>
      <c r="BA902" t="s">
        <v>74</v>
      </c>
      <c r="BB902">
        <v>132</v>
      </c>
      <c r="BC902">
        <v>138</v>
      </c>
      <c r="BD902" t="s">
        <v>74</v>
      </c>
      <c r="BE902" t="s">
        <v>7810</v>
      </c>
      <c r="BF902" t="str">
        <f>HYPERLINK("http://dx.doi.org/10.1016/j.electacta.2013.01.026","http://dx.doi.org/10.1016/j.electacta.2013.01.026")</f>
        <v>http://dx.doi.org/10.1016/j.electacta.2013.01.026</v>
      </c>
      <c r="BG902" t="s">
        <v>74</v>
      </c>
      <c r="BH902" t="s">
        <v>74</v>
      </c>
      <c r="BI902" t="s">
        <v>74</v>
      </c>
      <c r="BJ902" t="s">
        <v>74</v>
      </c>
      <c r="BK902" t="s">
        <v>74</v>
      </c>
      <c r="BL902" t="s">
        <v>74</v>
      </c>
      <c r="BM902" t="s">
        <v>74</v>
      </c>
      <c r="BN902" t="s">
        <v>74</v>
      </c>
      <c r="BO902" t="s">
        <v>74</v>
      </c>
      <c r="BP902" t="s">
        <v>74</v>
      </c>
      <c r="BQ902" t="s">
        <v>74</v>
      </c>
      <c r="BR902" t="s">
        <v>74</v>
      </c>
      <c r="BS902" t="s">
        <v>7811</v>
      </c>
      <c r="BT902" t="str">
        <f>HYPERLINK("https%3A%2F%2Fwww.webofscience.com%2Fwos%2Fwoscc%2Ffull-record%2FWOS:000316520100017","View Full Record in Web of Science")</f>
        <v>View Full Record in Web of Science</v>
      </c>
    </row>
    <row r="903" spans="1:72" x14ac:dyDescent="0.2">
      <c r="A903" t="s">
        <v>72</v>
      </c>
      <c r="B903" t="s">
        <v>7812</v>
      </c>
      <c r="C903" t="s">
        <v>74</v>
      </c>
      <c r="D903" t="s">
        <v>74</v>
      </c>
      <c r="E903" t="s">
        <v>74</v>
      </c>
      <c r="F903" t="s">
        <v>7813</v>
      </c>
      <c r="G903" t="s">
        <v>74</v>
      </c>
      <c r="H903" t="s">
        <v>74</v>
      </c>
      <c r="I903" t="s">
        <v>7814</v>
      </c>
      <c r="J903" t="s">
        <v>1051</v>
      </c>
      <c r="K903" t="s">
        <v>74</v>
      </c>
      <c r="L903" t="s">
        <v>74</v>
      </c>
      <c r="M903" t="s">
        <v>74</v>
      </c>
      <c r="N903" t="s">
        <v>74</v>
      </c>
      <c r="O903" t="s">
        <v>74</v>
      </c>
      <c r="P903" t="s">
        <v>74</v>
      </c>
      <c r="Q903" t="s">
        <v>74</v>
      </c>
      <c r="R903" t="s">
        <v>74</v>
      </c>
      <c r="S903" t="s">
        <v>74</v>
      </c>
      <c r="T903" t="s">
        <v>74</v>
      </c>
      <c r="U903" t="s">
        <v>74</v>
      </c>
      <c r="V903" t="s">
        <v>7815</v>
      </c>
      <c r="W903" t="s">
        <v>74</v>
      </c>
      <c r="X903" t="s">
        <v>74</v>
      </c>
      <c r="Y903" t="s">
        <v>74</v>
      </c>
      <c r="Z903" t="s">
        <v>74</v>
      </c>
      <c r="AA903" t="s">
        <v>7816</v>
      </c>
      <c r="AB903" t="s">
        <v>7817</v>
      </c>
      <c r="AC903" t="s">
        <v>74</v>
      </c>
      <c r="AD903" t="s">
        <v>74</v>
      </c>
      <c r="AE903" t="s">
        <v>74</v>
      </c>
      <c r="AF903" t="s">
        <v>74</v>
      </c>
      <c r="AG903" t="s">
        <v>74</v>
      </c>
      <c r="AH903" t="s">
        <v>74</v>
      </c>
      <c r="AI903" t="s">
        <v>74</v>
      </c>
      <c r="AJ903" t="s">
        <v>74</v>
      </c>
      <c r="AK903" t="s">
        <v>74</v>
      </c>
      <c r="AL903" t="s">
        <v>74</v>
      </c>
      <c r="AM903" t="s">
        <v>74</v>
      </c>
      <c r="AN903" t="s">
        <v>74</v>
      </c>
      <c r="AO903" t="s">
        <v>1054</v>
      </c>
      <c r="AP903" t="s">
        <v>1055</v>
      </c>
      <c r="AQ903" t="s">
        <v>74</v>
      </c>
      <c r="AR903" t="s">
        <v>74</v>
      </c>
      <c r="AS903" t="s">
        <v>74</v>
      </c>
      <c r="AT903" t="s">
        <v>954</v>
      </c>
      <c r="AU903">
        <v>2013</v>
      </c>
      <c r="AV903">
        <v>28</v>
      </c>
      <c r="AW903" t="s">
        <v>74</v>
      </c>
      <c r="AX903" t="s">
        <v>74</v>
      </c>
      <c r="AY903" t="s">
        <v>74</v>
      </c>
      <c r="AZ903" t="s">
        <v>74</v>
      </c>
      <c r="BA903" t="s">
        <v>74</v>
      </c>
      <c r="BB903">
        <v>17</v>
      </c>
      <c r="BC903">
        <v>19</v>
      </c>
      <c r="BD903" t="s">
        <v>74</v>
      </c>
      <c r="BE903" t="s">
        <v>7818</v>
      </c>
      <c r="BF903" t="str">
        <f>HYPERLINK("http://dx.doi.org/10.1016/j.elecom.2012.12.003","http://dx.doi.org/10.1016/j.elecom.2012.12.003")</f>
        <v>http://dx.doi.org/10.1016/j.elecom.2012.12.003</v>
      </c>
      <c r="BG903" t="s">
        <v>74</v>
      </c>
      <c r="BH903" t="s">
        <v>74</v>
      </c>
      <c r="BI903" t="s">
        <v>74</v>
      </c>
      <c r="BJ903" t="s">
        <v>74</v>
      </c>
      <c r="BK903" t="s">
        <v>74</v>
      </c>
      <c r="BL903" t="s">
        <v>74</v>
      </c>
      <c r="BM903" t="s">
        <v>74</v>
      </c>
      <c r="BN903" t="s">
        <v>74</v>
      </c>
      <c r="BO903" t="s">
        <v>74</v>
      </c>
      <c r="BP903" t="s">
        <v>74</v>
      </c>
      <c r="BQ903" t="s">
        <v>74</v>
      </c>
      <c r="BR903" t="s">
        <v>74</v>
      </c>
      <c r="BS903" t="s">
        <v>7819</v>
      </c>
      <c r="BT903" t="str">
        <f>HYPERLINK("https%3A%2F%2Fwww.webofscience.com%2Fwos%2Fwoscc%2Ffull-record%2FWOS:000315554400005","View Full Record in Web of Science")</f>
        <v>View Full Record in Web of Science</v>
      </c>
    </row>
    <row r="904" spans="1:72" x14ac:dyDescent="0.2">
      <c r="A904" t="s">
        <v>72</v>
      </c>
      <c r="B904" t="s">
        <v>7820</v>
      </c>
      <c r="C904" t="s">
        <v>74</v>
      </c>
      <c r="D904" t="s">
        <v>74</v>
      </c>
      <c r="E904" t="s">
        <v>74</v>
      </c>
      <c r="F904" t="s">
        <v>7821</v>
      </c>
      <c r="G904" t="s">
        <v>74</v>
      </c>
      <c r="H904" t="s">
        <v>74</v>
      </c>
      <c r="I904" t="s">
        <v>7822</v>
      </c>
      <c r="J904" t="s">
        <v>7823</v>
      </c>
      <c r="K904" t="s">
        <v>74</v>
      </c>
      <c r="L904" t="s">
        <v>74</v>
      </c>
      <c r="M904" t="s">
        <v>74</v>
      </c>
      <c r="N904" t="s">
        <v>74</v>
      </c>
      <c r="O904" t="s">
        <v>74</v>
      </c>
      <c r="P904" t="s">
        <v>74</v>
      </c>
      <c r="Q904" t="s">
        <v>74</v>
      </c>
      <c r="R904" t="s">
        <v>74</v>
      </c>
      <c r="S904" t="s">
        <v>74</v>
      </c>
      <c r="T904" t="s">
        <v>74</v>
      </c>
      <c r="U904" t="s">
        <v>74</v>
      </c>
      <c r="V904" t="s">
        <v>7824</v>
      </c>
      <c r="W904" t="s">
        <v>74</v>
      </c>
      <c r="X904" t="s">
        <v>74</v>
      </c>
      <c r="Y904" t="s">
        <v>74</v>
      </c>
      <c r="Z904" t="s">
        <v>74</v>
      </c>
      <c r="AA904" t="s">
        <v>7825</v>
      </c>
      <c r="AB904" t="s">
        <v>7826</v>
      </c>
      <c r="AC904" t="s">
        <v>74</v>
      </c>
      <c r="AD904" t="s">
        <v>74</v>
      </c>
      <c r="AE904" t="s">
        <v>74</v>
      </c>
      <c r="AF904" t="s">
        <v>74</v>
      </c>
      <c r="AG904" t="s">
        <v>74</v>
      </c>
      <c r="AH904" t="s">
        <v>74</v>
      </c>
      <c r="AI904" t="s">
        <v>74</v>
      </c>
      <c r="AJ904" t="s">
        <v>74</v>
      </c>
      <c r="AK904" t="s">
        <v>74</v>
      </c>
      <c r="AL904" t="s">
        <v>74</v>
      </c>
      <c r="AM904" t="s">
        <v>74</v>
      </c>
      <c r="AN904" t="s">
        <v>74</v>
      </c>
      <c r="AO904" t="s">
        <v>7827</v>
      </c>
      <c r="AP904" t="s">
        <v>74</v>
      </c>
      <c r="AQ904" t="s">
        <v>74</v>
      </c>
      <c r="AR904" t="s">
        <v>74</v>
      </c>
      <c r="AS904" t="s">
        <v>74</v>
      </c>
      <c r="AT904" t="s">
        <v>1194</v>
      </c>
      <c r="AU904">
        <v>2013</v>
      </c>
      <c r="AV904">
        <v>8</v>
      </c>
      <c r="AW904">
        <v>1</v>
      </c>
      <c r="AX904" t="s">
        <v>74</v>
      </c>
      <c r="AY904" t="s">
        <v>74</v>
      </c>
      <c r="AZ904" t="s">
        <v>74</v>
      </c>
      <c r="BA904" t="s">
        <v>74</v>
      </c>
      <c r="BB904">
        <v>1146</v>
      </c>
      <c r="BC904">
        <v>1162</v>
      </c>
      <c r="BD904" t="s">
        <v>74</v>
      </c>
      <c r="BE904" t="s">
        <v>74</v>
      </c>
      <c r="BF904" t="s">
        <v>74</v>
      </c>
      <c r="BG904" t="s">
        <v>74</v>
      </c>
      <c r="BH904" t="s">
        <v>74</v>
      </c>
      <c r="BI904" t="s">
        <v>74</v>
      </c>
      <c r="BJ904" t="s">
        <v>74</v>
      </c>
      <c r="BK904" t="s">
        <v>74</v>
      </c>
      <c r="BL904" t="s">
        <v>74</v>
      </c>
      <c r="BM904" t="s">
        <v>74</v>
      </c>
      <c r="BN904" t="s">
        <v>74</v>
      </c>
      <c r="BO904" t="s">
        <v>74</v>
      </c>
      <c r="BP904" t="s">
        <v>74</v>
      </c>
      <c r="BQ904" t="s">
        <v>74</v>
      </c>
      <c r="BR904" t="s">
        <v>74</v>
      </c>
      <c r="BS904" t="s">
        <v>7828</v>
      </c>
      <c r="BT904" t="str">
        <f>HYPERLINK("https%3A%2F%2Fwww.webofscience.com%2Fwos%2Fwoscc%2Ffull-record%2FWOS:000316562800090","View Full Record in Web of Science")</f>
        <v>View Full Record in Web of Science</v>
      </c>
    </row>
    <row r="905" spans="1:72" x14ac:dyDescent="0.2">
      <c r="A905" t="s">
        <v>72</v>
      </c>
      <c r="B905" t="s">
        <v>7829</v>
      </c>
      <c r="C905" t="s">
        <v>74</v>
      </c>
      <c r="D905" t="s">
        <v>74</v>
      </c>
      <c r="E905" t="s">
        <v>74</v>
      </c>
      <c r="F905" t="s">
        <v>7830</v>
      </c>
      <c r="G905" t="s">
        <v>74</v>
      </c>
      <c r="H905" t="s">
        <v>74</v>
      </c>
      <c r="I905" t="s">
        <v>7831</v>
      </c>
      <c r="J905" t="s">
        <v>1256</v>
      </c>
      <c r="K905" t="s">
        <v>74</v>
      </c>
      <c r="L905" t="s">
        <v>74</v>
      </c>
      <c r="M905" t="s">
        <v>74</v>
      </c>
      <c r="N905" t="s">
        <v>74</v>
      </c>
      <c r="O905" t="s">
        <v>74</v>
      </c>
      <c r="P905" t="s">
        <v>74</v>
      </c>
      <c r="Q905" t="s">
        <v>74</v>
      </c>
      <c r="R905" t="s">
        <v>74</v>
      </c>
      <c r="S905" t="s">
        <v>74</v>
      </c>
      <c r="T905" t="s">
        <v>74</v>
      </c>
      <c r="U905" t="s">
        <v>74</v>
      </c>
      <c r="V905" t="s">
        <v>7832</v>
      </c>
      <c r="W905" t="s">
        <v>74</v>
      </c>
      <c r="X905" t="s">
        <v>74</v>
      </c>
      <c r="Y905" t="s">
        <v>74</v>
      </c>
      <c r="Z905" t="s">
        <v>74</v>
      </c>
      <c r="AA905" t="s">
        <v>7833</v>
      </c>
      <c r="AB905" t="s">
        <v>7834</v>
      </c>
      <c r="AC905" t="s">
        <v>74</v>
      </c>
      <c r="AD905" t="s">
        <v>74</v>
      </c>
      <c r="AE905" t="s">
        <v>74</v>
      </c>
      <c r="AF905" t="s">
        <v>74</v>
      </c>
      <c r="AG905" t="s">
        <v>74</v>
      </c>
      <c r="AH905" t="s">
        <v>74</v>
      </c>
      <c r="AI905" t="s">
        <v>74</v>
      </c>
      <c r="AJ905" t="s">
        <v>74</v>
      </c>
      <c r="AK905" t="s">
        <v>74</v>
      </c>
      <c r="AL905" t="s">
        <v>74</v>
      </c>
      <c r="AM905" t="s">
        <v>74</v>
      </c>
      <c r="AN905" t="s">
        <v>74</v>
      </c>
      <c r="AO905" t="s">
        <v>1258</v>
      </c>
      <c r="AP905" t="s">
        <v>1259</v>
      </c>
      <c r="AQ905" t="s">
        <v>74</v>
      </c>
      <c r="AR905" t="s">
        <v>74</v>
      </c>
      <c r="AS905" t="s">
        <v>74</v>
      </c>
      <c r="AT905" t="s">
        <v>1165</v>
      </c>
      <c r="AU905">
        <v>2013</v>
      </c>
      <c r="AV905">
        <v>87</v>
      </c>
      <c r="AW905" t="s">
        <v>74</v>
      </c>
      <c r="AX905" t="s">
        <v>74</v>
      </c>
      <c r="AY905" t="s">
        <v>74</v>
      </c>
      <c r="AZ905" t="s">
        <v>74</v>
      </c>
      <c r="BA905" t="s">
        <v>74</v>
      </c>
      <c r="BB905">
        <v>230</v>
      </c>
      <c r="BC905">
        <v>235</v>
      </c>
      <c r="BD905" t="s">
        <v>74</v>
      </c>
      <c r="BE905" t="s">
        <v>7835</v>
      </c>
      <c r="BF905" t="str">
        <f>HYPERLINK("http://dx.doi.org/10.1016/j.electacta.2012.09.017","http://dx.doi.org/10.1016/j.electacta.2012.09.017")</f>
        <v>http://dx.doi.org/10.1016/j.electacta.2012.09.017</v>
      </c>
      <c r="BG905" t="s">
        <v>74</v>
      </c>
      <c r="BH905" t="s">
        <v>74</v>
      </c>
      <c r="BI905" t="s">
        <v>74</v>
      </c>
      <c r="BJ905" t="s">
        <v>74</v>
      </c>
      <c r="BK905" t="s">
        <v>74</v>
      </c>
      <c r="BL905" t="s">
        <v>74</v>
      </c>
      <c r="BM905" t="s">
        <v>74</v>
      </c>
      <c r="BN905" t="s">
        <v>74</v>
      </c>
      <c r="BO905" t="s">
        <v>74</v>
      </c>
      <c r="BP905" t="s">
        <v>74</v>
      </c>
      <c r="BQ905" t="s">
        <v>74</v>
      </c>
      <c r="BR905" t="s">
        <v>74</v>
      </c>
      <c r="BS905" t="s">
        <v>7836</v>
      </c>
      <c r="BT905" t="str">
        <f>HYPERLINK("https%3A%2F%2Fwww.webofscience.com%2Fwos%2Fwoscc%2Ffull-record%2FWOS:000315171100029","View Full Record in Web of Science")</f>
        <v>View Full Record in Web of Science</v>
      </c>
    </row>
    <row r="906" spans="1:72" x14ac:dyDescent="0.2">
      <c r="A906" t="s">
        <v>72</v>
      </c>
      <c r="B906" t="s">
        <v>7725</v>
      </c>
      <c r="C906" t="s">
        <v>74</v>
      </c>
      <c r="D906" t="s">
        <v>74</v>
      </c>
      <c r="E906" t="s">
        <v>74</v>
      </c>
      <c r="F906" t="s">
        <v>7726</v>
      </c>
      <c r="G906" t="s">
        <v>74</v>
      </c>
      <c r="H906" t="s">
        <v>74</v>
      </c>
      <c r="I906" t="s">
        <v>7727</v>
      </c>
      <c r="J906" t="s">
        <v>7286</v>
      </c>
      <c r="K906" t="s">
        <v>74</v>
      </c>
      <c r="L906" t="s">
        <v>74</v>
      </c>
      <c r="M906" t="s">
        <v>74</v>
      </c>
      <c r="N906" t="s">
        <v>74</v>
      </c>
      <c r="O906" t="s">
        <v>74</v>
      </c>
      <c r="P906" t="s">
        <v>74</v>
      </c>
      <c r="Q906" t="s">
        <v>74</v>
      </c>
      <c r="R906" t="s">
        <v>74</v>
      </c>
      <c r="S906" t="s">
        <v>74</v>
      </c>
      <c r="T906" t="s">
        <v>74</v>
      </c>
      <c r="U906" t="s">
        <v>74</v>
      </c>
      <c r="V906" t="s">
        <v>7837</v>
      </c>
      <c r="W906" t="s">
        <v>74</v>
      </c>
      <c r="X906" t="s">
        <v>74</v>
      </c>
      <c r="Y906" t="s">
        <v>74</v>
      </c>
      <c r="Z906" t="s">
        <v>74</v>
      </c>
      <c r="AA906" t="s">
        <v>74</v>
      </c>
      <c r="AB906" t="s">
        <v>74</v>
      </c>
      <c r="AC906" t="s">
        <v>74</v>
      </c>
      <c r="AD906" t="s">
        <v>74</v>
      </c>
      <c r="AE906" t="s">
        <v>74</v>
      </c>
      <c r="AF906" t="s">
        <v>74</v>
      </c>
      <c r="AG906" t="s">
        <v>74</v>
      </c>
      <c r="AH906" t="s">
        <v>74</v>
      </c>
      <c r="AI906" t="s">
        <v>74</v>
      </c>
      <c r="AJ906" t="s">
        <v>74</v>
      </c>
      <c r="AK906" t="s">
        <v>74</v>
      </c>
      <c r="AL906" t="s">
        <v>74</v>
      </c>
      <c r="AM906" t="s">
        <v>74</v>
      </c>
      <c r="AN906" t="s">
        <v>74</v>
      </c>
      <c r="AO906" t="s">
        <v>7290</v>
      </c>
      <c r="AP906" t="s">
        <v>7291</v>
      </c>
      <c r="AQ906" t="s">
        <v>74</v>
      </c>
      <c r="AR906" t="s">
        <v>74</v>
      </c>
      <c r="AS906" t="s">
        <v>74</v>
      </c>
      <c r="AT906" t="s">
        <v>74</v>
      </c>
      <c r="AU906">
        <v>2013</v>
      </c>
      <c r="AV906">
        <v>54</v>
      </c>
      <c r="AW906">
        <v>9</v>
      </c>
      <c r="AX906" t="s">
        <v>74</v>
      </c>
      <c r="AY906" t="s">
        <v>74</v>
      </c>
      <c r="AZ906" t="s">
        <v>74</v>
      </c>
      <c r="BA906" t="s">
        <v>74</v>
      </c>
      <c r="BB906">
        <v>1760</v>
      </c>
      <c r="BC906">
        <v>1764</v>
      </c>
      <c r="BD906" t="s">
        <v>74</v>
      </c>
      <c r="BE906" t="s">
        <v>7838</v>
      </c>
      <c r="BF906" t="str">
        <f>HYPERLINK("http://dx.doi.org/10.2320/matertrans.M2013062","http://dx.doi.org/10.2320/matertrans.M2013062")</f>
        <v>http://dx.doi.org/10.2320/matertrans.M2013062</v>
      </c>
      <c r="BG906" t="s">
        <v>74</v>
      </c>
      <c r="BH906" t="s">
        <v>74</v>
      </c>
      <c r="BI906" t="s">
        <v>74</v>
      </c>
      <c r="BJ906" t="s">
        <v>74</v>
      </c>
      <c r="BK906" t="s">
        <v>74</v>
      </c>
      <c r="BL906" t="s">
        <v>74</v>
      </c>
      <c r="BM906" t="s">
        <v>74</v>
      </c>
      <c r="BN906" t="s">
        <v>74</v>
      </c>
      <c r="BO906" t="s">
        <v>74</v>
      </c>
      <c r="BP906" t="s">
        <v>74</v>
      </c>
      <c r="BQ906" t="s">
        <v>74</v>
      </c>
      <c r="BR906" t="s">
        <v>74</v>
      </c>
      <c r="BS906" t="s">
        <v>7839</v>
      </c>
      <c r="BT906" t="str">
        <f>HYPERLINK("https%3A%2F%2Fwww.webofscience.com%2Fwos%2Fwoscc%2Ffull-record%2FWOS:000325713000037","View Full Record in Web of Science")</f>
        <v>View Full Record in Web of Science</v>
      </c>
    </row>
    <row r="907" spans="1:72" x14ac:dyDescent="0.2">
      <c r="A907" t="s">
        <v>72</v>
      </c>
      <c r="B907" t="s">
        <v>7840</v>
      </c>
      <c r="C907" t="s">
        <v>74</v>
      </c>
      <c r="D907" t="s">
        <v>74</v>
      </c>
      <c r="E907" t="s">
        <v>74</v>
      </c>
      <c r="F907" t="s">
        <v>7841</v>
      </c>
      <c r="G907" t="s">
        <v>74</v>
      </c>
      <c r="H907" t="s">
        <v>74</v>
      </c>
      <c r="I907" t="s">
        <v>7842</v>
      </c>
      <c r="J907" t="s">
        <v>278</v>
      </c>
      <c r="K907" t="s">
        <v>74</v>
      </c>
      <c r="L907" t="s">
        <v>74</v>
      </c>
      <c r="M907" t="s">
        <v>74</v>
      </c>
      <c r="N907" t="s">
        <v>74</v>
      </c>
      <c r="O907" t="s">
        <v>74</v>
      </c>
      <c r="P907" t="s">
        <v>74</v>
      </c>
      <c r="Q907" t="s">
        <v>74</v>
      </c>
      <c r="R907" t="s">
        <v>74</v>
      </c>
      <c r="S907" t="s">
        <v>74</v>
      </c>
      <c r="T907" t="s">
        <v>74</v>
      </c>
      <c r="U907" t="s">
        <v>74</v>
      </c>
      <c r="V907" t="s">
        <v>7843</v>
      </c>
      <c r="W907" t="s">
        <v>74</v>
      </c>
      <c r="X907" t="s">
        <v>74</v>
      </c>
      <c r="Y907" t="s">
        <v>74</v>
      </c>
      <c r="Z907" t="s">
        <v>74</v>
      </c>
      <c r="AA907" t="s">
        <v>7844</v>
      </c>
      <c r="AB907" t="s">
        <v>7845</v>
      </c>
      <c r="AC907" t="s">
        <v>74</v>
      </c>
      <c r="AD907" t="s">
        <v>74</v>
      </c>
      <c r="AE907" t="s">
        <v>74</v>
      </c>
      <c r="AF907" t="s">
        <v>74</v>
      </c>
      <c r="AG907" t="s">
        <v>74</v>
      </c>
      <c r="AH907" t="s">
        <v>74</v>
      </c>
      <c r="AI907" t="s">
        <v>74</v>
      </c>
      <c r="AJ907" t="s">
        <v>74</v>
      </c>
      <c r="AK907" t="s">
        <v>74</v>
      </c>
      <c r="AL907" t="s">
        <v>74</v>
      </c>
      <c r="AM907" t="s">
        <v>74</v>
      </c>
      <c r="AN907" t="s">
        <v>74</v>
      </c>
      <c r="AO907" t="s">
        <v>281</v>
      </c>
      <c r="AP907" t="s">
        <v>74</v>
      </c>
      <c r="AQ907" t="s">
        <v>74</v>
      </c>
      <c r="AR907" t="s">
        <v>74</v>
      </c>
      <c r="AS907" t="s">
        <v>74</v>
      </c>
      <c r="AT907" t="s">
        <v>74</v>
      </c>
      <c r="AU907">
        <v>2013</v>
      </c>
      <c r="AV907">
        <v>1</v>
      </c>
      <c r="AW907">
        <v>4</v>
      </c>
      <c r="AX907" t="s">
        <v>74</v>
      </c>
      <c r="AY907" t="s">
        <v>74</v>
      </c>
      <c r="AZ907" t="s">
        <v>74</v>
      </c>
      <c r="BA907" t="s">
        <v>74</v>
      </c>
      <c r="BB907">
        <v>1108</v>
      </c>
      <c r="BC907">
        <v>1116</v>
      </c>
      <c r="BD907" t="s">
        <v>74</v>
      </c>
      <c r="BE907" t="s">
        <v>7846</v>
      </c>
      <c r="BF907" t="str">
        <f>HYPERLINK("http://dx.doi.org/10.1039/c2ta00628f","http://dx.doi.org/10.1039/c2ta00628f")</f>
        <v>http://dx.doi.org/10.1039/c2ta00628f</v>
      </c>
      <c r="BG907" t="s">
        <v>74</v>
      </c>
      <c r="BH907" t="s">
        <v>74</v>
      </c>
      <c r="BI907" t="s">
        <v>74</v>
      </c>
      <c r="BJ907" t="s">
        <v>74</v>
      </c>
      <c r="BK907" t="s">
        <v>74</v>
      </c>
      <c r="BL907" t="s">
        <v>74</v>
      </c>
      <c r="BM907" t="s">
        <v>74</v>
      </c>
      <c r="BN907" t="s">
        <v>74</v>
      </c>
      <c r="BO907" t="s">
        <v>74</v>
      </c>
      <c r="BP907" t="s">
        <v>74</v>
      </c>
      <c r="BQ907" t="s">
        <v>74</v>
      </c>
      <c r="BR907" t="s">
        <v>74</v>
      </c>
      <c r="BS907" t="s">
        <v>7847</v>
      </c>
      <c r="BT907" t="str">
        <f>HYPERLINK("https%3A%2F%2Fwww.webofscience.com%2Fwos%2Fwoscc%2Ffull-record%2FWOS:000314633500018","View Full Record in Web of Science")</f>
        <v>View Full Record in Web of Science</v>
      </c>
    </row>
    <row r="908" spans="1:72" x14ac:dyDescent="0.2">
      <c r="A908" t="s">
        <v>2738</v>
      </c>
      <c r="B908" t="s">
        <v>7848</v>
      </c>
      <c r="C908" t="s">
        <v>74</v>
      </c>
      <c r="D908" t="s">
        <v>7849</v>
      </c>
      <c r="E908" t="s">
        <v>74</v>
      </c>
      <c r="F908" t="s">
        <v>7850</v>
      </c>
      <c r="G908" t="s">
        <v>74</v>
      </c>
      <c r="H908" t="s">
        <v>74</v>
      </c>
      <c r="I908" t="s">
        <v>7851</v>
      </c>
      <c r="J908" t="s">
        <v>7852</v>
      </c>
      <c r="K908" t="s">
        <v>7853</v>
      </c>
      <c r="L908" t="s">
        <v>74</v>
      </c>
      <c r="M908" t="s">
        <v>74</v>
      </c>
      <c r="N908" t="s">
        <v>74</v>
      </c>
      <c r="O908" t="s">
        <v>7854</v>
      </c>
      <c r="P908" t="s">
        <v>7855</v>
      </c>
      <c r="Q908" t="s">
        <v>7856</v>
      </c>
      <c r="R908" t="s">
        <v>7857</v>
      </c>
      <c r="S908" t="s">
        <v>74</v>
      </c>
      <c r="T908" t="s">
        <v>74</v>
      </c>
      <c r="U908" t="s">
        <v>74</v>
      </c>
      <c r="V908" t="s">
        <v>7858</v>
      </c>
      <c r="W908" t="s">
        <v>74</v>
      </c>
      <c r="X908" t="s">
        <v>74</v>
      </c>
      <c r="Y908" t="s">
        <v>74</v>
      </c>
      <c r="Z908" t="s">
        <v>74</v>
      </c>
      <c r="AA908" t="s">
        <v>7859</v>
      </c>
      <c r="AB908" t="s">
        <v>74</v>
      </c>
      <c r="AC908" t="s">
        <v>74</v>
      </c>
      <c r="AD908" t="s">
        <v>74</v>
      </c>
      <c r="AE908" t="s">
        <v>74</v>
      </c>
      <c r="AF908" t="s">
        <v>74</v>
      </c>
      <c r="AG908" t="s">
        <v>74</v>
      </c>
      <c r="AH908" t="s">
        <v>74</v>
      </c>
      <c r="AI908" t="s">
        <v>74</v>
      </c>
      <c r="AJ908" t="s">
        <v>74</v>
      </c>
      <c r="AK908" t="s">
        <v>74</v>
      </c>
      <c r="AL908" t="s">
        <v>74</v>
      </c>
      <c r="AM908" t="s">
        <v>74</v>
      </c>
      <c r="AN908" t="s">
        <v>74</v>
      </c>
      <c r="AO908" t="s">
        <v>7860</v>
      </c>
      <c r="AP908" t="s">
        <v>74</v>
      </c>
      <c r="AQ908" t="s">
        <v>7861</v>
      </c>
      <c r="AR908" t="s">
        <v>74</v>
      </c>
      <c r="AS908" t="s">
        <v>74</v>
      </c>
      <c r="AT908" t="s">
        <v>74</v>
      </c>
      <c r="AU908">
        <v>2013</v>
      </c>
      <c r="AV908" t="s">
        <v>7862</v>
      </c>
      <c r="AW908" t="s">
        <v>74</v>
      </c>
      <c r="AX908" t="s">
        <v>74</v>
      </c>
      <c r="AY908" t="s">
        <v>74</v>
      </c>
      <c r="AZ908" t="s">
        <v>74</v>
      </c>
      <c r="BA908" t="s">
        <v>74</v>
      </c>
      <c r="BB908">
        <v>896</v>
      </c>
      <c r="BC908">
        <v>900</v>
      </c>
      <c r="BD908" t="s">
        <v>74</v>
      </c>
      <c r="BE908" t="s">
        <v>7863</v>
      </c>
      <c r="BF908" t="str">
        <f>HYPERLINK("http://dx.doi.org/10.4028/www.scientific.net/AMR.652-654.896","http://dx.doi.org/10.4028/www.scientific.net/AMR.652-654.896")</f>
        <v>http://dx.doi.org/10.4028/www.scientific.net/AMR.652-654.896</v>
      </c>
      <c r="BG908" t="s">
        <v>74</v>
      </c>
      <c r="BH908" t="s">
        <v>74</v>
      </c>
      <c r="BI908" t="s">
        <v>74</v>
      </c>
      <c r="BJ908" t="s">
        <v>74</v>
      </c>
      <c r="BK908" t="s">
        <v>74</v>
      </c>
      <c r="BL908" t="s">
        <v>74</v>
      </c>
      <c r="BM908" t="s">
        <v>74</v>
      </c>
      <c r="BN908" t="s">
        <v>74</v>
      </c>
      <c r="BO908" t="s">
        <v>74</v>
      </c>
      <c r="BP908" t="s">
        <v>74</v>
      </c>
      <c r="BQ908" t="s">
        <v>74</v>
      </c>
      <c r="BR908" t="s">
        <v>74</v>
      </c>
      <c r="BS908" t="s">
        <v>7864</v>
      </c>
      <c r="BT908" t="str">
        <f>HYPERLINK("https%3A%2F%2Fwww.webofscience.com%2Fwos%2Fwoscc%2Ffull-record%2FWOS:000320475900181","View Full Record in Web of Science")</f>
        <v>View Full Record in Web of Science</v>
      </c>
    </row>
    <row r="909" spans="1:72" x14ac:dyDescent="0.2">
      <c r="A909" t="s">
        <v>72</v>
      </c>
      <c r="B909" t="s">
        <v>7865</v>
      </c>
      <c r="C909" t="s">
        <v>74</v>
      </c>
      <c r="D909" t="s">
        <v>74</v>
      </c>
      <c r="E909" t="s">
        <v>74</v>
      </c>
      <c r="F909" t="s">
        <v>7866</v>
      </c>
      <c r="G909" t="s">
        <v>74</v>
      </c>
      <c r="H909" t="s">
        <v>74</v>
      </c>
      <c r="I909" t="s">
        <v>7867</v>
      </c>
      <c r="J909" t="s">
        <v>5460</v>
      </c>
      <c r="K909" t="s">
        <v>74</v>
      </c>
      <c r="L909" t="s">
        <v>74</v>
      </c>
      <c r="M909" t="s">
        <v>74</v>
      </c>
      <c r="N909" t="s">
        <v>74</v>
      </c>
      <c r="O909" t="s">
        <v>74</v>
      </c>
      <c r="P909" t="s">
        <v>74</v>
      </c>
      <c r="Q909" t="s">
        <v>74</v>
      </c>
      <c r="R909" t="s">
        <v>74</v>
      </c>
      <c r="S909" t="s">
        <v>74</v>
      </c>
      <c r="T909" t="s">
        <v>74</v>
      </c>
      <c r="U909" t="s">
        <v>74</v>
      </c>
      <c r="V909" t="s">
        <v>7868</v>
      </c>
      <c r="W909" t="s">
        <v>74</v>
      </c>
      <c r="X909" t="s">
        <v>74</v>
      </c>
      <c r="Y909" t="s">
        <v>74</v>
      </c>
      <c r="Z909" t="s">
        <v>74</v>
      </c>
      <c r="AA909" t="s">
        <v>7869</v>
      </c>
      <c r="AB909" t="s">
        <v>7870</v>
      </c>
      <c r="AC909" t="s">
        <v>74</v>
      </c>
      <c r="AD909" t="s">
        <v>74</v>
      </c>
      <c r="AE909" t="s">
        <v>74</v>
      </c>
      <c r="AF909" t="s">
        <v>74</v>
      </c>
      <c r="AG909" t="s">
        <v>74</v>
      </c>
      <c r="AH909" t="s">
        <v>74</v>
      </c>
      <c r="AI909" t="s">
        <v>74</v>
      </c>
      <c r="AJ909" t="s">
        <v>74</v>
      </c>
      <c r="AK909" t="s">
        <v>74</v>
      </c>
      <c r="AL909" t="s">
        <v>74</v>
      </c>
      <c r="AM909" t="s">
        <v>74</v>
      </c>
      <c r="AN909" t="s">
        <v>74</v>
      </c>
      <c r="AO909" t="s">
        <v>74</v>
      </c>
      <c r="AP909" t="s">
        <v>5464</v>
      </c>
      <c r="AQ909" t="s">
        <v>74</v>
      </c>
      <c r="AR909" t="s">
        <v>74</v>
      </c>
      <c r="AS909" t="s">
        <v>74</v>
      </c>
      <c r="AT909" t="s">
        <v>74</v>
      </c>
      <c r="AU909">
        <v>2013</v>
      </c>
      <c r="AV909">
        <v>3</v>
      </c>
      <c r="AW909">
        <v>35</v>
      </c>
      <c r="AX909" t="s">
        <v>74</v>
      </c>
      <c r="AY909" t="s">
        <v>74</v>
      </c>
      <c r="AZ909" t="s">
        <v>74</v>
      </c>
      <c r="BA909" t="s">
        <v>74</v>
      </c>
      <c r="BB909">
        <v>14934</v>
      </c>
      <c r="BC909">
        <v>14937</v>
      </c>
      <c r="BD909" t="s">
        <v>74</v>
      </c>
      <c r="BE909" t="s">
        <v>7871</v>
      </c>
      <c r="BF909" t="str">
        <f>HYPERLINK("http://dx.doi.org/10.1039/c3ra41167b","http://dx.doi.org/10.1039/c3ra41167b")</f>
        <v>http://dx.doi.org/10.1039/c3ra41167b</v>
      </c>
      <c r="BG909" t="s">
        <v>74</v>
      </c>
      <c r="BH909" t="s">
        <v>74</v>
      </c>
      <c r="BI909" t="s">
        <v>74</v>
      </c>
      <c r="BJ909" t="s">
        <v>74</v>
      </c>
      <c r="BK909" t="s">
        <v>74</v>
      </c>
      <c r="BL909" t="s">
        <v>74</v>
      </c>
      <c r="BM909" t="s">
        <v>74</v>
      </c>
      <c r="BN909" t="s">
        <v>74</v>
      </c>
      <c r="BO909" t="s">
        <v>74</v>
      </c>
      <c r="BP909" t="s">
        <v>74</v>
      </c>
      <c r="BQ909" t="s">
        <v>74</v>
      </c>
      <c r="BR909" t="s">
        <v>74</v>
      </c>
      <c r="BS909" t="s">
        <v>7872</v>
      </c>
      <c r="BT909" t="str">
        <f>HYPERLINK("https%3A%2F%2Fwww.webofscience.com%2Fwos%2Fwoscc%2Ffull-record%2FWOS:000323132100005","View Full Record in Web of Science")</f>
        <v>View Full Record in Web of Science</v>
      </c>
    </row>
    <row r="910" spans="1:72" x14ac:dyDescent="0.2">
      <c r="A910" t="s">
        <v>72</v>
      </c>
      <c r="B910" t="s">
        <v>7873</v>
      </c>
      <c r="C910" t="s">
        <v>74</v>
      </c>
      <c r="D910" t="s">
        <v>74</v>
      </c>
      <c r="E910" t="s">
        <v>74</v>
      </c>
      <c r="F910" t="s">
        <v>7874</v>
      </c>
      <c r="G910" t="s">
        <v>74</v>
      </c>
      <c r="H910" t="s">
        <v>74</v>
      </c>
      <c r="I910" t="s">
        <v>7875</v>
      </c>
      <c r="J910" t="s">
        <v>1256</v>
      </c>
      <c r="K910" t="s">
        <v>74</v>
      </c>
      <c r="L910" t="s">
        <v>74</v>
      </c>
      <c r="M910" t="s">
        <v>74</v>
      </c>
      <c r="N910" t="s">
        <v>74</v>
      </c>
      <c r="O910" t="s">
        <v>74</v>
      </c>
      <c r="P910" t="s">
        <v>74</v>
      </c>
      <c r="Q910" t="s">
        <v>74</v>
      </c>
      <c r="R910" t="s">
        <v>74</v>
      </c>
      <c r="S910" t="s">
        <v>74</v>
      </c>
      <c r="T910" t="s">
        <v>74</v>
      </c>
      <c r="U910" t="s">
        <v>74</v>
      </c>
      <c r="V910" t="s">
        <v>7876</v>
      </c>
      <c r="W910" t="s">
        <v>74</v>
      </c>
      <c r="X910" t="s">
        <v>74</v>
      </c>
      <c r="Y910" t="s">
        <v>74</v>
      </c>
      <c r="Z910" t="s">
        <v>74</v>
      </c>
      <c r="AA910" t="s">
        <v>7877</v>
      </c>
      <c r="AB910" t="s">
        <v>7878</v>
      </c>
      <c r="AC910" t="s">
        <v>74</v>
      </c>
      <c r="AD910" t="s">
        <v>74</v>
      </c>
      <c r="AE910" t="s">
        <v>74</v>
      </c>
      <c r="AF910" t="s">
        <v>74</v>
      </c>
      <c r="AG910" t="s">
        <v>74</v>
      </c>
      <c r="AH910" t="s">
        <v>74</v>
      </c>
      <c r="AI910" t="s">
        <v>74</v>
      </c>
      <c r="AJ910" t="s">
        <v>74</v>
      </c>
      <c r="AK910" t="s">
        <v>74</v>
      </c>
      <c r="AL910" t="s">
        <v>74</v>
      </c>
      <c r="AM910" t="s">
        <v>74</v>
      </c>
      <c r="AN910" t="s">
        <v>74</v>
      </c>
      <c r="AO910" t="s">
        <v>1258</v>
      </c>
      <c r="AP910" t="s">
        <v>1259</v>
      </c>
      <c r="AQ910" t="s">
        <v>74</v>
      </c>
      <c r="AR910" t="s">
        <v>74</v>
      </c>
      <c r="AS910" t="s">
        <v>74</v>
      </c>
      <c r="AT910" t="s">
        <v>1165</v>
      </c>
      <c r="AU910">
        <v>2013</v>
      </c>
      <c r="AV910">
        <v>87</v>
      </c>
      <c r="AW910" t="s">
        <v>74</v>
      </c>
      <c r="AX910" t="s">
        <v>74</v>
      </c>
      <c r="AY910" t="s">
        <v>74</v>
      </c>
      <c r="AZ910" t="s">
        <v>74</v>
      </c>
      <c r="BA910" t="s">
        <v>74</v>
      </c>
      <c r="BB910">
        <v>113</v>
      </c>
      <c r="BC910">
        <v>118</v>
      </c>
      <c r="BD910" t="s">
        <v>74</v>
      </c>
      <c r="BE910" t="s">
        <v>7879</v>
      </c>
      <c r="BF910" t="str">
        <f>HYPERLINK("http://dx.doi.org/10.1016/j.electacta.2012.08.114","http://dx.doi.org/10.1016/j.electacta.2012.08.114")</f>
        <v>http://dx.doi.org/10.1016/j.electacta.2012.08.114</v>
      </c>
      <c r="BG910" t="s">
        <v>74</v>
      </c>
      <c r="BH910" t="s">
        <v>74</v>
      </c>
      <c r="BI910" t="s">
        <v>74</v>
      </c>
      <c r="BJ910" t="s">
        <v>74</v>
      </c>
      <c r="BK910" t="s">
        <v>74</v>
      </c>
      <c r="BL910" t="s">
        <v>74</v>
      </c>
      <c r="BM910" t="s">
        <v>74</v>
      </c>
      <c r="BN910" t="s">
        <v>74</v>
      </c>
      <c r="BO910" t="s">
        <v>74</v>
      </c>
      <c r="BP910" t="s">
        <v>74</v>
      </c>
      <c r="BQ910" t="s">
        <v>74</v>
      </c>
      <c r="BR910" t="s">
        <v>74</v>
      </c>
      <c r="BS910" t="s">
        <v>7880</v>
      </c>
      <c r="BT910" t="str">
        <f>HYPERLINK("https%3A%2F%2Fwww.webofscience.com%2Fwos%2Fwoscc%2Ffull-record%2FWOS:000315171100013","View Full Record in Web of Science")</f>
        <v>View Full Record in Web of Science</v>
      </c>
    </row>
    <row r="911" spans="1:72" x14ac:dyDescent="0.2">
      <c r="A911" t="s">
        <v>72</v>
      </c>
      <c r="B911" t="s">
        <v>7881</v>
      </c>
      <c r="C911" t="s">
        <v>74</v>
      </c>
      <c r="D911" t="s">
        <v>74</v>
      </c>
      <c r="E911" t="s">
        <v>74</v>
      </c>
      <c r="F911" t="s">
        <v>7882</v>
      </c>
      <c r="G911" t="s">
        <v>74</v>
      </c>
      <c r="H911" t="s">
        <v>74</v>
      </c>
      <c r="I911" t="s">
        <v>7883</v>
      </c>
      <c r="J911" t="s">
        <v>278</v>
      </c>
      <c r="K911" t="s">
        <v>74</v>
      </c>
      <c r="L911" t="s">
        <v>74</v>
      </c>
      <c r="M911" t="s">
        <v>74</v>
      </c>
      <c r="N911" t="s">
        <v>74</v>
      </c>
      <c r="O911" t="s">
        <v>74</v>
      </c>
      <c r="P911" t="s">
        <v>74</v>
      </c>
      <c r="Q911" t="s">
        <v>74</v>
      </c>
      <c r="R911" t="s">
        <v>74</v>
      </c>
      <c r="S911" t="s">
        <v>74</v>
      </c>
      <c r="T911" t="s">
        <v>74</v>
      </c>
      <c r="U911" t="s">
        <v>74</v>
      </c>
      <c r="V911" t="s">
        <v>7884</v>
      </c>
      <c r="W911" t="s">
        <v>74</v>
      </c>
      <c r="X911" t="s">
        <v>74</v>
      </c>
      <c r="Y911" t="s">
        <v>74</v>
      </c>
      <c r="Z911" t="s">
        <v>74</v>
      </c>
      <c r="AA911" t="s">
        <v>7885</v>
      </c>
      <c r="AB911" t="s">
        <v>7700</v>
      </c>
      <c r="AC911" t="s">
        <v>74</v>
      </c>
      <c r="AD911" t="s">
        <v>74</v>
      </c>
      <c r="AE911" t="s">
        <v>74</v>
      </c>
      <c r="AF911" t="s">
        <v>74</v>
      </c>
      <c r="AG911" t="s">
        <v>74</v>
      </c>
      <c r="AH911" t="s">
        <v>74</v>
      </c>
      <c r="AI911" t="s">
        <v>74</v>
      </c>
      <c r="AJ911" t="s">
        <v>74</v>
      </c>
      <c r="AK911" t="s">
        <v>74</v>
      </c>
      <c r="AL911" t="s">
        <v>74</v>
      </c>
      <c r="AM911" t="s">
        <v>74</v>
      </c>
      <c r="AN911" t="s">
        <v>74</v>
      </c>
      <c r="AO911" t="s">
        <v>281</v>
      </c>
      <c r="AP911" t="s">
        <v>282</v>
      </c>
      <c r="AQ911" t="s">
        <v>74</v>
      </c>
      <c r="AR911" t="s">
        <v>74</v>
      </c>
      <c r="AS911" t="s">
        <v>74</v>
      </c>
      <c r="AT911" t="s">
        <v>74</v>
      </c>
      <c r="AU911">
        <v>2013</v>
      </c>
      <c r="AV911">
        <v>1</v>
      </c>
      <c r="AW911">
        <v>26</v>
      </c>
      <c r="AX911" t="s">
        <v>74</v>
      </c>
      <c r="AY911" t="s">
        <v>74</v>
      </c>
      <c r="AZ911" t="s">
        <v>74</v>
      </c>
      <c r="BA911" t="s">
        <v>74</v>
      </c>
      <c r="BB911">
        <v>7790</v>
      </c>
      <c r="BC911">
        <v>7797</v>
      </c>
      <c r="BD911" t="s">
        <v>74</v>
      </c>
      <c r="BE911" t="s">
        <v>7886</v>
      </c>
      <c r="BF911" t="str">
        <f>HYPERLINK("http://dx.doi.org/10.1039/c3ta00167a","http://dx.doi.org/10.1039/c3ta00167a")</f>
        <v>http://dx.doi.org/10.1039/c3ta00167a</v>
      </c>
      <c r="BG911" t="s">
        <v>74</v>
      </c>
      <c r="BH911" t="s">
        <v>74</v>
      </c>
      <c r="BI911" t="s">
        <v>74</v>
      </c>
      <c r="BJ911" t="s">
        <v>74</v>
      </c>
      <c r="BK911" t="s">
        <v>74</v>
      </c>
      <c r="BL911" t="s">
        <v>74</v>
      </c>
      <c r="BM911" t="s">
        <v>74</v>
      </c>
      <c r="BN911" t="s">
        <v>74</v>
      </c>
      <c r="BO911" t="s">
        <v>74</v>
      </c>
      <c r="BP911" t="s">
        <v>74</v>
      </c>
      <c r="BQ911" t="s">
        <v>74</v>
      </c>
      <c r="BR911" t="s">
        <v>74</v>
      </c>
      <c r="BS911" t="s">
        <v>7887</v>
      </c>
      <c r="BT911" t="str">
        <f>HYPERLINK("https%3A%2F%2Fwww.webofscience.com%2Fwos%2Fwoscc%2Ffull-record%2FWOS:000320245400031","View Full Record in Web of Science")</f>
        <v>View Full Record in Web of Science</v>
      </c>
    </row>
    <row r="912" spans="1:72" x14ac:dyDescent="0.2">
      <c r="A912" t="s">
        <v>72</v>
      </c>
      <c r="B912" t="s">
        <v>7888</v>
      </c>
      <c r="C912" t="s">
        <v>74</v>
      </c>
      <c r="D912" t="s">
        <v>74</v>
      </c>
      <c r="E912" t="s">
        <v>74</v>
      </c>
      <c r="F912" t="s">
        <v>7889</v>
      </c>
      <c r="G912" t="s">
        <v>74</v>
      </c>
      <c r="H912" t="s">
        <v>74</v>
      </c>
      <c r="I912" t="s">
        <v>7890</v>
      </c>
      <c r="J912" t="s">
        <v>7823</v>
      </c>
      <c r="K912" t="s">
        <v>74</v>
      </c>
      <c r="L912" t="s">
        <v>74</v>
      </c>
      <c r="M912" t="s">
        <v>74</v>
      </c>
      <c r="N912" t="s">
        <v>74</v>
      </c>
      <c r="O912" t="s">
        <v>74</v>
      </c>
      <c r="P912" t="s">
        <v>74</v>
      </c>
      <c r="Q912" t="s">
        <v>74</v>
      </c>
      <c r="R912" t="s">
        <v>74</v>
      </c>
      <c r="S912" t="s">
        <v>74</v>
      </c>
      <c r="T912" t="s">
        <v>74</v>
      </c>
      <c r="U912" t="s">
        <v>74</v>
      </c>
      <c r="V912" t="s">
        <v>7891</v>
      </c>
      <c r="W912" t="s">
        <v>74</v>
      </c>
      <c r="X912" t="s">
        <v>74</v>
      </c>
      <c r="Y912" t="s">
        <v>74</v>
      </c>
      <c r="Z912" t="s">
        <v>74</v>
      </c>
      <c r="AA912" t="s">
        <v>74</v>
      </c>
      <c r="AB912" t="s">
        <v>74</v>
      </c>
      <c r="AC912" t="s">
        <v>74</v>
      </c>
      <c r="AD912" t="s">
        <v>74</v>
      </c>
      <c r="AE912" t="s">
        <v>74</v>
      </c>
      <c r="AF912" t="s">
        <v>74</v>
      </c>
      <c r="AG912" t="s">
        <v>74</v>
      </c>
      <c r="AH912" t="s">
        <v>74</v>
      </c>
      <c r="AI912" t="s">
        <v>74</v>
      </c>
      <c r="AJ912" t="s">
        <v>74</v>
      </c>
      <c r="AK912" t="s">
        <v>74</v>
      </c>
      <c r="AL912" t="s">
        <v>74</v>
      </c>
      <c r="AM912" t="s">
        <v>74</v>
      </c>
      <c r="AN912" t="s">
        <v>74</v>
      </c>
      <c r="AO912" t="s">
        <v>7827</v>
      </c>
      <c r="AP912" t="s">
        <v>74</v>
      </c>
      <c r="AQ912" t="s">
        <v>74</v>
      </c>
      <c r="AR912" t="s">
        <v>74</v>
      </c>
      <c r="AS912" t="s">
        <v>74</v>
      </c>
      <c r="AT912" t="s">
        <v>1318</v>
      </c>
      <c r="AU912">
        <v>2012</v>
      </c>
      <c r="AV912">
        <v>7</v>
      </c>
      <c r="AW912">
        <v>12</v>
      </c>
      <c r="AX912" t="s">
        <v>74</v>
      </c>
      <c r="AY912" t="s">
        <v>74</v>
      </c>
      <c r="AZ912" t="s">
        <v>74</v>
      </c>
      <c r="BA912" t="s">
        <v>74</v>
      </c>
      <c r="BB912">
        <v>12963</v>
      </c>
      <c r="BC912">
        <v>12973</v>
      </c>
      <c r="BD912" t="s">
        <v>74</v>
      </c>
      <c r="BE912" t="s">
        <v>74</v>
      </c>
      <c r="BF912" t="s">
        <v>74</v>
      </c>
      <c r="BG912" t="s">
        <v>74</v>
      </c>
      <c r="BH912" t="s">
        <v>74</v>
      </c>
      <c r="BI912" t="s">
        <v>74</v>
      </c>
      <c r="BJ912" t="s">
        <v>74</v>
      </c>
      <c r="BK912" t="s">
        <v>74</v>
      </c>
      <c r="BL912" t="s">
        <v>74</v>
      </c>
      <c r="BM912" t="s">
        <v>74</v>
      </c>
      <c r="BN912" t="s">
        <v>74</v>
      </c>
      <c r="BO912" t="s">
        <v>74</v>
      </c>
      <c r="BP912" t="s">
        <v>74</v>
      </c>
      <c r="BQ912" t="s">
        <v>74</v>
      </c>
      <c r="BR912" t="s">
        <v>74</v>
      </c>
      <c r="BS912" t="s">
        <v>7892</v>
      </c>
      <c r="BT912" t="str">
        <f>HYPERLINK("https%3A%2F%2Fwww.webofscience.com%2Fwos%2Fwoscc%2Ffull-record%2FWOS:000312936700107","View Full Record in Web of Science")</f>
        <v>View Full Record in Web of Science</v>
      </c>
    </row>
    <row r="913" spans="1:72" x14ac:dyDescent="0.2">
      <c r="A913" t="s">
        <v>72</v>
      </c>
      <c r="B913" t="s">
        <v>7893</v>
      </c>
      <c r="C913" t="s">
        <v>74</v>
      </c>
      <c r="D913" t="s">
        <v>74</v>
      </c>
      <c r="E913" t="s">
        <v>74</v>
      </c>
      <c r="F913" t="s">
        <v>7894</v>
      </c>
      <c r="G913" t="s">
        <v>74</v>
      </c>
      <c r="H913" t="s">
        <v>74</v>
      </c>
      <c r="I913" t="s">
        <v>7895</v>
      </c>
      <c r="J913" t="s">
        <v>98</v>
      </c>
      <c r="K913" t="s">
        <v>74</v>
      </c>
      <c r="L913" t="s">
        <v>74</v>
      </c>
      <c r="M913" t="s">
        <v>74</v>
      </c>
      <c r="N913" t="s">
        <v>74</v>
      </c>
      <c r="O913" t="s">
        <v>74</v>
      </c>
      <c r="P913" t="s">
        <v>74</v>
      </c>
      <c r="Q913" t="s">
        <v>74</v>
      </c>
      <c r="R913" t="s">
        <v>74</v>
      </c>
      <c r="S913" t="s">
        <v>74</v>
      </c>
      <c r="T913" t="s">
        <v>74</v>
      </c>
      <c r="U913" t="s">
        <v>74</v>
      </c>
      <c r="V913" t="s">
        <v>7896</v>
      </c>
      <c r="W913" t="s">
        <v>74</v>
      </c>
      <c r="X913" t="s">
        <v>74</v>
      </c>
      <c r="Y913" t="s">
        <v>74</v>
      </c>
      <c r="Z913" t="s">
        <v>74</v>
      </c>
      <c r="AA913" t="s">
        <v>7782</v>
      </c>
      <c r="AB913" t="s">
        <v>7783</v>
      </c>
      <c r="AC913" t="s">
        <v>74</v>
      </c>
      <c r="AD913" t="s">
        <v>74</v>
      </c>
      <c r="AE913" t="s">
        <v>74</v>
      </c>
      <c r="AF913" t="s">
        <v>74</v>
      </c>
      <c r="AG913" t="s">
        <v>74</v>
      </c>
      <c r="AH913" t="s">
        <v>74</v>
      </c>
      <c r="AI913" t="s">
        <v>74</v>
      </c>
      <c r="AJ913" t="s">
        <v>74</v>
      </c>
      <c r="AK913" t="s">
        <v>74</v>
      </c>
      <c r="AL913" t="s">
        <v>74</v>
      </c>
      <c r="AM913" t="s">
        <v>74</v>
      </c>
      <c r="AN913" t="s">
        <v>74</v>
      </c>
      <c r="AO913" t="s">
        <v>101</v>
      </c>
      <c r="AP913" t="s">
        <v>102</v>
      </c>
      <c r="AQ913" t="s">
        <v>74</v>
      </c>
      <c r="AR913" t="s">
        <v>74</v>
      </c>
      <c r="AS913" t="s">
        <v>74</v>
      </c>
      <c r="AT913" t="s">
        <v>1391</v>
      </c>
      <c r="AU913">
        <v>2012</v>
      </c>
      <c r="AV913">
        <v>218</v>
      </c>
      <c r="AW913" t="s">
        <v>74</v>
      </c>
      <c r="AX913" t="s">
        <v>74</v>
      </c>
      <c r="AY913" t="s">
        <v>74</v>
      </c>
      <c r="AZ913" t="s">
        <v>74</v>
      </c>
      <c r="BA913" t="s">
        <v>74</v>
      </c>
      <c r="BB913">
        <v>134</v>
      </c>
      <c r="BC913">
        <v>139</v>
      </c>
      <c r="BD913" t="s">
        <v>74</v>
      </c>
      <c r="BE913" t="s">
        <v>7897</v>
      </c>
      <c r="BF913" t="str">
        <f>HYPERLINK("http://dx.doi.org/10.1016/j.jpowsour.2012.06.044","http://dx.doi.org/10.1016/j.jpowsour.2012.06.044")</f>
        <v>http://dx.doi.org/10.1016/j.jpowsour.2012.06.044</v>
      </c>
      <c r="BG913" t="s">
        <v>74</v>
      </c>
      <c r="BH913" t="s">
        <v>74</v>
      </c>
      <c r="BI913" t="s">
        <v>74</v>
      </c>
      <c r="BJ913" t="s">
        <v>74</v>
      </c>
      <c r="BK913" t="s">
        <v>74</v>
      </c>
      <c r="BL913" t="s">
        <v>74</v>
      </c>
      <c r="BM913" t="s">
        <v>74</v>
      </c>
      <c r="BN913" t="s">
        <v>74</v>
      </c>
      <c r="BO913" t="s">
        <v>74</v>
      </c>
      <c r="BP913" t="s">
        <v>74</v>
      </c>
      <c r="BQ913" t="s">
        <v>74</v>
      </c>
      <c r="BR913" t="s">
        <v>74</v>
      </c>
      <c r="BS913" t="s">
        <v>7898</v>
      </c>
      <c r="BT913" t="str">
        <f>HYPERLINK("https%3A%2F%2Fwww.webofscience.com%2Fwos%2Fwoscc%2Ffull-record%2FWOS:000309038100022","View Full Record in Web of Science")</f>
        <v>View Full Record in Web of Science</v>
      </c>
    </row>
    <row r="914" spans="1:72" x14ac:dyDescent="0.2">
      <c r="A914" t="s">
        <v>72</v>
      </c>
      <c r="B914" t="s">
        <v>7899</v>
      </c>
      <c r="C914" t="s">
        <v>74</v>
      </c>
      <c r="D914" t="s">
        <v>74</v>
      </c>
      <c r="E914" t="s">
        <v>74</v>
      </c>
      <c r="F914" t="s">
        <v>7900</v>
      </c>
      <c r="G914" t="s">
        <v>74</v>
      </c>
      <c r="H914" t="s">
        <v>74</v>
      </c>
      <c r="I914" t="s">
        <v>7901</v>
      </c>
      <c r="J914" t="s">
        <v>7902</v>
      </c>
      <c r="K914" t="s">
        <v>74</v>
      </c>
      <c r="L914" t="s">
        <v>74</v>
      </c>
      <c r="M914" t="s">
        <v>74</v>
      </c>
      <c r="N914" t="s">
        <v>74</v>
      </c>
      <c r="O914" t="s">
        <v>74</v>
      </c>
      <c r="P914" t="s">
        <v>74</v>
      </c>
      <c r="Q914" t="s">
        <v>74</v>
      </c>
      <c r="R914" t="s">
        <v>74</v>
      </c>
      <c r="S914" t="s">
        <v>74</v>
      </c>
      <c r="T914" t="s">
        <v>74</v>
      </c>
      <c r="U914" t="s">
        <v>74</v>
      </c>
      <c r="V914" t="s">
        <v>7903</v>
      </c>
      <c r="W914" t="s">
        <v>74</v>
      </c>
      <c r="X914" t="s">
        <v>74</v>
      </c>
      <c r="Y914" t="s">
        <v>74</v>
      </c>
      <c r="Z914" t="s">
        <v>74</v>
      </c>
      <c r="AA914" t="s">
        <v>6914</v>
      </c>
      <c r="AB914" t="s">
        <v>6915</v>
      </c>
      <c r="AC914" t="s">
        <v>74</v>
      </c>
      <c r="AD914" t="s">
        <v>74</v>
      </c>
      <c r="AE914" t="s">
        <v>74</v>
      </c>
      <c r="AF914" t="s">
        <v>74</v>
      </c>
      <c r="AG914" t="s">
        <v>74</v>
      </c>
      <c r="AH914" t="s">
        <v>74</v>
      </c>
      <c r="AI914" t="s">
        <v>74</v>
      </c>
      <c r="AJ914" t="s">
        <v>74</v>
      </c>
      <c r="AK914" t="s">
        <v>74</v>
      </c>
      <c r="AL914" t="s">
        <v>74</v>
      </c>
      <c r="AM914" t="s">
        <v>74</v>
      </c>
      <c r="AN914" t="s">
        <v>74</v>
      </c>
      <c r="AO914" t="s">
        <v>7904</v>
      </c>
      <c r="AP914" t="s">
        <v>7905</v>
      </c>
      <c r="AQ914" t="s">
        <v>74</v>
      </c>
      <c r="AR914" t="s">
        <v>74</v>
      </c>
      <c r="AS914" t="s">
        <v>74</v>
      </c>
      <c r="AT914" t="s">
        <v>92</v>
      </c>
      <c r="AU914">
        <v>2012</v>
      </c>
      <c r="AV914">
        <v>67</v>
      </c>
      <c r="AW914">
        <v>11</v>
      </c>
      <c r="AX914" t="s">
        <v>74</v>
      </c>
      <c r="AY914" t="s">
        <v>74</v>
      </c>
      <c r="AZ914" t="s">
        <v>74</v>
      </c>
      <c r="BA914" t="s">
        <v>74</v>
      </c>
      <c r="BB914">
        <v>1212</v>
      </c>
      <c r="BC914">
        <v>1220</v>
      </c>
      <c r="BD914" t="s">
        <v>74</v>
      </c>
      <c r="BE914" t="s">
        <v>7906</v>
      </c>
      <c r="BF914" t="str">
        <f>HYPERLINK("http://dx.doi.org/10.5560/ZNB.2012-0223","http://dx.doi.org/10.5560/ZNB.2012-0223")</f>
        <v>http://dx.doi.org/10.5560/ZNB.2012-0223</v>
      </c>
      <c r="BG914" t="s">
        <v>74</v>
      </c>
      <c r="BH914" t="s">
        <v>74</v>
      </c>
      <c r="BI914" t="s">
        <v>74</v>
      </c>
      <c r="BJ914" t="s">
        <v>74</v>
      </c>
      <c r="BK914" t="s">
        <v>74</v>
      </c>
      <c r="BL914" t="s">
        <v>74</v>
      </c>
      <c r="BM914" t="s">
        <v>74</v>
      </c>
      <c r="BN914" t="s">
        <v>74</v>
      </c>
      <c r="BO914" t="s">
        <v>74</v>
      </c>
      <c r="BP914" t="s">
        <v>74</v>
      </c>
      <c r="BQ914" t="s">
        <v>74</v>
      </c>
      <c r="BR914" t="s">
        <v>74</v>
      </c>
      <c r="BS914" t="s">
        <v>7907</v>
      </c>
      <c r="BT914" t="str">
        <f>HYPERLINK("https%3A%2F%2Fwww.webofscience.com%2Fwos%2Fwoscc%2Ffull-record%2FWOS:000313533500014","View Full Record in Web of Science")</f>
        <v>View Full Record in Web of Science</v>
      </c>
    </row>
    <row r="915" spans="1:72" x14ac:dyDescent="0.2">
      <c r="A915" t="s">
        <v>72</v>
      </c>
      <c r="B915" t="s">
        <v>7908</v>
      </c>
      <c r="C915" t="s">
        <v>74</v>
      </c>
      <c r="D915" t="s">
        <v>74</v>
      </c>
      <c r="E915" t="s">
        <v>74</v>
      </c>
      <c r="F915" t="s">
        <v>7909</v>
      </c>
      <c r="G915" t="s">
        <v>74</v>
      </c>
      <c r="H915" t="s">
        <v>74</v>
      </c>
      <c r="I915" t="s">
        <v>7910</v>
      </c>
      <c r="J915" t="s">
        <v>665</v>
      </c>
      <c r="K915" t="s">
        <v>74</v>
      </c>
      <c r="L915" t="s">
        <v>74</v>
      </c>
      <c r="M915" t="s">
        <v>74</v>
      </c>
      <c r="N915" t="s">
        <v>74</v>
      </c>
      <c r="O915" t="s">
        <v>74</v>
      </c>
      <c r="P915" t="s">
        <v>74</v>
      </c>
      <c r="Q915" t="s">
        <v>74</v>
      </c>
      <c r="R915" t="s">
        <v>74</v>
      </c>
      <c r="S915" t="s">
        <v>74</v>
      </c>
      <c r="T915" t="s">
        <v>74</v>
      </c>
      <c r="U915" t="s">
        <v>74</v>
      </c>
      <c r="V915" t="s">
        <v>7911</v>
      </c>
      <c r="W915" t="s">
        <v>74</v>
      </c>
      <c r="X915" t="s">
        <v>74</v>
      </c>
      <c r="Y915" t="s">
        <v>74</v>
      </c>
      <c r="Z915" t="s">
        <v>74</v>
      </c>
      <c r="AA915" t="s">
        <v>7912</v>
      </c>
      <c r="AB915" t="s">
        <v>7913</v>
      </c>
      <c r="AC915" t="s">
        <v>74</v>
      </c>
      <c r="AD915" t="s">
        <v>74</v>
      </c>
      <c r="AE915" t="s">
        <v>74</v>
      </c>
      <c r="AF915" t="s">
        <v>74</v>
      </c>
      <c r="AG915" t="s">
        <v>74</v>
      </c>
      <c r="AH915" t="s">
        <v>74</v>
      </c>
      <c r="AI915" t="s">
        <v>74</v>
      </c>
      <c r="AJ915" t="s">
        <v>74</v>
      </c>
      <c r="AK915" t="s">
        <v>74</v>
      </c>
      <c r="AL915" t="s">
        <v>74</v>
      </c>
      <c r="AM915" t="s">
        <v>74</v>
      </c>
      <c r="AN915" t="s">
        <v>74</v>
      </c>
      <c r="AO915" t="s">
        <v>668</v>
      </c>
      <c r="AP915" t="s">
        <v>669</v>
      </c>
      <c r="AQ915" t="s">
        <v>74</v>
      </c>
      <c r="AR915" t="s">
        <v>74</v>
      </c>
      <c r="AS915" t="s">
        <v>74</v>
      </c>
      <c r="AT915" t="s">
        <v>103</v>
      </c>
      <c r="AU915">
        <v>2012</v>
      </c>
      <c r="AV915">
        <v>226</v>
      </c>
      <c r="AW915" t="s">
        <v>74</v>
      </c>
      <c r="AX915" t="s">
        <v>74</v>
      </c>
      <c r="AY915" t="s">
        <v>74</v>
      </c>
      <c r="AZ915" t="s">
        <v>74</v>
      </c>
      <c r="BA915" t="s">
        <v>74</v>
      </c>
      <c r="BB915">
        <v>1</v>
      </c>
      <c r="BC915">
        <v>6</v>
      </c>
      <c r="BD915" t="s">
        <v>74</v>
      </c>
      <c r="BE915" t="s">
        <v>7914</v>
      </c>
      <c r="BF915" t="str">
        <f>HYPERLINK("http://dx.doi.org/10.1016/j.ssi.2012.07.013","http://dx.doi.org/10.1016/j.ssi.2012.07.013")</f>
        <v>http://dx.doi.org/10.1016/j.ssi.2012.07.013</v>
      </c>
      <c r="BG915" t="s">
        <v>74</v>
      </c>
      <c r="BH915" t="s">
        <v>74</v>
      </c>
      <c r="BI915" t="s">
        <v>74</v>
      </c>
      <c r="BJ915" t="s">
        <v>74</v>
      </c>
      <c r="BK915" t="s">
        <v>74</v>
      </c>
      <c r="BL915" t="s">
        <v>74</v>
      </c>
      <c r="BM915" t="s">
        <v>74</v>
      </c>
      <c r="BN915" t="s">
        <v>74</v>
      </c>
      <c r="BO915" t="s">
        <v>74</v>
      </c>
      <c r="BP915" t="s">
        <v>74</v>
      </c>
      <c r="BQ915" t="s">
        <v>74</v>
      </c>
      <c r="BR915" t="s">
        <v>74</v>
      </c>
      <c r="BS915" t="s">
        <v>7915</v>
      </c>
      <c r="BT915" t="str">
        <f>HYPERLINK("https%3A%2F%2Fwww.webofscience.com%2Fwos%2Fwoscc%2Ffull-record%2FWOS:000311179900001","View Full Record in Web of Science")</f>
        <v>View Full Record in Web of Science</v>
      </c>
    </row>
    <row r="916" spans="1:72" x14ac:dyDescent="0.2">
      <c r="A916" t="s">
        <v>72</v>
      </c>
      <c r="B916" t="s">
        <v>7916</v>
      </c>
      <c r="C916" t="s">
        <v>74</v>
      </c>
      <c r="D916" t="s">
        <v>74</v>
      </c>
      <c r="E916" t="s">
        <v>74</v>
      </c>
      <c r="F916" t="s">
        <v>7917</v>
      </c>
      <c r="G916" t="s">
        <v>74</v>
      </c>
      <c r="H916" t="s">
        <v>74</v>
      </c>
      <c r="I916" t="s">
        <v>7918</v>
      </c>
      <c r="J916" t="s">
        <v>895</v>
      </c>
      <c r="K916" t="s">
        <v>74</v>
      </c>
      <c r="L916" t="s">
        <v>74</v>
      </c>
      <c r="M916" t="s">
        <v>74</v>
      </c>
      <c r="N916" t="s">
        <v>74</v>
      </c>
      <c r="O916" t="s">
        <v>74</v>
      </c>
      <c r="P916" t="s">
        <v>74</v>
      </c>
      <c r="Q916" t="s">
        <v>74</v>
      </c>
      <c r="R916" t="s">
        <v>74</v>
      </c>
      <c r="S916" t="s">
        <v>74</v>
      </c>
      <c r="T916" t="s">
        <v>74</v>
      </c>
      <c r="U916" t="s">
        <v>74</v>
      </c>
      <c r="V916" t="s">
        <v>7919</v>
      </c>
      <c r="W916" t="s">
        <v>74</v>
      </c>
      <c r="X916" t="s">
        <v>74</v>
      </c>
      <c r="Y916" t="s">
        <v>74</v>
      </c>
      <c r="Z916" t="s">
        <v>74</v>
      </c>
      <c r="AA916" t="s">
        <v>7920</v>
      </c>
      <c r="AB916" t="s">
        <v>74</v>
      </c>
      <c r="AC916" t="s">
        <v>74</v>
      </c>
      <c r="AD916" t="s">
        <v>74</v>
      </c>
      <c r="AE916" t="s">
        <v>74</v>
      </c>
      <c r="AF916" t="s">
        <v>74</v>
      </c>
      <c r="AG916" t="s">
        <v>74</v>
      </c>
      <c r="AH916" t="s">
        <v>74</v>
      </c>
      <c r="AI916" t="s">
        <v>74</v>
      </c>
      <c r="AJ916" t="s">
        <v>74</v>
      </c>
      <c r="AK916" t="s">
        <v>74</v>
      </c>
      <c r="AL916" t="s">
        <v>74</v>
      </c>
      <c r="AM916" t="s">
        <v>74</v>
      </c>
      <c r="AN916" t="s">
        <v>74</v>
      </c>
      <c r="AO916" t="s">
        <v>899</v>
      </c>
      <c r="AP916" t="s">
        <v>74</v>
      </c>
      <c r="AQ916" t="s">
        <v>74</v>
      </c>
      <c r="AR916" t="s">
        <v>74</v>
      </c>
      <c r="AS916" t="s">
        <v>74</v>
      </c>
      <c r="AT916" t="s">
        <v>113</v>
      </c>
      <c r="AU916">
        <v>2012</v>
      </c>
      <c r="AV916">
        <v>5</v>
      </c>
      <c r="AW916">
        <v>10</v>
      </c>
      <c r="AX916" t="s">
        <v>74</v>
      </c>
      <c r="AY916" t="s">
        <v>74</v>
      </c>
      <c r="AZ916" t="s">
        <v>74</v>
      </c>
      <c r="BA916" t="s">
        <v>74</v>
      </c>
      <c r="BB916">
        <v>9100</v>
      </c>
      <c r="BC916">
        <v>9106</v>
      </c>
      <c r="BD916" t="s">
        <v>74</v>
      </c>
      <c r="BE916" t="s">
        <v>7921</v>
      </c>
      <c r="BF916" t="str">
        <f>HYPERLINK("http://dx.doi.org/10.1039/c2ee22509c","http://dx.doi.org/10.1039/c2ee22509c")</f>
        <v>http://dx.doi.org/10.1039/c2ee22509c</v>
      </c>
      <c r="BG916" t="s">
        <v>74</v>
      </c>
      <c r="BH916" t="s">
        <v>74</v>
      </c>
      <c r="BI916" t="s">
        <v>74</v>
      </c>
      <c r="BJ916" t="s">
        <v>74</v>
      </c>
      <c r="BK916" t="s">
        <v>74</v>
      </c>
      <c r="BL916" t="s">
        <v>74</v>
      </c>
      <c r="BM916" t="s">
        <v>74</v>
      </c>
      <c r="BN916" t="s">
        <v>74</v>
      </c>
      <c r="BO916" t="s">
        <v>74</v>
      </c>
      <c r="BP916" t="s">
        <v>74</v>
      </c>
      <c r="BQ916" t="s">
        <v>74</v>
      </c>
      <c r="BR916" t="s">
        <v>74</v>
      </c>
      <c r="BS916" t="s">
        <v>7922</v>
      </c>
      <c r="BT916" t="str">
        <f>HYPERLINK("https%3A%2F%2Fwww.webofscience.com%2Fwos%2Fwoscc%2Ffull-record%2FWOS:000308891200036","View Full Record in Web of Science")</f>
        <v>View Full Record in Web of Science</v>
      </c>
    </row>
    <row r="917" spans="1:72" x14ac:dyDescent="0.2">
      <c r="A917" t="s">
        <v>72</v>
      </c>
      <c r="B917" t="s">
        <v>7923</v>
      </c>
      <c r="C917" t="s">
        <v>74</v>
      </c>
      <c r="D917" t="s">
        <v>74</v>
      </c>
      <c r="E917" t="s">
        <v>74</v>
      </c>
      <c r="F917" t="s">
        <v>7924</v>
      </c>
      <c r="G917" t="s">
        <v>74</v>
      </c>
      <c r="H917" t="s">
        <v>74</v>
      </c>
      <c r="I917" t="s">
        <v>7925</v>
      </c>
      <c r="J917" t="s">
        <v>7823</v>
      </c>
      <c r="K917" t="s">
        <v>74</v>
      </c>
      <c r="L917" t="s">
        <v>74</v>
      </c>
      <c r="M917" t="s">
        <v>74</v>
      </c>
      <c r="N917" t="s">
        <v>74</v>
      </c>
      <c r="O917" t="s">
        <v>74</v>
      </c>
      <c r="P917" t="s">
        <v>74</v>
      </c>
      <c r="Q917" t="s">
        <v>74</v>
      </c>
      <c r="R917" t="s">
        <v>74</v>
      </c>
      <c r="S917" t="s">
        <v>74</v>
      </c>
      <c r="T917" t="s">
        <v>74</v>
      </c>
      <c r="U917" t="s">
        <v>74</v>
      </c>
      <c r="V917" t="s">
        <v>7926</v>
      </c>
      <c r="W917" t="s">
        <v>74</v>
      </c>
      <c r="X917" t="s">
        <v>74</v>
      </c>
      <c r="Y917" t="s">
        <v>74</v>
      </c>
      <c r="Z917" t="s">
        <v>74</v>
      </c>
      <c r="AA917" t="s">
        <v>74</v>
      </c>
      <c r="AB917" t="s">
        <v>74</v>
      </c>
      <c r="AC917" t="s">
        <v>74</v>
      </c>
      <c r="AD917" t="s">
        <v>74</v>
      </c>
      <c r="AE917" t="s">
        <v>74</v>
      </c>
      <c r="AF917" t="s">
        <v>74</v>
      </c>
      <c r="AG917" t="s">
        <v>74</v>
      </c>
      <c r="AH917" t="s">
        <v>74</v>
      </c>
      <c r="AI917" t="s">
        <v>74</v>
      </c>
      <c r="AJ917" t="s">
        <v>74</v>
      </c>
      <c r="AK917" t="s">
        <v>74</v>
      </c>
      <c r="AL917" t="s">
        <v>74</v>
      </c>
      <c r="AM917" t="s">
        <v>74</v>
      </c>
      <c r="AN917" t="s">
        <v>74</v>
      </c>
      <c r="AO917" t="s">
        <v>7827</v>
      </c>
      <c r="AP917" t="s">
        <v>74</v>
      </c>
      <c r="AQ917" t="s">
        <v>74</v>
      </c>
      <c r="AR917" t="s">
        <v>74</v>
      </c>
      <c r="AS917" t="s">
        <v>74</v>
      </c>
      <c r="AT917" t="s">
        <v>113</v>
      </c>
      <c r="AU917">
        <v>2012</v>
      </c>
      <c r="AV917">
        <v>7</v>
      </c>
      <c r="AW917">
        <v>10</v>
      </c>
      <c r="AX917" t="s">
        <v>74</v>
      </c>
      <c r="AY917" t="s">
        <v>74</v>
      </c>
      <c r="AZ917" t="s">
        <v>74</v>
      </c>
      <c r="BA917" t="s">
        <v>74</v>
      </c>
      <c r="BB917">
        <v>10142</v>
      </c>
      <c r="BC917">
        <v>10153</v>
      </c>
      <c r="BD917" t="s">
        <v>74</v>
      </c>
      <c r="BE917" t="s">
        <v>74</v>
      </c>
      <c r="BF917" t="s">
        <v>74</v>
      </c>
      <c r="BG917" t="s">
        <v>74</v>
      </c>
      <c r="BH917" t="s">
        <v>74</v>
      </c>
      <c r="BI917" t="s">
        <v>74</v>
      </c>
      <c r="BJ917" t="s">
        <v>74</v>
      </c>
      <c r="BK917" t="s">
        <v>74</v>
      </c>
      <c r="BL917" t="s">
        <v>74</v>
      </c>
      <c r="BM917" t="s">
        <v>74</v>
      </c>
      <c r="BN917" t="s">
        <v>74</v>
      </c>
      <c r="BO917" t="s">
        <v>74</v>
      </c>
      <c r="BP917" t="s">
        <v>74</v>
      </c>
      <c r="BQ917" t="s">
        <v>74</v>
      </c>
      <c r="BR917" t="s">
        <v>74</v>
      </c>
      <c r="BS917" t="s">
        <v>7927</v>
      </c>
      <c r="BT917" t="str">
        <f>HYPERLINK("https%3A%2F%2Fwww.webofscience.com%2Fwos%2Fwoscc%2Ffull-record%2FWOS:000312933600087","View Full Record in Web of Science")</f>
        <v>View Full Record in Web of Science</v>
      </c>
    </row>
    <row r="918" spans="1:72" x14ac:dyDescent="0.2">
      <c r="A918" t="s">
        <v>72</v>
      </c>
      <c r="B918" t="s">
        <v>7928</v>
      </c>
      <c r="C918" t="s">
        <v>74</v>
      </c>
      <c r="D918" t="s">
        <v>74</v>
      </c>
      <c r="E918" t="s">
        <v>74</v>
      </c>
      <c r="F918" t="s">
        <v>7929</v>
      </c>
      <c r="G918" t="s">
        <v>74</v>
      </c>
      <c r="H918" t="s">
        <v>74</v>
      </c>
      <c r="I918" t="s">
        <v>7930</v>
      </c>
      <c r="J918" t="s">
        <v>498</v>
      </c>
      <c r="K918" t="s">
        <v>74</v>
      </c>
      <c r="L918" t="s">
        <v>74</v>
      </c>
      <c r="M918" t="s">
        <v>74</v>
      </c>
      <c r="N918" t="s">
        <v>74</v>
      </c>
      <c r="O918" t="s">
        <v>74</v>
      </c>
      <c r="P918" t="s">
        <v>74</v>
      </c>
      <c r="Q918" t="s">
        <v>74</v>
      </c>
      <c r="R918" t="s">
        <v>74</v>
      </c>
      <c r="S918" t="s">
        <v>74</v>
      </c>
      <c r="T918" t="s">
        <v>74</v>
      </c>
      <c r="U918" t="s">
        <v>74</v>
      </c>
      <c r="V918" t="s">
        <v>7931</v>
      </c>
      <c r="W918" t="s">
        <v>74</v>
      </c>
      <c r="X918" t="s">
        <v>74</v>
      </c>
      <c r="Y918" t="s">
        <v>74</v>
      </c>
      <c r="Z918" t="s">
        <v>74</v>
      </c>
      <c r="AA918" t="s">
        <v>7932</v>
      </c>
      <c r="AB918" t="s">
        <v>7933</v>
      </c>
      <c r="AC918" t="s">
        <v>74</v>
      </c>
      <c r="AD918" t="s">
        <v>74</v>
      </c>
      <c r="AE918" t="s">
        <v>74</v>
      </c>
      <c r="AF918" t="s">
        <v>74</v>
      </c>
      <c r="AG918" t="s">
        <v>74</v>
      </c>
      <c r="AH918" t="s">
        <v>74</v>
      </c>
      <c r="AI918" t="s">
        <v>74</v>
      </c>
      <c r="AJ918" t="s">
        <v>74</v>
      </c>
      <c r="AK918" t="s">
        <v>74</v>
      </c>
      <c r="AL918" t="s">
        <v>74</v>
      </c>
      <c r="AM918" t="s">
        <v>74</v>
      </c>
      <c r="AN918" t="s">
        <v>74</v>
      </c>
      <c r="AO918" t="s">
        <v>502</v>
      </c>
      <c r="AP918" t="s">
        <v>503</v>
      </c>
      <c r="AQ918" t="s">
        <v>74</v>
      </c>
      <c r="AR918" t="s">
        <v>74</v>
      </c>
      <c r="AS918" t="s">
        <v>74</v>
      </c>
      <c r="AT918" t="s">
        <v>4514</v>
      </c>
      <c r="AU918">
        <v>2012</v>
      </c>
      <c r="AV918">
        <v>116</v>
      </c>
      <c r="AW918">
        <v>35</v>
      </c>
      <c r="AX918" t="s">
        <v>74</v>
      </c>
      <c r="AY918" t="s">
        <v>74</v>
      </c>
      <c r="AZ918" t="s">
        <v>74</v>
      </c>
      <c r="BA918" t="s">
        <v>74</v>
      </c>
      <c r="BB918">
        <v>18597</v>
      </c>
      <c r="BC918">
        <v>18604</v>
      </c>
      <c r="BD918" t="s">
        <v>74</v>
      </c>
      <c r="BE918" t="s">
        <v>7934</v>
      </c>
      <c r="BF918" t="str">
        <f>HYPERLINK("http://dx.doi.org/10.1021/jp303691m","http://dx.doi.org/10.1021/jp303691m")</f>
        <v>http://dx.doi.org/10.1021/jp303691m</v>
      </c>
      <c r="BG918" t="s">
        <v>74</v>
      </c>
      <c r="BH918" t="s">
        <v>74</v>
      </c>
      <c r="BI918" t="s">
        <v>74</v>
      </c>
      <c r="BJ918" t="s">
        <v>74</v>
      </c>
      <c r="BK918" t="s">
        <v>74</v>
      </c>
      <c r="BL918" t="s">
        <v>74</v>
      </c>
      <c r="BM918" t="s">
        <v>74</v>
      </c>
      <c r="BN918" t="s">
        <v>74</v>
      </c>
      <c r="BO918" t="s">
        <v>74</v>
      </c>
      <c r="BP918" t="s">
        <v>74</v>
      </c>
      <c r="BQ918" t="s">
        <v>74</v>
      </c>
      <c r="BR918" t="s">
        <v>74</v>
      </c>
      <c r="BS918" t="s">
        <v>7935</v>
      </c>
      <c r="BT918" t="str">
        <f>HYPERLINK("https%3A%2F%2Fwww.webofscience.com%2Fwos%2Fwoscc%2Ffull-record%2FWOS:000308339600004","View Full Record in Web of Science")</f>
        <v>View Full Record in Web of Science</v>
      </c>
    </row>
    <row r="919" spans="1:72" x14ac:dyDescent="0.2">
      <c r="A919" t="s">
        <v>72</v>
      </c>
      <c r="B919" t="s">
        <v>7936</v>
      </c>
      <c r="C919" t="s">
        <v>74</v>
      </c>
      <c r="D919" t="s">
        <v>74</v>
      </c>
      <c r="E919" t="s">
        <v>74</v>
      </c>
      <c r="F919" t="s">
        <v>7937</v>
      </c>
      <c r="G919" t="s">
        <v>74</v>
      </c>
      <c r="H919" t="s">
        <v>74</v>
      </c>
      <c r="I919" t="s">
        <v>7938</v>
      </c>
      <c r="J919" t="s">
        <v>1256</v>
      </c>
      <c r="K919" t="s">
        <v>74</v>
      </c>
      <c r="L919" t="s">
        <v>74</v>
      </c>
      <c r="M919" t="s">
        <v>74</v>
      </c>
      <c r="N919" t="s">
        <v>74</v>
      </c>
      <c r="O919" t="s">
        <v>74</v>
      </c>
      <c r="P919" t="s">
        <v>74</v>
      </c>
      <c r="Q919" t="s">
        <v>74</v>
      </c>
      <c r="R919" t="s">
        <v>74</v>
      </c>
      <c r="S919" t="s">
        <v>74</v>
      </c>
      <c r="T919" t="s">
        <v>74</v>
      </c>
      <c r="U919" t="s">
        <v>74</v>
      </c>
      <c r="V919" t="s">
        <v>7939</v>
      </c>
      <c r="W919" t="s">
        <v>74</v>
      </c>
      <c r="X919" t="s">
        <v>74</v>
      </c>
      <c r="Y919" t="s">
        <v>74</v>
      </c>
      <c r="Z919" t="s">
        <v>74</v>
      </c>
      <c r="AA919" t="s">
        <v>7940</v>
      </c>
      <c r="AB919" t="s">
        <v>7941</v>
      </c>
      <c r="AC919" t="s">
        <v>74</v>
      </c>
      <c r="AD919" t="s">
        <v>74</v>
      </c>
      <c r="AE919" t="s">
        <v>74</v>
      </c>
      <c r="AF919" t="s">
        <v>74</v>
      </c>
      <c r="AG919" t="s">
        <v>74</v>
      </c>
      <c r="AH919" t="s">
        <v>74</v>
      </c>
      <c r="AI919" t="s">
        <v>74</v>
      </c>
      <c r="AJ919" t="s">
        <v>74</v>
      </c>
      <c r="AK919" t="s">
        <v>74</v>
      </c>
      <c r="AL919" t="s">
        <v>74</v>
      </c>
      <c r="AM919" t="s">
        <v>74</v>
      </c>
      <c r="AN919" t="s">
        <v>74</v>
      </c>
      <c r="AO919" t="s">
        <v>1258</v>
      </c>
      <c r="AP919" t="s">
        <v>1259</v>
      </c>
      <c r="AQ919" t="s">
        <v>74</v>
      </c>
      <c r="AR919" t="s">
        <v>74</v>
      </c>
      <c r="AS919" t="s">
        <v>74</v>
      </c>
      <c r="AT919" t="s">
        <v>865</v>
      </c>
      <c r="AU919">
        <v>2012</v>
      </c>
      <c r="AV919">
        <v>77</v>
      </c>
      <c r="AW919" t="s">
        <v>74</v>
      </c>
      <c r="AX919" t="s">
        <v>74</v>
      </c>
      <c r="AY919" t="s">
        <v>74</v>
      </c>
      <c r="AZ919" t="s">
        <v>74</v>
      </c>
      <c r="BA919" t="s">
        <v>74</v>
      </c>
      <c r="BB919">
        <v>111</v>
      </c>
      <c r="BC919">
        <v>120</v>
      </c>
      <c r="BD919" t="s">
        <v>74</v>
      </c>
      <c r="BE919" t="s">
        <v>7942</v>
      </c>
      <c r="BF919" t="str">
        <f>HYPERLINK("http://dx.doi.org/10.1016/j.electacta.2012.05.080","http://dx.doi.org/10.1016/j.electacta.2012.05.080")</f>
        <v>http://dx.doi.org/10.1016/j.electacta.2012.05.080</v>
      </c>
      <c r="BG919" t="s">
        <v>74</v>
      </c>
      <c r="BH919" t="s">
        <v>74</v>
      </c>
      <c r="BI919" t="s">
        <v>74</v>
      </c>
      <c r="BJ919" t="s">
        <v>74</v>
      </c>
      <c r="BK919" t="s">
        <v>74</v>
      </c>
      <c r="BL919" t="s">
        <v>74</v>
      </c>
      <c r="BM919" t="s">
        <v>74</v>
      </c>
      <c r="BN919" t="s">
        <v>74</v>
      </c>
      <c r="BO919" t="s">
        <v>74</v>
      </c>
      <c r="BP919" t="s">
        <v>74</v>
      </c>
      <c r="BQ919" t="s">
        <v>74</v>
      </c>
      <c r="BR919" t="s">
        <v>74</v>
      </c>
      <c r="BS919" t="s">
        <v>7943</v>
      </c>
      <c r="BT919" t="str">
        <f>HYPERLINK("https%3A%2F%2Fwww.webofscience.com%2Fwos%2Fwoscc%2Ffull-record%2FWOS:000307131300017","View Full Record in Web of Science")</f>
        <v>View Full Record in Web of Science</v>
      </c>
    </row>
    <row r="920" spans="1:72" x14ac:dyDescent="0.2">
      <c r="A920" t="s">
        <v>72</v>
      </c>
      <c r="B920" t="s">
        <v>7944</v>
      </c>
      <c r="C920" t="s">
        <v>74</v>
      </c>
      <c r="D920" t="s">
        <v>74</v>
      </c>
      <c r="E920" t="s">
        <v>74</v>
      </c>
      <c r="F920" t="s">
        <v>7945</v>
      </c>
      <c r="G920" t="s">
        <v>74</v>
      </c>
      <c r="H920" t="s">
        <v>74</v>
      </c>
      <c r="I920" t="s">
        <v>7946</v>
      </c>
      <c r="J920" t="s">
        <v>654</v>
      </c>
      <c r="K920" t="s">
        <v>74</v>
      </c>
      <c r="L920" t="s">
        <v>74</v>
      </c>
      <c r="M920" t="s">
        <v>74</v>
      </c>
      <c r="N920" t="s">
        <v>74</v>
      </c>
      <c r="O920" t="s">
        <v>74</v>
      </c>
      <c r="P920" t="s">
        <v>74</v>
      </c>
      <c r="Q920" t="s">
        <v>74</v>
      </c>
      <c r="R920" t="s">
        <v>74</v>
      </c>
      <c r="S920" t="s">
        <v>74</v>
      </c>
      <c r="T920" t="s">
        <v>74</v>
      </c>
      <c r="U920" t="s">
        <v>74</v>
      </c>
      <c r="V920" t="s">
        <v>7947</v>
      </c>
      <c r="W920" t="s">
        <v>74</v>
      </c>
      <c r="X920" t="s">
        <v>74</v>
      </c>
      <c r="Y920" t="s">
        <v>74</v>
      </c>
      <c r="Z920" t="s">
        <v>74</v>
      </c>
      <c r="AA920" t="s">
        <v>7948</v>
      </c>
      <c r="AB920" t="s">
        <v>7949</v>
      </c>
      <c r="AC920" t="s">
        <v>74</v>
      </c>
      <c r="AD920" t="s">
        <v>74</v>
      </c>
      <c r="AE920" t="s">
        <v>74</v>
      </c>
      <c r="AF920" t="s">
        <v>74</v>
      </c>
      <c r="AG920" t="s">
        <v>74</v>
      </c>
      <c r="AH920" t="s">
        <v>74</v>
      </c>
      <c r="AI920" t="s">
        <v>74</v>
      </c>
      <c r="AJ920" t="s">
        <v>74</v>
      </c>
      <c r="AK920" t="s">
        <v>74</v>
      </c>
      <c r="AL920" t="s">
        <v>74</v>
      </c>
      <c r="AM920" t="s">
        <v>74</v>
      </c>
      <c r="AN920" t="s">
        <v>74</v>
      </c>
      <c r="AO920" t="s">
        <v>657</v>
      </c>
      <c r="AP920" t="s">
        <v>658</v>
      </c>
      <c r="AQ920" t="s">
        <v>74</v>
      </c>
      <c r="AR920" t="s">
        <v>74</v>
      </c>
      <c r="AS920" t="s">
        <v>74</v>
      </c>
      <c r="AT920" t="s">
        <v>629</v>
      </c>
      <c r="AU920">
        <v>2012</v>
      </c>
      <c r="AV920">
        <v>12</v>
      </c>
      <c r="AW920">
        <v>8</v>
      </c>
      <c r="AX920" t="s">
        <v>74</v>
      </c>
      <c r="AY920" t="s">
        <v>74</v>
      </c>
      <c r="AZ920" t="s">
        <v>74</v>
      </c>
      <c r="BA920" t="s">
        <v>74</v>
      </c>
      <c r="BB920">
        <v>4124</v>
      </c>
      <c r="BC920">
        <v>4130</v>
      </c>
      <c r="BD920" t="s">
        <v>74</v>
      </c>
      <c r="BE920" t="s">
        <v>7950</v>
      </c>
      <c r="BF920" t="str">
        <f>HYPERLINK("http://dx.doi.org/10.1021/nl301657y","http://dx.doi.org/10.1021/nl301657y")</f>
        <v>http://dx.doi.org/10.1021/nl301657y</v>
      </c>
      <c r="BG920" t="s">
        <v>74</v>
      </c>
      <c r="BH920" t="s">
        <v>74</v>
      </c>
      <c r="BI920" t="s">
        <v>74</v>
      </c>
      <c r="BJ920" t="s">
        <v>74</v>
      </c>
      <c r="BK920" t="s">
        <v>74</v>
      </c>
      <c r="BL920" t="s">
        <v>74</v>
      </c>
      <c r="BM920" t="s">
        <v>74</v>
      </c>
      <c r="BN920">
        <v>22800407</v>
      </c>
      <c r="BO920" t="s">
        <v>74</v>
      </c>
      <c r="BP920" t="s">
        <v>74</v>
      </c>
      <c r="BQ920" t="s">
        <v>74</v>
      </c>
      <c r="BR920" t="s">
        <v>74</v>
      </c>
      <c r="BS920" t="s">
        <v>7951</v>
      </c>
      <c r="BT920" t="str">
        <f>HYPERLINK("https%3A%2F%2Fwww.webofscience.com%2Fwos%2Fwoscc%2Ffull-record%2FWOS:000307211000041","View Full Record in Web of Science")</f>
        <v>View Full Record in Web of Science</v>
      </c>
    </row>
    <row r="921" spans="1:72" x14ac:dyDescent="0.2">
      <c r="A921" t="s">
        <v>72</v>
      </c>
      <c r="B921" t="s">
        <v>7952</v>
      </c>
      <c r="C921" t="s">
        <v>74</v>
      </c>
      <c r="D921" t="s">
        <v>74</v>
      </c>
      <c r="E921" t="s">
        <v>74</v>
      </c>
      <c r="F921" t="s">
        <v>7953</v>
      </c>
      <c r="G921" t="s">
        <v>74</v>
      </c>
      <c r="H921" t="s">
        <v>74</v>
      </c>
      <c r="I921" t="s">
        <v>7954</v>
      </c>
      <c r="J921" t="s">
        <v>7955</v>
      </c>
      <c r="K921" t="s">
        <v>74</v>
      </c>
      <c r="L921" t="s">
        <v>74</v>
      </c>
      <c r="M921" t="s">
        <v>74</v>
      </c>
      <c r="N921" t="s">
        <v>74</v>
      </c>
      <c r="O921" t="s">
        <v>74</v>
      </c>
      <c r="P921" t="s">
        <v>74</v>
      </c>
      <c r="Q921" t="s">
        <v>74</v>
      </c>
      <c r="R921" t="s">
        <v>74</v>
      </c>
      <c r="S921" t="s">
        <v>74</v>
      </c>
      <c r="T921" t="s">
        <v>74</v>
      </c>
      <c r="U921" t="s">
        <v>74</v>
      </c>
      <c r="V921" t="s">
        <v>7956</v>
      </c>
      <c r="W921" t="s">
        <v>74</v>
      </c>
      <c r="X921" t="s">
        <v>74</v>
      </c>
      <c r="Y921" t="s">
        <v>74</v>
      </c>
      <c r="Z921" t="s">
        <v>74</v>
      </c>
      <c r="AA921" t="s">
        <v>7957</v>
      </c>
      <c r="AB921" t="s">
        <v>7958</v>
      </c>
      <c r="AC921" t="s">
        <v>74</v>
      </c>
      <c r="AD921" t="s">
        <v>74</v>
      </c>
      <c r="AE921" t="s">
        <v>74</v>
      </c>
      <c r="AF921" t="s">
        <v>74</v>
      </c>
      <c r="AG921" t="s">
        <v>74</v>
      </c>
      <c r="AH921" t="s">
        <v>74</v>
      </c>
      <c r="AI921" t="s">
        <v>74</v>
      </c>
      <c r="AJ921" t="s">
        <v>74</v>
      </c>
      <c r="AK921" t="s">
        <v>74</v>
      </c>
      <c r="AL921" t="s">
        <v>74</v>
      </c>
      <c r="AM921" t="s">
        <v>74</v>
      </c>
      <c r="AN921" t="s">
        <v>74</v>
      </c>
      <c r="AO921" t="s">
        <v>7959</v>
      </c>
      <c r="AP921" t="s">
        <v>7960</v>
      </c>
      <c r="AQ921" t="s">
        <v>74</v>
      </c>
      <c r="AR921" t="s">
        <v>74</v>
      </c>
      <c r="AS921" t="s">
        <v>74</v>
      </c>
      <c r="AT921" t="s">
        <v>7961</v>
      </c>
      <c r="AU921">
        <v>2012</v>
      </c>
      <c r="AV921">
        <v>85</v>
      </c>
      <c r="AW921">
        <v>19</v>
      </c>
      <c r="AX921" t="s">
        <v>74</v>
      </c>
      <c r="AY921" t="s">
        <v>74</v>
      </c>
      <c r="AZ921" t="s">
        <v>74</v>
      </c>
      <c r="BA921" t="s">
        <v>74</v>
      </c>
      <c r="BB921" t="s">
        <v>74</v>
      </c>
      <c r="BC921" t="s">
        <v>74</v>
      </c>
      <c r="BD921">
        <v>195415</v>
      </c>
      <c r="BE921" t="s">
        <v>7962</v>
      </c>
      <c r="BF921" t="str">
        <f>HYPERLINK("http://dx.doi.org/10.1103/PhysRevB.85.195415","http://dx.doi.org/10.1103/PhysRevB.85.195415")</f>
        <v>http://dx.doi.org/10.1103/PhysRevB.85.195415</v>
      </c>
      <c r="BG921" t="s">
        <v>74</v>
      </c>
      <c r="BH921" t="s">
        <v>74</v>
      </c>
      <c r="BI921" t="s">
        <v>74</v>
      </c>
      <c r="BJ921" t="s">
        <v>74</v>
      </c>
      <c r="BK921" t="s">
        <v>74</v>
      </c>
      <c r="BL921" t="s">
        <v>74</v>
      </c>
      <c r="BM921" t="s">
        <v>74</v>
      </c>
      <c r="BN921" t="s">
        <v>74</v>
      </c>
      <c r="BO921" t="s">
        <v>74</v>
      </c>
      <c r="BP921" t="s">
        <v>74</v>
      </c>
      <c r="BQ921" t="s">
        <v>74</v>
      </c>
      <c r="BR921" t="s">
        <v>74</v>
      </c>
      <c r="BS921" t="s">
        <v>7963</v>
      </c>
      <c r="BT921" t="str">
        <f>HYPERLINK("https%3A%2F%2Fwww.webofscience.com%2Fwos%2Fwoscc%2Ffull-record%2FWOS:000303794600007","View Full Record in Web of Science")</f>
        <v>View Full Record in Web of Science</v>
      </c>
    </row>
    <row r="922" spans="1:72" x14ac:dyDescent="0.2">
      <c r="A922" t="s">
        <v>72</v>
      </c>
      <c r="B922" t="s">
        <v>7595</v>
      </c>
      <c r="C922" t="s">
        <v>74</v>
      </c>
      <c r="D922" t="s">
        <v>74</v>
      </c>
      <c r="E922" t="s">
        <v>74</v>
      </c>
      <c r="F922" t="s">
        <v>7596</v>
      </c>
      <c r="G922" t="s">
        <v>74</v>
      </c>
      <c r="H922" t="s">
        <v>74</v>
      </c>
      <c r="I922" t="s">
        <v>7964</v>
      </c>
      <c r="J922" t="s">
        <v>845</v>
      </c>
      <c r="K922" t="s">
        <v>74</v>
      </c>
      <c r="L922" t="s">
        <v>74</v>
      </c>
      <c r="M922" t="s">
        <v>74</v>
      </c>
      <c r="N922" t="s">
        <v>74</v>
      </c>
      <c r="O922" t="s">
        <v>74</v>
      </c>
      <c r="P922" t="s">
        <v>74</v>
      </c>
      <c r="Q922" t="s">
        <v>74</v>
      </c>
      <c r="R922" t="s">
        <v>74</v>
      </c>
      <c r="S922" t="s">
        <v>74</v>
      </c>
      <c r="T922" t="s">
        <v>74</v>
      </c>
      <c r="U922" t="s">
        <v>74</v>
      </c>
      <c r="V922" t="s">
        <v>7965</v>
      </c>
      <c r="W922" t="s">
        <v>74</v>
      </c>
      <c r="X922" t="s">
        <v>74</v>
      </c>
      <c r="Y922" t="s">
        <v>74</v>
      </c>
      <c r="Z922" t="s">
        <v>74</v>
      </c>
      <c r="AA922" t="s">
        <v>7966</v>
      </c>
      <c r="AB922" t="s">
        <v>7967</v>
      </c>
      <c r="AC922" t="s">
        <v>74</v>
      </c>
      <c r="AD922" t="s">
        <v>74</v>
      </c>
      <c r="AE922" t="s">
        <v>74</v>
      </c>
      <c r="AF922" t="s">
        <v>74</v>
      </c>
      <c r="AG922" t="s">
        <v>74</v>
      </c>
      <c r="AH922" t="s">
        <v>74</v>
      </c>
      <c r="AI922" t="s">
        <v>74</v>
      </c>
      <c r="AJ922" t="s">
        <v>74</v>
      </c>
      <c r="AK922" t="s">
        <v>74</v>
      </c>
      <c r="AL922" t="s">
        <v>74</v>
      </c>
      <c r="AM922" t="s">
        <v>74</v>
      </c>
      <c r="AN922" t="s">
        <v>74</v>
      </c>
      <c r="AO922" t="s">
        <v>847</v>
      </c>
      <c r="AP922" t="s">
        <v>848</v>
      </c>
      <c r="AQ922" t="s">
        <v>74</v>
      </c>
      <c r="AR922" t="s">
        <v>74</v>
      </c>
      <c r="AS922" t="s">
        <v>74</v>
      </c>
      <c r="AT922" t="s">
        <v>798</v>
      </c>
      <c r="AU922">
        <v>2012</v>
      </c>
      <c r="AV922">
        <v>124</v>
      </c>
      <c r="AW922">
        <v>2</v>
      </c>
      <c r="AX922" t="s">
        <v>74</v>
      </c>
      <c r="AY922" t="s">
        <v>74</v>
      </c>
      <c r="AZ922" t="s">
        <v>74</v>
      </c>
      <c r="BA922" t="s">
        <v>74</v>
      </c>
      <c r="BB922">
        <v>1193</v>
      </c>
      <c r="BC922">
        <v>1199</v>
      </c>
      <c r="BD922" t="s">
        <v>74</v>
      </c>
      <c r="BE922" t="s">
        <v>7968</v>
      </c>
      <c r="BF922" t="str">
        <f>HYPERLINK("http://dx.doi.org/10.1002/app.35081","http://dx.doi.org/10.1002/app.35081")</f>
        <v>http://dx.doi.org/10.1002/app.35081</v>
      </c>
      <c r="BG922" t="s">
        <v>74</v>
      </c>
      <c r="BH922" t="s">
        <v>74</v>
      </c>
      <c r="BI922" t="s">
        <v>74</v>
      </c>
      <c r="BJ922" t="s">
        <v>74</v>
      </c>
      <c r="BK922" t="s">
        <v>74</v>
      </c>
      <c r="BL922" t="s">
        <v>74</v>
      </c>
      <c r="BM922" t="s">
        <v>74</v>
      </c>
      <c r="BN922" t="s">
        <v>74</v>
      </c>
      <c r="BO922" t="s">
        <v>74</v>
      </c>
      <c r="BP922" t="s">
        <v>74</v>
      </c>
      <c r="BQ922" t="s">
        <v>74</v>
      </c>
      <c r="BR922" t="s">
        <v>74</v>
      </c>
      <c r="BS922" t="s">
        <v>7969</v>
      </c>
      <c r="BT922" t="str">
        <f>HYPERLINK("https%3A%2F%2Fwww.webofscience.com%2Fwos%2Fwoscc%2Ffull-record%2FWOS:000298672800036","View Full Record in Web of Science")</f>
        <v>View Full Record in Web of Science</v>
      </c>
    </row>
    <row r="923" spans="1:72" x14ac:dyDescent="0.2">
      <c r="A923" t="s">
        <v>72</v>
      </c>
      <c r="B923" t="s">
        <v>7970</v>
      </c>
      <c r="C923" t="s">
        <v>74</v>
      </c>
      <c r="D923" t="s">
        <v>74</v>
      </c>
      <c r="E923" t="s">
        <v>74</v>
      </c>
      <c r="F923" t="s">
        <v>7971</v>
      </c>
      <c r="G923" t="s">
        <v>74</v>
      </c>
      <c r="H923" t="s">
        <v>74</v>
      </c>
      <c r="I923" t="s">
        <v>7972</v>
      </c>
      <c r="J923" t="s">
        <v>7973</v>
      </c>
      <c r="K923" t="s">
        <v>74</v>
      </c>
      <c r="L923" t="s">
        <v>74</v>
      </c>
      <c r="M923" t="s">
        <v>74</v>
      </c>
      <c r="N923" t="s">
        <v>74</v>
      </c>
      <c r="O923" t="s">
        <v>74</v>
      </c>
      <c r="P923" t="s">
        <v>74</v>
      </c>
      <c r="Q923" t="s">
        <v>74</v>
      </c>
      <c r="R923" t="s">
        <v>74</v>
      </c>
      <c r="S923" t="s">
        <v>74</v>
      </c>
      <c r="T923" t="s">
        <v>74</v>
      </c>
      <c r="U923" t="s">
        <v>74</v>
      </c>
      <c r="V923" t="s">
        <v>7974</v>
      </c>
      <c r="W923" t="s">
        <v>74</v>
      </c>
      <c r="X923" t="s">
        <v>74</v>
      </c>
      <c r="Y923" t="s">
        <v>74</v>
      </c>
      <c r="Z923" t="s">
        <v>74</v>
      </c>
      <c r="AA923" t="s">
        <v>74</v>
      </c>
      <c r="AB923" t="s">
        <v>74</v>
      </c>
      <c r="AC923" t="s">
        <v>74</v>
      </c>
      <c r="AD923" t="s">
        <v>74</v>
      </c>
      <c r="AE923" t="s">
        <v>74</v>
      </c>
      <c r="AF923" t="s">
        <v>74</v>
      </c>
      <c r="AG923" t="s">
        <v>74</v>
      </c>
      <c r="AH923" t="s">
        <v>74</v>
      </c>
      <c r="AI923" t="s">
        <v>74</v>
      </c>
      <c r="AJ923" t="s">
        <v>74</v>
      </c>
      <c r="AK923" t="s">
        <v>74</v>
      </c>
      <c r="AL923" t="s">
        <v>74</v>
      </c>
      <c r="AM923" t="s">
        <v>74</v>
      </c>
      <c r="AN923" t="s">
        <v>74</v>
      </c>
      <c r="AO923" t="s">
        <v>7975</v>
      </c>
      <c r="AP923" t="s">
        <v>74</v>
      </c>
      <c r="AQ923" t="s">
        <v>74</v>
      </c>
      <c r="AR923" t="s">
        <v>74</v>
      </c>
      <c r="AS923" t="s">
        <v>74</v>
      </c>
      <c r="AT923" t="s">
        <v>670</v>
      </c>
      <c r="AU923">
        <v>2012</v>
      </c>
      <c r="AV923">
        <v>53</v>
      </c>
      <c r="AW923">
        <v>2</v>
      </c>
      <c r="AX923" t="s">
        <v>74</v>
      </c>
      <c r="AY923" t="s">
        <v>74</v>
      </c>
      <c r="AZ923" t="s">
        <v>74</v>
      </c>
      <c r="BA923" t="s">
        <v>74</v>
      </c>
      <c r="BB923">
        <v>17</v>
      </c>
      <c r="BC923">
        <v>26</v>
      </c>
      <c r="BD923" t="s">
        <v>74</v>
      </c>
      <c r="BE923" t="s">
        <v>74</v>
      </c>
      <c r="BF923" t="s">
        <v>74</v>
      </c>
      <c r="BG923" t="s">
        <v>74</v>
      </c>
      <c r="BH923" t="s">
        <v>74</v>
      </c>
      <c r="BI923" t="s">
        <v>74</v>
      </c>
      <c r="BJ923" t="s">
        <v>74</v>
      </c>
      <c r="BK923" t="s">
        <v>74</v>
      </c>
      <c r="BL923" t="s">
        <v>74</v>
      </c>
      <c r="BM923" t="s">
        <v>74</v>
      </c>
      <c r="BN923" t="s">
        <v>74</v>
      </c>
      <c r="BO923" t="s">
        <v>74</v>
      </c>
      <c r="BP923" t="s">
        <v>74</v>
      </c>
      <c r="BQ923" t="s">
        <v>74</v>
      </c>
      <c r="BR923" t="s">
        <v>74</v>
      </c>
      <c r="BS923" t="s">
        <v>7976</v>
      </c>
      <c r="BT923" t="str">
        <f>HYPERLINK("https%3A%2F%2Fwww.webofscience.com%2Fwos%2Fwoscc%2Ffull-record%2FWOS:000308266300001","View Full Record in Web of Science")</f>
        <v>View Full Record in Web of Science</v>
      </c>
    </row>
    <row r="924" spans="1:72" x14ac:dyDescent="0.2">
      <c r="A924" t="s">
        <v>72</v>
      </c>
      <c r="B924" t="s">
        <v>7977</v>
      </c>
      <c r="C924" t="s">
        <v>74</v>
      </c>
      <c r="D924" t="s">
        <v>74</v>
      </c>
      <c r="E924" t="s">
        <v>74</v>
      </c>
      <c r="F924" t="s">
        <v>7978</v>
      </c>
      <c r="G924" t="s">
        <v>74</v>
      </c>
      <c r="H924" t="s">
        <v>74</v>
      </c>
      <c r="I924" t="s">
        <v>7979</v>
      </c>
      <c r="J924" t="s">
        <v>665</v>
      </c>
      <c r="K924" t="s">
        <v>74</v>
      </c>
      <c r="L924" t="s">
        <v>74</v>
      </c>
      <c r="M924" t="s">
        <v>74</v>
      </c>
      <c r="N924" t="s">
        <v>74</v>
      </c>
      <c r="O924" t="s">
        <v>74</v>
      </c>
      <c r="P924" t="s">
        <v>74</v>
      </c>
      <c r="Q924" t="s">
        <v>74</v>
      </c>
      <c r="R924" t="s">
        <v>74</v>
      </c>
      <c r="S924" t="s">
        <v>74</v>
      </c>
      <c r="T924" t="s">
        <v>74</v>
      </c>
      <c r="U924" t="s">
        <v>74</v>
      </c>
      <c r="V924" t="s">
        <v>7980</v>
      </c>
      <c r="W924" t="s">
        <v>74</v>
      </c>
      <c r="X924" t="s">
        <v>74</v>
      </c>
      <c r="Y924" t="s">
        <v>74</v>
      </c>
      <c r="Z924" t="s">
        <v>74</v>
      </c>
      <c r="AA924" t="s">
        <v>7981</v>
      </c>
      <c r="AB924" t="s">
        <v>7982</v>
      </c>
      <c r="AC924" t="s">
        <v>74</v>
      </c>
      <c r="AD924" t="s">
        <v>74</v>
      </c>
      <c r="AE924" t="s">
        <v>74</v>
      </c>
      <c r="AF924" t="s">
        <v>74</v>
      </c>
      <c r="AG924" t="s">
        <v>74</v>
      </c>
      <c r="AH924" t="s">
        <v>74</v>
      </c>
      <c r="AI924" t="s">
        <v>74</v>
      </c>
      <c r="AJ924" t="s">
        <v>74</v>
      </c>
      <c r="AK924" t="s">
        <v>74</v>
      </c>
      <c r="AL924" t="s">
        <v>74</v>
      </c>
      <c r="AM924" t="s">
        <v>74</v>
      </c>
      <c r="AN924" t="s">
        <v>74</v>
      </c>
      <c r="AO924" t="s">
        <v>668</v>
      </c>
      <c r="AP924" t="s">
        <v>669</v>
      </c>
      <c r="AQ924" t="s">
        <v>74</v>
      </c>
      <c r="AR924" t="s">
        <v>74</v>
      </c>
      <c r="AS924" t="s">
        <v>74</v>
      </c>
      <c r="AT924" t="s">
        <v>7983</v>
      </c>
      <c r="AU924">
        <v>2012</v>
      </c>
      <c r="AV924">
        <v>208</v>
      </c>
      <c r="AW924" t="s">
        <v>74</v>
      </c>
      <c r="AX924" t="s">
        <v>74</v>
      </c>
      <c r="AY924" t="s">
        <v>74</v>
      </c>
      <c r="AZ924" t="s">
        <v>74</v>
      </c>
      <c r="BA924" t="s">
        <v>74</v>
      </c>
      <c r="BB924">
        <v>25</v>
      </c>
      <c r="BC924">
        <v>30</v>
      </c>
      <c r="BD924" t="s">
        <v>74</v>
      </c>
      <c r="BE924" t="s">
        <v>7984</v>
      </c>
      <c r="BF924" t="str">
        <f>HYPERLINK("http://dx.doi.org/10.1016/j.ssi.2011.11.034","http://dx.doi.org/10.1016/j.ssi.2011.11.034")</f>
        <v>http://dx.doi.org/10.1016/j.ssi.2011.11.034</v>
      </c>
      <c r="BG924" t="s">
        <v>74</v>
      </c>
      <c r="BH924" t="s">
        <v>74</v>
      </c>
      <c r="BI924" t="s">
        <v>74</v>
      </c>
      <c r="BJ924" t="s">
        <v>74</v>
      </c>
      <c r="BK924" t="s">
        <v>74</v>
      </c>
      <c r="BL924" t="s">
        <v>74</v>
      </c>
      <c r="BM924" t="s">
        <v>74</v>
      </c>
      <c r="BN924" t="s">
        <v>74</v>
      </c>
      <c r="BO924" t="s">
        <v>74</v>
      </c>
      <c r="BP924" t="s">
        <v>74</v>
      </c>
      <c r="BQ924" t="s">
        <v>74</v>
      </c>
      <c r="BR924" t="s">
        <v>74</v>
      </c>
      <c r="BS924" t="s">
        <v>7985</v>
      </c>
      <c r="BT924" t="str">
        <f>HYPERLINK("https%3A%2F%2Fwww.webofscience.com%2Fwos%2Fwoscc%2Ffull-record%2FWOS:000300917000005","View Full Record in Web of Science")</f>
        <v>View Full Record in Web of Science</v>
      </c>
    </row>
    <row r="925" spans="1:72" x14ac:dyDescent="0.2">
      <c r="A925" t="s">
        <v>72</v>
      </c>
      <c r="B925" t="s">
        <v>7986</v>
      </c>
      <c r="C925" t="s">
        <v>74</v>
      </c>
      <c r="D925" t="s">
        <v>74</v>
      </c>
      <c r="E925" t="s">
        <v>74</v>
      </c>
      <c r="F925" t="s">
        <v>7987</v>
      </c>
      <c r="G925" t="s">
        <v>74</v>
      </c>
      <c r="H925" t="s">
        <v>74</v>
      </c>
      <c r="I925" t="s">
        <v>7988</v>
      </c>
      <c r="J925" t="s">
        <v>7989</v>
      </c>
      <c r="K925" t="s">
        <v>74</v>
      </c>
      <c r="L925" t="s">
        <v>74</v>
      </c>
      <c r="M925" t="s">
        <v>74</v>
      </c>
      <c r="N925" t="s">
        <v>74</v>
      </c>
      <c r="O925" t="s">
        <v>74</v>
      </c>
      <c r="P925" t="s">
        <v>74</v>
      </c>
      <c r="Q925" t="s">
        <v>74</v>
      </c>
      <c r="R925" t="s">
        <v>74</v>
      </c>
      <c r="S925" t="s">
        <v>74</v>
      </c>
      <c r="T925" t="s">
        <v>74</v>
      </c>
      <c r="U925" t="s">
        <v>74</v>
      </c>
      <c r="V925" t="s">
        <v>7990</v>
      </c>
      <c r="W925" t="s">
        <v>74</v>
      </c>
      <c r="X925" t="s">
        <v>74</v>
      </c>
      <c r="Y925" t="s">
        <v>74</v>
      </c>
      <c r="Z925" t="s">
        <v>74</v>
      </c>
      <c r="AA925" t="s">
        <v>7991</v>
      </c>
      <c r="AB925" t="s">
        <v>74</v>
      </c>
      <c r="AC925" t="s">
        <v>74</v>
      </c>
      <c r="AD925" t="s">
        <v>74</v>
      </c>
      <c r="AE925" t="s">
        <v>74</v>
      </c>
      <c r="AF925" t="s">
        <v>74</v>
      </c>
      <c r="AG925" t="s">
        <v>74</v>
      </c>
      <c r="AH925" t="s">
        <v>74</v>
      </c>
      <c r="AI925" t="s">
        <v>74</v>
      </c>
      <c r="AJ925" t="s">
        <v>74</v>
      </c>
      <c r="AK925" t="s">
        <v>74</v>
      </c>
      <c r="AL925" t="s">
        <v>74</v>
      </c>
      <c r="AM925" t="s">
        <v>74</v>
      </c>
      <c r="AN925" t="s">
        <v>74</v>
      </c>
      <c r="AO925" t="s">
        <v>7992</v>
      </c>
      <c r="AP925" t="s">
        <v>7993</v>
      </c>
      <c r="AQ925" t="s">
        <v>74</v>
      </c>
      <c r="AR925" t="s">
        <v>74</v>
      </c>
      <c r="AS925" t="s">
        <v>74</v>
      </c>
      <c r="AT925" t="s">
        <v>1026</v>
      </c>
      <c r="AU925">
        <v>2012</v>
      </c>
      <c r="AV925">
        <v>68</v>
      </c>
      <c r="AW925">
        <v>3</v>
      </c>
      <c r="AX925" t="s">
        <v>74</v>
      </c>
      <c r="AY925" t="s">
        <v>74</v>
      </c>
      <c r="AZ925" t="s">
        <v>74</v>
      </c>
      <c r="BA925" t="s">
        <v>74</v>
      </c>
      <c r="BB925">
        <v>721</v>
      </c>
      <c r="BC925">
        <v>727</v>
      </c>
      <c r="BD925" t="s">
        <v>74</v>
      </c>
      <c r="BE925" t="s">
        <v>7994</v>
      </c>
      <c r="BF925" t="str">
        <f>HYPERLINK("http://dx.doi.org/10.1007/s00289-011-0575-z","http://dx.doi.org/10.1007/s00289-011-0575-z")</f>
        <v>http://dx.doi.org/10.1007/s00289-011-0575-z</v>
      </c>
      <c r="BG925" t="s">
        <v>74</v>
      </c>
      <c r="BH925" t="s">
        <v>74</v>
      </c>
      <c r="BI925" t="s">
        <v>74</v>
      </c>
      <c r="BJ925" t="s">
        <v>74</v>
      </c>
      <c r="BK925" t="s">
        <v>74</v>
      </c>
      <c r="BL925" t="s">
        <v>74</v>
      </c>
      <c r="BM925" t="s">
        <v>74</v>
      </c>
      <c r="BN925" t="s">
        <v>74</v>
      </c>
      <c r="BO925" t="s">
        <v>74</v>
      </c>
      <c r="BP925" t="s">
        <v>74</v>
      </c>
      <c r="BQ925" t="s">
        <v>74</v>
      </c>
      <c r="BR925" t="s">
        <v>74</v>
      </c>
      <c r="BS925" t="s">
        <v>7995</v>
      </c>
      <c r="BT925" t="str">
        <f>HYPERLINK("https%3A%2F%2Fwww.webofscience.com%2Fwos%2Fwoscc%2Ffull-record%2FWOS:000299087100010","View Full Record in Web of Science")</f>
        <v>View Full Record in Web of Science</v>
      </c>
    </row>
    <row r="926" spans="1:72" x14ac:dyDescent="0.2">
      <c r="A926" t="s">
        <v>72</v>
      </c>
      <c r="B926" t="s">
        <v>7996</v>
      </c>
      <c r="C926" t="s">
        <v>74</v>
      </c>
      <c r="D926" t="s">
        <v>74</v>
      </c>
      <c r="E926" t="s">
        <v>74</v>
      </c>
      <c r="F926" t="s">
        <v>7997</v>
      </c>
      <c r="G926" t="s">
        <v>74</v>
      </c>
      <c r="H926" t="s">
        <v>74</v>
      </c>
      <c r="I926" t="s">
        <v>7998</v>
      </c>
      <c r="J926" t="s">
        <v>6141</v>
      </c>
      <c r="K926" t="s">
        <v>74</v>
      </c>
      <c r="L926" t="s">
        <v>74</v>
      </c>
      <c r="M926" t="s">
        <v>74</v>
      </c>
      <c r="N926" t="s">
        <v>74</v>
      </c>
      <c r="O926" t="s">
        <v>74</v>
      </c>
      <c r="P926" t="s">
        <v>74</v>
      </c>
      <c r="Q926" t="s">
        <v>74</v>
      </c>
      <c r="R926" t="s">
        <v>74</v>
      </c>
      <c r="S926" t="s">
        <v>74</v>
      </c>
      <c r="T926" t="s">
        <v>74</v>
      </c>
      <c r="U926" t="s">
        <v>74</v>
      </c>
      <c r="V926" t="s">
        <v>7999</v>
      </c>
      <c r="W926" t="s">
        <v>74</v>
      </c>
      <c r="X926" t="s">
        <v>74</v>
      </c>
      <c r="Y926" t="s">
        <v>74</v>
      </c>
      <c r="Z926" t="s">
        <v>74</v>
      </c>
      <c r="AA926" t="s">
        <v>8000</v>
      </c>
      <c r="AB926" t="s">
        <v>8001</v>
      </c>
      <c r="AC926" t="s">
        <v>74</v>
      </c>
      <c r="AD926" t="s">
        <v>74</v>
      </c>
      <c r="AE926" t="s">
        <v>74</v>
      </c>
      <c r="AF926" t="s">
        <v>74</v>
      </c>
      <c r="AG926" t="s">
        <v>74</v>
      </c>
      <c r="AH926" t="s">
        <v>74</v>
      </c>
      <c r="AI926" t="s">
        <v>74</v>
      </c>
      <c r="AJ926" t="s">
        <v>74</v>
      </c>
      <c r="AK926" t="s">
        <v>74</v>
      </c>
      <c r="AL926" t="s">
        <v>74</v>
      </c>
      <c r="AM926" t="s">
        <v>74</v>
      </c>
      <c r="AN926" t="s">
        <v>74</v>
      </c>
      <c r="AO926" t="s">
        <v>6144</v>
      </c>
      <c r="AP926" t="s">
        <v>6145</v>
      </c>
      <c r="AQ926" t="s">
        <v>74</v>
      </c>
      <c r="AR926" t="s">
        <v>74</v>
      </c>
      <c r="AS926" t="s">
        <v>74</v>
      </c>
      <c r="AT926" t="s">
        <v>74</v>
      </c>
      <c r="AU926">
        <v>2012</v>
      </c>
      <c r="AV926">
        <v>20</v>
      </c>
      <c r="AW926">
        <v>3</v>
      </c>
      <c r="AX926" t="s">
        <v>74</v>
      </c>
      <c r="AY926" t="s">
        <v>74</v>
      </c>
      <c r="AZ926" t="s">
        <v>74</v>
      </c>
      <c r="BA926" t="s">
        <v>74</v>
      </c>
      <c r="BB926">
        <v>216</v>
      </c>
      <c r="BC926">
        <v>223</v>
      </c>
      <c r="BD926" t="s">
        <v>74</v>
      </c>
      <c r="BE926" t="s">
        <v>8002</v>
      </c>
      <c r="BF926" t="str">
        <f>HYPERLINK("http://dx.doi.org/10.1080/1536383X.2010.542592","http://dx.doi.org/10.1080/1536383X.2010.542592")</f>
        <v>http://dx.doi.org/10.1080/1536383X.2010.542592</v>
      </c>
      <c r="BG926" t="s">
        <v>74</v>
      </c>
      <c r="BH926" t="s">
        <v>74</v>
      </c>
      <c r="BI926" t="s">
        <v>74</v>
      </c>
      <c r="BJ926" t="s">
        <v>74</v>
      </c>
      <c r="BK926" t="s">
        <v>74</v>
      </c>
      <c r="BL926" t="s">
        <v>74</v>
      </c>
      <c r="BM926" t="s">
        <v>74</v>
      </c>
      <c r="BN926" t="s">
        <v>74</v>
      </c>
      <c r="BO926" t="s">
        <v>74</v>
      </c>
      <c r="BP926" t="s">
        <v>74</v>
      </c>
      <c r="BQ926" t="s">
        <v>74</v>
      </c>
      <c r="BR926" t="s">
        <v>74</v>
      </c>
      <c r="BS926" t="s">
        <v>8003</v>
      </c>
      <c r="BT926" t="str">
        <f>HYPERLINK("https%3A%2F%2Fwww.webofscience.com%2Fwos%2Fwoscc%2Ffull-record%2FWOS:000301848600003","View Full Record in Web of Science")</f>
        <v>View Full Record in Web of Science</v>
      </c>
    </row>
    <row r="927" spans="1:72" x14ac:dyDescent="0.2">
      <c r="A927" t="s">
        <v>72</v>
      </c>
      <c r="B927" t="s">
        <v>8004</v>
      </c>
      <c r="C927" t="s">
        <v>74</v>
      </c>
      <c r="D927" t="s">
        <v>74</v>
      </c>
      <c r="E927" t="s">
        <v>74</v>
      </c>
      <c r="F927" t="s">
        <v>8005</v>
      </c>
      <c r="G927" t="s">
        <v>74</v>
      </c>
      <c r="H927" t="s">
        <v>74</v>
      </c>
      <c r="I927" t="s">
        <v>8006</v>
      </c>
      <c r="J927" t="s">
        <v>1051</v>
      </c>
      <c r="K927" t="s">
        <v>74</v>
      </c>
      <c r="L927" t="s">
        <v>74</v>
      </c>
      <c r="M927" t="s">
        <v>74</v>
      </c>
      <c r="N927" t="s">
        <v>74</v>
      </c>
      <c r="O927" t="s">
        <v>74</v>
      </c>
      <c r="P927" t="s">
        <v>74</v>
      </c>
      <c r="Q927" t="s">
        <v>74</v>
      </c>
      <c r="R927" t="s">
        <v>74</v>
      </c>
      <c r="S927" t="s">
        <v>74</v>
      </c>
      <c r="T927" t="s">
        <v>74</v>
      </c>
      <c r="U927" t="s">
        <v>74</v>
      </c>
      <c r="V927" t="s">
        <v>8007</v>
      </c>
      <c r="W927" t="s">
        <v>74</v>
      </c>
      <c r="X927" t="s">
        <v>74</v>
      </c>
      <c r="Y927" t="s">
        <v>74</v>
      </c>
      <c r="Z927" t="s">
        <v>74</v>
      </c>
      <c r="AA927" t="s">
        <v>8008</v>
      </c>
      <c r="AB927" t="s">
        <v>74</v>
      </c>
      <c r="AC927" t="s">
        <v>74</v>
      </c>
      <c r="AD927" t="s">
        <v>74</v>
      </c>
      <c r="AE927" t="s">
        <v>74</v>
      </c>
      <c r="AF927" t="s">
        <v>74</v>
      </c>
      <c r="AG927" t="s">
        <v>74</v>
      </c>
      <c r="AH927" t="s">
        <v>74</v>
      </c>
      <c r="AI927" t="s">
        <v>74</v>
      </c>
      <c r="AJ927" t="s">
        <v>74</v>
      </c>
      <c r="AK927" t="s">
        <v>74</v>
      </c>
      <c r="AL927" t="s">
        <v>74</v>
      </c>
      <c r="AM927" t="s">
        <v>74</v>
      </c>
      <c r="AN927" t="s">
        <v>74</v>
      </c>
      <c r="AO927" t="s">
        <v>1054</v>
      </c>
      <c r="AP927" t="s">
        <v>1055</v>
      </c>
      <c r="AQ927" t="s">
        <v>74</v>
      </c>
      <c r="AR927" t="s">
        <v>74</v>
      </c>
      <c r="AS927" t="s">
        <v>74</v>
      </c>
      <c r="AT927" t="s">
        <v>74</v>
      </c>
      <c r="AU927">
        <v>2012</v>
      </c>
      <c r="AV927">
        <v>18</v>
      </c>
      <c r="AW927" t="s">
        <v>74</v>
      </c>
      <c r="AX927" t="s">
        <v>74</v>
      </c>
      <c r="AY927" t="s">
        <v>74</v>
      </c>
      <c r="AZ927" t="s">
        <v>74</v>
      </c>
      <c r="BA927" t="s">
        <v>74</v>
      </c>
      <c r="BB927">
        <v>24</v>
      </c>
      <c r="BC927">
        <v>27</v>
      </c>
      <c r="BD927" t="s">
        <v>74</v>
      </c>
      <c r="BE927" t="s">
        <v>8009</v>
      </c>
      <c r="BF927" t="str">
        <f>HYPERLINK("http://dx.doi.org/10.1016/j.elecom.2012.01.026","http://dx.doi.org/10.1016/j.elecom.2012.01.026")</f>
        <v>http://dx.doi.org/10.1016/j.elecom.2012.01.026</v>
      </c>
      <c r="BG927" t="s">
        <v>74</v>
      </c>
      <c r="BH927" t="s">
        <v>74</v>
      </c>
      <c r="BI927" t="s">
        <v>74</v>
      </c>
      <c r="BJ927" t="s">
        <v>74</v>
      </c>
      <c r="BK927" t="s">
        <v>74</v>
      </c>
      <c r="BL927" t="s">
        <v>74</v>
      </c>
      <c r="BM927" t="s">
        <v>74</v>
      </c>
      <c r="BN927" t="s">
        <v>74</v>
      </c>
      <c r="BO927" t="s">
        <v>74</v>
      </c>
      <c r="BP927" t="s">
        <v>74</v>
      </c>
      <c r="BQ927" t="s">
        <v>74</v>
      </c>
      <c r="BR927" t="s">
        <v>74</v>
      </c>
      <c r="BS927" t="s">
        <v>8010</v>
      </c>
      <c r="BT927" t="str">
        <f>HYPERLINK("https%3A%2F%2Fwww.webofscience.com%2Fwos%2Fwoscc%2Ffull-record%2FWOS:000304746200007","View Full Record in Web of Science")</f>
        <v>View Full Record in Web of Science</v>
      </c>
    </row>
    <row r="928" spans="1:72" x14ac:dyDescent="0.2">
      <c r="A928" t="s">
        <v>72</v>
      </c>
      <c r="B928" t="s">
        <v>8011</v>
      </c>
      <c r="C928" t="s">
        <v>74</v>
      </c>
      <c r="D928" t="s">
        <v>74</v>
      </c>
      <c r="E928" t="s">
        <v>74</v>
      </c>
      <c r="F928" t="s">
        <v>8012</v>
      </c>
      <c r="G928" t="s">
        <v>74</v>
      </c>
      <c r="H928" t="s">
        <v>74</v>
      </c>
      <c r="I928" t="s">
        <v>8013</v>
      </c>
      <c r="J928" t="s">
        <v>8014</v>
      </c>
      <c r="K928" t="s">
        <v>74</v>
      </c>
      <c r="L928" t="s">
        <v>74</v>
      </c>
      <c r="M928" t="s">
        <v>74</v>
      </c>
      <c r="N928" t="s">
        <v>74</v>
      </c>
      <c r="O928" t="s">
        <v>74</v>
      </c>
      <c r="P928" t="s">
        <v>74</v>
      </c>
      <c r="Q928" t="s">
        <v>74</v>
      </c>
      <c r="R928" t="s">
        <v>74</v>
      </c>
      <c r="S928" t="s">
        <v>74</v>
      </c>
      <c r="T928" t="s">
        <v>74</v>
      </c>
      <c r="U928" t="s">
        <v>74</v>
      </c>
      <c r="V928" t="s">
        <v>8015</v>
      </c>
      <c r="W928" t="s">
        <v>74</v>
      </c>
      <c r="X928" t="s">
        <v>74</v>
      </c>
      <c r="Y928" t="s">
        <v>74</v>
      </c>
      <c r="Z928" t="s">
        <v>74</v>
      </c>
      <c r="AA928" t="s">
        <v>8016</v>
      </c>
      <c r="AB928" t="s">
        <v>8017</v>
      </c>
      <c r="AC928" t="s">
        <v>74</v>
      </c>
      <c r="AD928" t="s">
        <v>74</v>
      </c>
      <c r="AE928" t="s">
        <v>74</v>
      </c>
      <c r="AF928" t="s">
        <v>74</v>
      </c>
      <c r="AG928" t="s">
        <v>74</v>
      </c>
      <c r="AH928" t="s">
        <v>74</v>
      </c>
      <c r="AI928" t="s">
        <v>74</v>
      </c>
      <c r="AJ928" t="s">
        <v>74</v>
      </c>
      <c r="AK928" t="s">
        <v>74</v>
      </c>
      <c r="AL928" t="s">
        <v>74</v>
      </c>
      <c r="AM928" t="s">
        <v>74</v>
      </c>
      <c r="AN928" t="s">
        <v>74</v>
      </c>
      <c r="AO928" t="s">
        <v>8018</v>
      </c>
      <c r="AP928" t="s">
        <v>8019</v>
      </c>
      <c r="AQ928" t="s">
        <v>74</v>
      </c>
      <c r="AR928" t="s">
        <v>74</v>
      </c>
      <c r="AS928" t="s">
        <v>74</v>
      </c>
      <c r="AT928" t="s">
        <v>1194</v>
      </c>
      <c r="AU928">
        <v>2012</v>
      </c>
      <c r="AV928">
        <v>42</v>
      </c>
      <c r="AW928">
        <v>1</v>
      </c>
      <c r="AX928" t="s">
        <v>74</v>
      </c>
      <c r="AY928" t="s">
        <v>74</v>
      </c>
      <c r="AZ928" t="s">
        <v>74</v>
      </c>
      <c r="BA928" t="s">
        <v>74</v>
      </c>
      <c r="BB928">
        <v>41</v>
      </c>
      <c r="BC928">
        <v>46</v>
      </c>
      <c r="BD928" t="s">
        <v>74</v>
      </c>
      <c r="BE928" t="s">
        <v>8020</v>
      </c>
      <c r="BF928" t="str">
        <f>HYPERLINK("http://dx.doi.org/10.1007/s10800-011-0369-x","http://dx.doi.org/10.1007/s10800-011-0369-x")</f>
        <v>http://dx.doi.org/10.1007/s10800-011-0369-x</v>
      </c>
      <c r="BG928" t="s">
        <v>74</v>
      </c>
      <c r="BH928" t="s">
        <v>74</v>
      </c>
      <c r="BI928" t="s">
        <v>74</v>
      </c>
      <c r="BJ928" t="s">
        <v>74</v>
      </c>
      <c r="BK928" t="s">
        <v>74</v>
      </c>
      <c r="BL928" t="s">
        <v>74</v>
      </c>
      <c r="BM928" t="s">
        <v>74</v>
      </c>
      <c r="BN928" t="s">
        <v>74</v>
      </c>
      <c r="BO928" t="s">
        <v>74</v>
      </c>
      <c r="BP928" t="s">
        <v>74</v>
      </c>
      <c r="BQ928" t="s">
        <v>74</v>
      </c>
      <c r="BR928" t="s">
        <v>74</v>
      </c>
      <c r="BS928" t="s">
        <v>8021</v>
      </c>
      <c r="BT928" t="str">
        <f>HYPERLINK("https%3A%2F%2Fwww.webofscience.com%2Fwos%2Fwoscc%2Ffull-record%2FWOS:000297917600005","View Full Record in Web of Science")</f>
        <v>View Full Record in Web of Science</v>
      </c>
    </row>
    <row r="929" spans="1:72" x14ac:dyDescent="0.2">
      <c r="A929" t="s">
        <v>72</v>
      </c>
      <c r="B929" t="s">
        <v>8022</v>
      </c>
      <c r="C929" t="s">
        <v>74</v>
      </c>
      <c r="D929" t="s">
        <v>74</v>
      </c>
      <c r="E929" t="s">
        <v>74</v>
      </c>
      <c r="F929" t="s">
        <v>8023</v>
      </c>
      <c r="G929" t="s">
        <v>74</v>
      </c>
      <c r="H929" t="s">
        <v>74</v>
      </c>
      <c r="I929" t="s">
        <v>8024</v>
      </c>
      <c r="J929" t="s">
        <v>560</v>
      </c>
      <c r="K929" t="s">
        <v>74</v>
      </c>
      <c r="L929" t="s">
        <v>74</v>
      </c>
      <c r="M929" t="s">
        <v>74</v>
      </c>
      <c r="N929" t="s">
        <v>74</v>
      </c>
      <c r="O929" t="s">
        <v>74</v>
      </c>
      <c r="P929" t="s">
        <v>74</v>
      </c>
      <c r="Q929" t="s">
        <v>74</v>
      </c>
      <c r="R929" t="s">
        <v>74</v>
      </c>
      <c r="S929" t="s">
        <v>74</v>
      </c>
      <c r="T929" t="s">
        <v>74</v>
      </c>
      <c r="U929" t="s">
        <v>74</v>
      </c>
      <c r="V929" t="s">
        <v>8025</v>
      </c>
      <c r="W929" t="s">
        <v>74</v>
      </c>
      <c r="X929" t="s">
        <v>74</v>
      </c>
      <c r="Y929" t="s">
        <v>74</v>
      </c>
      <c r="Z929" t="s">
        <v>74</v>
      </c>
      <c r="AA929" t="s">
        <v>8026</v>
      </c>
      <c r="AB929" t="s">
        <v>8027</v>
      </c>
      <c r="AC929" t="s">
        <v>74</v>
      </c>
      <c r="AD929" t="s">
        <v>74</v>
      </c>
      <c r="AE929" t="s">
        <v>74</v>
      </c>
      <c r="AF929" t="s">
        <v>74</v>
      </c>
      <c r="AG929" t="s">
        <v>74</v>
      </c>
      <c r="AH929" t="s">
        <v>74</v>
      </c>
      <c r="AI929" t="s">
        <v>74</v>
      </c>
      <c r="AJ929" t="s">
        <v>74</v>
      </c>
      <c r="AK929" t="s">
        <v>74</v>
      </c>
      <c r="AL929" t="s">
        <v>74</v>
      </c>
      <c r="AM929" t="s">
        <v>74</v>
      </c>
      <c r="AN929" t="s">
        <v>74</v>
      </c>
      <c r="AO929" t="s">
        <v>563</v>
      </c>
      <c r="AP929" t="s">
        <v>564</v>
      </c>
      <c r="AQ929" t="s">
        <v>74</v>
      </c>
      <c r="AR929" t="s">
        <v>74</v>
      </c>
      <c r="AS929" t="s">
        <v>74</v>
      </c>
      <c r="AT929" t="s">
        <v>1318</v>
      </c>
      <c r="AU929">
        <v>2011</v>
      </c>
      <c r="AV929">
        <v>17</v>
      </c>
      <c r="AW929">
        <v>51</v>
      </c>
      <c r="AX929" t="s">
        <v>74</v>
      </c>
      <c r="AY929" t="s">
        <v>74</v>
      </c>
      <c r="AZ929" t="s">
        <v>74</v>
      </c>
      <c r="BA929" t="s">
        <v>74</v>
      </c>
      <c r="BB929">
        <v>14326</v>
      </c>
      <c r="BC929">
        <v>14346</v>
      </c>
      <c r="BD929" t="s">
        <v>74</v>
      </c>
      <c r="BE929" t="s">
        <v>8028</v>
      </c>
      <c r="BF929" t="str">
        <f>HYPERLINK("http://dx.doi.org/10.1002/chem.201101486","http://dx.doi.org/10.1002/chem.201101486")</f>
        <v>http://dx.doi.org/10.1002/chem.201101486</v>
      </c>
      <c r="BG929" t="s">
        <v>74</v>
      </c>
      <c r="BH929" t="s">
        <v>74</v>
      </c>
      <c r="BI929" t="s">
        <v>74</v>
      </c>
      <c r="BJ929" t="s">
        <v>74</v>
      </c>
      <c r="BK929" t="s">
        <v>74</v>
      </c>
      <c r="BL929" t="s">
        <v>74</v>
      </c>
      <c r="BM929" t="s">
        <v>74</v>
      </c>
      <c r="BN929">
        <v>22114046</v>
      </c>
      <c r="BO929" t="s">
        <v>74</v>
      </c>
      <c r="BP929" t="s">
        <v>74</v>
      </c>
      <c r="BQ929" t="s">
        <v>74</v>
      </c>
      <c r="BR929" t="s">
        <v>74</v>
      </c>
      <c r="BS929" t="s">
        <v>8029</v>
      </c>
      <c r="BT929" t="str">
        <f>HYPERLINK("https%3A%2F%2Fwww.webofscience.com%2Fwos%2Fwoscc%2Ffull-record%2FWOS:000298542300001","View Full Record in Web of Science")</f>
        <v>View Full Record in Web of Science</v>
      </c>
    </row>
    <row r="930" spans="1:72" x14ac:dyDescent="0.2">
      <c r="A930" t="s">
        <v>72</v>
      </c>
      <c r="B930" t="s">
        <v>8030</v>
      </c>
      <c r="C930" t="s">
        <v>74</v>
      </c>
      <c r="D930" t="s">
        <v>74</v>
      </c>
      <c r="E930" t="s">
        <v>74</v>
      </c>
      <c r="F930" t="s">
        <v>8031</v>
      </c>
      <c r="G930" t="s">
        <v>74</v>
      </c>
      <c r="H930" t="s">
        <v>74</v>
      </c>
      <c r="I930" t="s">
        <v>8032</v>
      </c>
      <c r="J930" t="s">
        <v>98</v>
      </c>
      <c r="K930" t="s">
        <v>74</v>
      </c>
      <c r="L930" t="s">
        <v>74</v>
      </c>
      <c r="M930" t="s">
        <v>74</v>
      </c>
      <c r="N930" t="s">
        <v>74</v>
      </c>
      <c r="O930" t="s">
        <v>74</v>
      </c>
      <c r="P930" t="s">
        <v>74</v>
      </c>
      <c r="Q930" t="s">
        <v>74</v>
      </c>
      <c r="R930" t="s">
        <v>74</v>
      </c>
      <c r="S930" t="s">
        <v>74</v>
      </c>
      <c r="T930" t="s">
        <v>74</v>
      </c>
      <c r="U930" t="s">
        <v>74</v>
      </c>
      <c r="V930" t="s">
        <v>8033</v>
      </c>
      <c r="W930" t="s">
        <v>74</v>
      </c>
      <c r="X930" t="s">
        <v>74</v>
      </c>
      <c r="Y930" t="s">
        <v>74</v>
      </c>
      <c r="Z930" t="s">
        <v>74</v>
      </c>
      <c r="AA930" t="s">
        <v>74</v>
      </c>
      <c r="AB930" t="s">
        <v>74</v>
      </c>
      <c r="AC930" t="s">
        <v>74</v>
      </c>
      <c r="AD930" t="s">
        <v>74</v>
      </c>
      <c r="AE930" t="s">
        <v>74</v>
      </c>
      <c r="AF930" t="s">
        <v>74</v>
      </c>
      <c r="AG930" t="s">
        <v>74</v>
      </c>
      <c r="AH930" t="s">
        <v>74</v>
      </c>
      <c r="AI930" t="s">
        <v>74</v>
      </c>
      <c r="AJ930" t="s">
        <v>74</v>
      </c>
      <c r="AK930" t="s">
        <v>74</v>
      </c>
      <c r="AL930" t="s">
        <v>74</v>
      </c>
      <c r="AM930" t="s">
        <v>74</v>
      </c>
      <c r="AN930" t="s">
        <v>74</v>
      </c>
      <c r="AO930" t="s">
        <v>101</v>
      </c>
      <c r="AP930" t="s">
        <v>102</v>
      </c>
      <c r="AQ930" t="s">
        <v>74</v>
      </c>
      <c r="AR930" t="s">
        <v>74</v>
      </c>
      <c r="AS930" t="s">
        <v>74</v>
      </c>
      <c r="AT930" t="s">
        <v>1391</v>
      </c>
      <c r="AU930">
        <v>2011</v>
      </c>
      <c r="AV930">
        <v>196</v>
      </c>
      <c r="AW930">
        <v>22</v>
      </c>
      <c r="AX930" t="s">
        <v>74</v>
      </c>
      <c r="AY930" t="s">
        <v>74</v>
      </c>
      <c r="AZ930" t="s">
        <v>74</v>
      </c>
      <c r="BA930" t="s">
        <v>74</v>
      </c>
      <c r="BB930">
        <v>9737</v>
      </c>
      <c r="BC930">
        <v>9742</v>
      </c>
      <c r="BD930" t="s">
        <v>74</v>
      </c>
      <c r="BE930" t="s">
        <v>8034</v>
      </c>
      <c r="BF930" t="str">
        <f>HYPERLINK("http://dx.doi.org/10.1016/j.jpowsour.2011.07.065","http://dx.doi.org/10.1016/j.jpowsour.2011.07.065")</f>
        <v>http://dx.doi.org/10.1016/j.jpowsour.2011.07.065</v>
      </c>
      <c r="BG930" t="s">
        <v>74</v>
      </c>
      <c r="BH930" t="s">
        <v>74</v>
      </c>
      <c r="BI930" t="s">
        <v>74</v>
      </c>
      <c r="BJ930" t="s">
        <v>74</v>
      </c>
      <c r="BK930" t="s">
        <v>74</v>
      </c>
      <c r="BL930" t="s">
        <v>74</v>
      </c>
      <c r="BM930" t="s">
        <v>74</v>
      </c>
      <c r="BN930" t="s">
        <v>74</v>
      </c>
      <c r="BO930" t="s">
        <v>74</v>
      </c>
      <c r="BP930" t="s">
        <v>74</v>
      </c>
      <c r="BQ930" t="s">
        <v>74</v>
      </c>
      <c r="BR930" t="s">
        <v>74</v>
      </c>
      <c r="BS930" t="s">
        <v>8035</v>
      </c>
      <c r="BT930" t="str">
        <f>HYPERLINK("https%3A%2F%2Fwww.webofscience.com%2Fwos%2Fwoscc%2Ffull-record%2FWOS:000295602400084","View Full Record in Web of Science")</f>
        <v>View Full Record in Web of Science</v>
      </c>
    </row>
    <row r="931" spans="1:72" x14ac:dyDescent="0.2">
      <c r="A931" t="s">
        <v>72</v>
      </c>
      <c r="B931" t="s">
        <v>8036</v>
      </c>
      <c r="C931" t="s">
        <v>74</v>
      </c>
      <c r="D931" t="s">
        <v>74</v>
      </c>
      <c r="E931" t="s">
        <v>74</v>
      </c>
      <c r="F931" t="s">
        <v>8037</v>
      </c>
      <c r="G931" t="s">
        <v>74</v>
      </c>
      <c r="H931" t="s">
        <v>74</v>
      </c>
      <c r="I931" t="s">
        <v>8038</v>
      </c>
      <c r="J931" t="s">
        <v>689</v>
      </c>
      <c r="K931" t="s">
        <v>74</v>
      </c>
      <c r="L931" t="s">
        <v>74</v>
      </c>
      <c r="M931" t="s">
        <v>74</v>
      </c>
      <c r="N931" t="s">
        <v>74</v>
      </c>
      <c r="O931" t="s">
        <v>74</v>
      </c>
      <c r="P931" t="s">
        <v>74</v>
      </c>
      <c r="Q931" t="s">
        <v>74</v>
      </c>
      <c r="R931" t="s">
        <v>74</v>
      </c>
      <c r="S931" t="s">
        <v>74</v>
      </c>
      <c r="T931" t="s">
        <v>74</v>
      </c>
      <c r="U931" t="s">
        <v>74</v>
      </c>
      <c r="V931" t="s">
        <v>8039</v>
      </c>
      <c r="W931" t="s">
        <v>74</v>
      </c>
      <c r="X931" t="s">
        <v>74</v>
      </c>
      <c r="Y931" t="s">
        <v>74</v>
      </c>
      <c r="Z931" t="s">
        <v>74</v>
      </c>
      <c r="AA931" t="s">
        <v>8040</v>
      </c>
      <c r="AB931" t="s">
        <v>8041</v>
      </c>
      <c r="AC931" t="s">
        <v>74</v>
      </c>
      <c r="AD931" t="s">
        <v>74</v>
      </c>
      <c r="AE931" t="s">
        <v>74</v>
      </c>
      <c r="AF931" t="s">
        <v>74</v>
      </c>
      <c r="AG931" t="s">
        <v>74</v>
      </c>
      <c r="AH931" t="s">
        <v>74</v>
      </c>
      <c r="AI931" t="s">
        <v>74</v>
      </c>
      <c r="AJ931" t="s">
        <v>74</v>
      </c>
      <c r="AK931" t="s">
        <v>74</v>
      </c>
      <c r="AL931" t="s">
        <v>74</v>
      </c>
      <c r="AM931" t="s">
        <v>74</v>
      </c>
      <c r="AN931" t="s">
        <v>74</v>
      </c>
      <c r="AO931" t="s">
        <v>693</v>
      </c>
      <c r="AP931" t="s">
        <v>694</v>
      </c>
      <c r="AQ931" t="s">
        <v>74</v>
      </c>
      <c r="AR931" t="s">
        <v>74</v>
      </c>
      <c r="AS931" t="s">
        <v>74</v>
      </c>
      <c r="AT931" t="s">
        <v>368</v>
      </c>
      <c r="AU931">
        <v>2011</v>
      </c>
      <c r="AV931">
        <v>5</v>
      </c>
      <c r="AW931">
        <v>7</v>
      </c>
      <c r="AX931" t="s">
        <v>74</v>
      </c>
      <c r="AY931" t="s">
        <v>74</v>
      </c>
      <c r="AZ931" t="s">
        <v>74</v>
      </c>
      <c r="BA931" t="s">
        <v>74</v>
      </c>
      <c r="BB931">
        <v>5463</v>
      </c>
      <c r="BC931">
        <v>5471</v>
      </c>
      <c r="BD931" t="s">
        <v>74</v>
      </c>
      <c r="BE931" t="s">
        <v>8042</v>
      </c>
      <c r="BF931" t="str">
        <f>HYPERLINK("http://dx.doi.org/10.1021/nn2006249","http://dx.doi.org/10.1021/nn2006249")</f>
        <v>http://dx.doi.org/10.1021/nn2006249</v>
      </c>
      <c r="BG931" t="s">
        <v>74</v>
      </c>
      <c r="BH931" t="s">
        <v>74</v>
      </c>
      <c r="BI931" t="s">
        <v>74</v>
      </c>
      <c r="BJ931" t="s">
        <v>74</v>
      </c>
      <c r="BK931" t="s">
        <v>74</v>
      </c>
      <c r="BL931" t="s">
        <v>74</v>
      </c>
      <c r="BM931" t="s">
        <v>74</v>
      </c>
      <c r="BN931">
        <v>21696205</v>
      </c>
      <c r="BO931" t="s">
        <v>74</v>
      </c>
      <c r="BP931" t="s">
        <v>74</v>
      </c>
      <c r="BQ931" t="s">
        <v>74</v>
      </c>
      <c r="BR931" t="s">
        <v>74</v>
      </c>
      <c r="BS931" t="s">
        <v>8043</v>
      </c>
      <c r="BT931" t="str">
        <f>HYPERLINK("https%3A%2F%2Fwww.webofscience.com%2Fwos%2Fwoscc%2Ffull-record%2FWOS:000293035200022","View Full Record in Web of Science")</f>
        <v>View Full Record in Web of Science</v>
      </c>
    </row>
    <row r="932" spans="1:72" x14ac:dyDescent="0.2">
      <c r="A932" t="s">
        <v>72</v>
      </c>
      <c r="B932" t="s">
        <v>8044</v>
      </c>
      <c r="C932" t="s">
        <v>74</v>
      </c>
      <c r="D932" t="s">
        <v>74</v>
      </c>
      <c r="E932" t="s">
        <v>74</v>
      </c>
      <c r="F932" t="s">
        <v>8045</v>
      </c>
      <c r="G932" t="s">
        <v>74</v>
      </c>
      <c r="H932" t="s">
        <v>74</v>
      </c>
      <c r="I932" t="s">
        <v>8046</v>
      </c>
      <c r="J932" t="s">
        <v>221</v>
      </c>
      <c r="K932" t="s">
        <v>74</v>
      </c>
      <c r="L932" t="s">
        <v>74</v>
      </c>
      <c r="M932" t="s">
        <v>74</v>
      </c>
      <c r="N932" t="s">
        <v>74</v>
      </c>
      <c r="O932" t="s">
        <v>74</v>
      </c>
      <c r="P932" t="s">
        <v>74</v>
      </c>
      <c r="Q932" t="s">
        <v>74</v>
      </c>
      <c r="R932" t="s">
        <v>74</v>
      </c>
      <c r="S932" t="s">
        <v>74</v>
      </c>
      <c r="T932" t="s">
        <v>74</v>
      </c>
      <c r="U932" t="s">
        <v>74</v>
      </c>
      <c r="V932" t="s">
        <v>8047</v>
      </c>
      <c r="W932" t="s">
        <v>74</v>
      </c>
      <c r="X932" t="s">
        <v>74</v>
      </c>
      <c r="Y932" t="s">
        <v>74</v>
      </c>
      <c r="Z932" t="s">
        <v>74</v>
      </c>
      <c r="AA932" t="s">
        <v>8048</v>
      </c>
      <c r="AB932" t="s">
        <v>8049</v>
      </c>
      <c r="AC932" t="s">
        <v>74</v>
      </c>
      <c r="AD932" t="s">
        <v>74</v>
      </c>
      <c r="AE932" t="s">
        <v>74</v>
      </c>
      <c r="AF932" t="s">
        <v>74</v>
      </c>
      <c r="AG932" t="s">
        <v>74</v>
      </c>
      <c r="AH932" t="s">
        <v>74</v>
      </c>
      <c r="AI932" t="s">
        <v>74</v>
      </c>
      <c r="AJ932" t="s">
        <v>74</v>
      </c>
      <c r="AK932" t="s">
        <v>74</v>
      </c>
      <c r="AL932" t="s">
        <v>74</v>
      </c>
      <c r="AM932" t="s">
        <v>74</v>
      </c>
      <c r="AN932" t="s">
        <v>74</v>
      </c>
      <c r="AO932" t="s">
        <v>224</v>
      </c>
      <c r="AP932" t="s">
        <v>74</v>
      </c>
      <c r="AQ932" t="s">
        <v>74</v>
      </c>
      <c r="AR932" t="s">
        <v>74</v>
      </c>
      <c r="AS932" t="s">
        <v>74</v>
      </c>
      <c r="AT932" t="s">
        <v>3936</v>
      </c>
      <c r="AU932">
        <v>2011</v>
      </c>
      <c r="AV932">
        <v>2</v>
      </c>
      <c r="AW932">
        <v>10</v>
      </c>
      <c r="AX932" t="s">
        <v>74</v>
      </c>
      <c r="AY932" t="s">
        <v>74</v>
      </c>
      <c r="AZ932" t="s">
        <v>74</v>
      </c>
      <c r="BA932" t="s">
        <v>74</v>
      </c>
      <c r="BB932">
        <v>1129</v>
      </c>
      <c r="BC932">
        <v>1132</v>
      </c>
      <c r="BD932" t="s">
        <v>74</v>
      </c>
      <c r="BE932" t="s">
        <v>8050</v>
      </c>
      <c r="BF932" t="str">
        <f>HYPERLINK("http://dx.doi.org/10.1021/jz200440m","http://dx.doi.org/10.1021/jz200440m")</f>
        <v>http://dx.doi.org/10.1021/jz200440m</v>
      </c>
      <c r="BG932" t="s">
        <v>74</v>
      </c>
      <c r="BH932" t="s">
        <v>74</v>
      </c>
      <c r="BI932" t="s">
        <v>74</v>
      </c>
      <c r="BJ932" t="s">
        <v>74</v>
      </c>
      <c r="BK932" t="s">
        <v>74</v>
      </c>
      <c r="BL932" t="s">
        <v>74</v>
      </c>
      <c r="BM932" t="s">
        <v>74</v>
      </c>
      <c r="BN932">
        <v>26295314</v>
      </c>
      <c r="BO932" t="s">
        <v>74</v>
      </c>
      <c r="BP932" t="s">
        <v>74</v>
      </c>
      <c r="BQ932" t="s">
        <v>74</v>
      </c>
      <c r="BR932" t="s">
        <v>74</v>
      </c>
      <c r="BS932" t="s">
        <v>8051</v>
      </c>
      <c r="BT932" t="str">
        <f>HYPERLINK("https%3A%2F%2Fwww.webofscience.com%2Fwos%2Fwoscc%2Ffull-record%2FWOS:000290843700004","View Full Record in Web of Science")</f>
        <v>View Full Record in Web of Science</v>
      </c>
    </row>
    <row r="933" spans="1:72" x14ac:dyDescent="0.2">
      <c r="A933" t="s">
        <v>72</v>
      </c>
      <c r="B933" t="s">
        <v>8052</v>
      </c>
      <c r="C933" t="s">
        <v>74</v>
      </c>
      <c r="D933" t="s">
        <v>74</v>
      </c>
      <c r="E933" t="s">
        <v>74</v>
      </c>
      <c r="F933" t="s">
        <v>8053</v>
      </c>
      <c r="G933" t="s">
        <v>74</v>
      </c>
      <c r="H933" t="s">
        <v>74</v>
      </c>
      <c r="I933" t="s">
        <v>8054</v>
      </c>
      <c r="J933" t="s">
        <v>8055</v>
      </c>
      <c r="K933" t="s">
        <v>74</v>
      </c>
      <c r="L933" t="s">
        <v>74</v>
      </c>
      <c r="M933" t="s">
        <v>74</v>
      </c>
      <c r="N933" t="s">
        <v>74</v>
      </c>
      <c r="O933" t="s">
        <v>74</v>
      </c>
      <c r="P933" t="s">
        <v>74</v>
      </c>
      <c r="Q933" t="s">
        <v>74</v>
      </c>
      <c r="R933" t="s">
        <v>74</v>
      </c>
      <c r="S933" t="s">
        <v>74</v>
      </c>
      <c r="T933" t="s">
        <v>74</v>
      </c>
      <c r="U933" t="s">
        <v>74</v>
      </c>
      <c r="V933" t="s">
        <v>8056</v>
      </c>
      <c r="W933" t="s">
        <v>74</v>
      </c>
      <c r="X933" t="s">
        <v>74</v>
      </c>
      <c r="Y933" t="s">
        <v>74</v>
      </c>
      <c r="Z933" t="s">
        <v>74</v>
      </c>
      <c r="AA933" t="s">
        <v>74</v>
      </c>
      <c r="AB933" t="s">
        <v>74</v>
      </c>
      <c r="AC933" t="s">
        <v>74</v>
      </c>
      <c r="AD933" t="s">
        <v>74</v>
      </c>
      <c r="AE933" t="s">
        <v>74</v>
      </c>
      <c r="AF933" t="s">
        <v>74</v>
      </c>
      <c r="AG933" t="s">
        <v>74</v>
      </c>
      <c r="AH933" t="s">
        <v>74</v>
      </c>
      <c r="AI933" t="s">
        <v>74</v>
      </c>
      <c r="AJ933" t="s">
        <v>74</v>
      </c>
      <c r="AK933" t="s">
        <v>74</v>
      </c>
      <c r="AL933" t="s">
        <v>74</v>
      </c>
      <c r="AM933" t="s">
        <v>74</v>
      </c>
      <c r="AN933" t="s">
        <v>74</v>
      </c>
      <c r="AO933" t="s">
        <v>8057</v>
      </c>
      <c r="AP933" t="s">
        <v>8058</v>
      </c>
      <c r="AQ933" t="s">
        <v>74</v>
      </c>
      <c r="AR933" t="s">
        <v>74</v>
      </c>
      <c r="AS933" t="s">
        <v>74</v>
      </c>
      <c r="AT933" t="s">
        <v>545</v>
      </c>
      <c r="AU933">
        <v>2011</v>
      </c>
      <c r="AV933">
        <v>36</v>
      </c>
      <c r="AW933">
        <v>5</v>
      </c>
      <c r="AX933" t="s">
        <v>74</v>
      </c>
      <c r="AY933" t="s">
        <v>74</v>
      </c>
      <c r="AZ933" t="s">
        <v>74</v>
      </c>
      <c r="BA933" t="s">
        <v>74</v>
      </c>
      <c r="BB933">
        <v>3138</v>
      </c>
      <c r="BC933">
        <v>3147</v>
      </c>
      <c r="BD933" t="s">
        <v>74</v>
      </c>
      <c r="BE933" t="s">
        <v>8059</v>
      </c>
      <c r="BF933" t="str">
        <f>HYPERLINK("http://dx.doi.org/10.1016/j.energy.2011.03.003","http://dx.doi.org/10.1016/j.energy.2011.03.003")</f>
        <v>http://dx.doi.org/10.1016/j.energy.2011.03.003</v>
      </c>
      <c r="BG933" t="s">
        <v>74</v>
      </c>
      <c r="BH933" t="s">
        <v>74</v>
      </c>
      <c r="BI933" t="s">
        <v>74</v>
      </c>
      <c r="BJ933" t="s">
        <v>74</v>
      </c>
      <c r="BK933" t="s">
        <v>74</v>
      </c>
      <c r="BL933" t="s">
        <v>74</v>
      </c>
      <c r="BM933" t="s">
        <v>74</v>
      </c>
      <c r="BN933" t="s">
        <v>74</v>
      </c>
      <c r="BO933" t="s">
        <v>74</v>
      </c>
      <c r="BP933" t="s">
        <v>74</v>
      </c>
      <c r="BQ933" t="s">
        <v>74</v>
      </c>
      <c r="BR933" t="s">
        <v>74</v>
      </c>
      <c r="BS933" t="s">
        <v>8060</v>
      </c>
      <c r="BT933" t="str">
        <f>HYPERLINK("https%3A%2F%2Fwww.webofscience.com%2Fwos%2Fwoscc%2Ffull-record%2FWOS:000291411400088","View Full Record in Web of Science")</f>
        <v>View Full Record in Web of Science</v>
      </c>
    </row>
    <row r="934" spans="1:72" x14ac:dyDescent="0.2">
      <c r="A934" t="s">
        <v>72</v>
      </c>
      <c r="B934" t="s">
        <v>8061</v>
      </c>
      <c r="C934" t="s">
        <v>74</v>
      </c>
      <c r="D934" t="s">
        <v>74</v>
      </c>
      <c r="E934" t="s">
        <v>74</v>
      </c>
      <c r="F934" t="s">
        <v>8062</v>
      </c>
      <c r="G934" t="s">
        <v>74</v>
      </c>
      <c r="H934" t="s">
        <v>74</v>
      </c>
      <c r="I934" t="s">
        <v>8063</v>
      </c>
      <c r="J934" t="s">
        <v>1256</v>
      </c>
      <c r="K934" t="s">
        <v>74</v>
      </c>
      <c r="L934" t="s">
        <v>74</v>
      </c>
      <c r="M934" t="s">
        <v>74</v>
      </c>
      <c r="N934" t="s">
        <v>74</v>
      </c>
      <c r="O934" t="s">
        <v>74</v>
      </c>
      <c r="P934" t="s">
        <v>74</v>
      </c>
      <c r="Q934" t="s">
        <v>74</v>
      </c>
      <c r="R934" t="s">
        <v>74</v>
      </c>
      <c r="S934" t="s">
        <v>74</v>
      </c>
      <c r="T934" t="s">
        <v>74</v>
      </c>
      <c r="U934" t="s">
        <v>74</v>
      </c>
      <c r="V934" t="s">
        <v>8064</v>
      </c>
      <c r="W934" t="s">
        <v>74</v>
      </c>
      <c r="X934" t="s">
        <v>74</v>
      </c>
      <c r="Y934" t="s">
        <v>74</v>
      </c>
      <c r="Z934" t="s">
        <v>74</v>
      </c>
      <c r="AA934" t="s">
        <v>74</v>
      </c>
      <c r="AB934" t="s">
        <v>74</v>
      </c>
      <c r="AC934" t="s">
        <v>74</v>
      </c>
      <c r="AD934" t="s">
        <v>74</v>
      </c>
      <c r="AE934" t="s">
        <v>74</v>
      </c>
      <c r="AF934" t="s">
        <v>74</v>
      </c>
      <c r="AG934" t="s">
        <v>74</v>
      </c>
      <c r="AH934" t="s">
        <v>74</v>
      </c>
      <c r="AI934" t="s">
        <v>74</v>
      </c>
      <c r="AJ934" t="s">
        <v>74</v>
      </c>
      <c r="AK934" t="s">
        <v>74</v>
      </c>
      <c r="AL934" t="s">
        <v>74</v>
      </c>
      <c r="AM934" t="s">
        <v>74</v>
      </c>
      <c r="AN934" t="s">
        <v>74</v>
      </c>
      <c r="AO934" t="s">
        <v>1258</v>
      </c>
      <c r="AP934" t="s">
        <v>74</v>
      </c>
      <c r="AQ934" t="s">
        <v>74</v>
      </c>
      <c r="AR934" t="s">
        <v>74</v>
      </c>
      <c r="AS934" t="s">
        <v>74</v>
      </c>
      <c r="AT934" t="s">
        <v>4989</v>
      </c>
      <c r="AU934">
        <v>2011</v>
      </c>
      <c r="AV934">
        <v>56</v>
      </c>
      <c r="AW934">
        <v>12</v>
      </c>
      <c r="AX934" t="s">
        <v>74</v>
      </c>
      <c r="AY934" t="s">
        <v>74</v>
      </c>
      <c r="AZ934" t="s">
        <v>74</v>
      </c>
      <c r="BA934" t="s">
        <v>74</v>
      </c>
      <c r="BB934">
        <v>4540</v>
      </c>
      <c r="BC934">
        <v>4543</v>
      </c>
      <c r="BD934" t="s">
        <v>74</v>
      </c>
      <c r="BE934" t="s">
        <v>8065</v>
      </c>
      <c r="BF934" t="str">
        <f>HYPERLINK("http://dx.doi.org/10.1016/j.electacta.2011.02.070","http://dx.doi.org/10.1016/j.electacta.2011.02.070")</f>
        <v>http://dx.doi.org/10.1016/j.electacta.2011.02.070</v>
      </c>
      <c r="BG934" t="s">
        <v>74</v>
      </c>
      <c r="BH934" t="s">
        <v>74</v>
      </c>
      <c r="BI934" t="s">
        <v>74</v>
      </c>
      <c r="BJ934" t="s">
        <v>74</v>
      </c>
      <c r="BK934" t="s">
        <v>74</v>
      </c>
      <c r="BL934" t="s">
        <v>74</v>
      </c>
      <c r="BM934" t="s">
        <v>74</v>
      </c>
      <c r="BN934" t="s">
        <v>74</v>
      </c>
      <c r="BO934" t="s">
        <v>74</v>
      </c>
      <c r="BP934" t="s">
        <v>74</v>
      </c>
      <c r="BQ934" t="s">
        <v>74</v>
      </c>
      <c r="BR934" t="s">
        <v>74</v>
      </c>
      <c r="BS934" t="s">
        <v>8066</v>
      </c>
      <c r="BT934" t="str">
        <f>HYPERLINK("https%3A%2F%2Fwww.webofscience.com%2Fwos%2Fwoscc%2Ffull-record%2FWOS:000290701500017","View Full Record in Web of Science")</f>
        <v>View Full Record in Web of Science</v>
      </c>
    </row>
    <row r="935" spans="1:72" x14ac:dyDescent="0.2">
      <c r="A935" t="s">
        <v>72</v>
      </c>
      <c r="B935" t="s">
        <v>8067</v>
      </c>
      <c r="C935" t="s">
        <v>74</v>
      </c>
      <c r="D935" t="s">
        <v>74</v>
      </c>
      <c r="E935" t="s">
        <v>74</v>
      </c>
      <c r="F935" t="s">
        <v>8068</v>
      </c>
      <c r="G935" t="s">
        <v>74</v>
      </c>
      <c r="H935" t="s">
        <v>74</v>
      </c>
      <c r="I935" t="s">
        <v>8069</v>
      </c>
      <c r="J935" t="s">
        <v>2763</v>
      </c>
      <c r="K935" t="s">
        <v>74</v>
      </c>
      <c r="L935" t="s">
        <v>74</v>
      </c>
      <c r="M935" t="s">
        <v>74</v>
      </c>
      <c r="N935" t="s">
        <v>74</v>
      </c>
      <c r="O935" t="s">
        <v>74</v>
      </c>
      <c r="P935" t="s">
        <v>74</v>
      </c>
      <c r="Q935" t="s">
        <v>74</v>
      </c>
      <c r="R935" t="s">
        <v>74</v>
      </c>
      <c r="S935" t="s">
        <v>74</v>
      </c>
      <c r="T935" t="s">
        <v>74</v>
      </c>
      <c r="U935" t="s">
        <v>74</v>
      </c>
      <c r="V935" t="s">
        <v>8070</v>
      </c>
      <c r="W935" t="s">
        <v>74</v>
      </c>
      <c r="X935" t="s">
        <v>74</v>
      </c>
      <c r="Y935" t="s">
        <v>74</v>
      </c>
      <c r="Z935" t="s">
        <v>74</v>
      </c>
      <c r="AA935" t="s">
        <v>8071</v>
      </c>
      <c r="AB935" t="s">
        <v>74</v>
      </c>
      <c r="AC935" t="s">
        <v>74</v>
      </c>
      <c r="AD935" t="s">
        <v>74</v>
      </c>
      <c r="AE935" t="s">
        <v>74</v>
      </c>
      <c r="AF935" t="s">
        <v>74</v>
      </c>
      <c r="AG935" t="s">
        <v>74</v>
      </c>
      <c r="AH935" t="s">
        <v>74</v>
      </c>
      <c r="AI935" t="s">
        <v>74</v>
      </c>
      <c r="AJ935" t="s">
        <v>74</v>
      </c>
      <c r="AK935" t="s">
        <v>74</v>
      </c>
      <c r="AL935" t="s">
        <v>74</v>
      </c>
      <c r="AM935" t="s">
        <v>74</v>
      </c>
      <c r="AN935" t="s">
        <v>74</v>
      </c>
      <c r="AO935" t="s">
        <v>2766</v>
      </c>
      <c r="AP935" t="s">
        <v>74</v>
      </c>
      <c r="AQ935" t="s">
        <v>74</v>
      </c>
      <c r="AR935" t="s">
        <v>74</v>
      </c>
      <c r="AS935" t="s">
        <v>74</v>
      </c>
      <c r="AT935" t="s">
        <v>954</v>
      </c>
      <c r="AU935">
        <v>2011</v>
      </c>
      <c r="AV935">
        <v>23</v>
      </c>
      <c r="AW935" t="s">
        <v>8072</v>
      </c>
      <c r="AX935" t="s">
        <v>74</v>
      </c>
      <c r="AY935" t="s">
        <v>74</v>
      </c>
      <c r="AZ935" t="s">
        <v>74</v>
      </c>
      <c r="BA935" t="s">
        <v>74</v>
      </c>
      <c r="BB935">
        <v>357</v>
      </c>
      <c r="BC935">
        <v>365</v>
      </c>
      <c r="BD935" t="s">
        <v>74</v>
      </c>
      <c r="BE935" t="s">
        <v>74</v>
      </c>
      <c r="BF935" t="s">
        <v>74</v>
      </c>
      <c r="BG935" t="s">
        <v>74</v>
      </c>
      <c r="BH935" t="s">
        <v>74</v>
      </c>
      <c r="BI935" t="s">
        <v>74</v>
      </c>
      <c r="BJ935" t="s">
        <v>74</v>
      </c>
      <c r="BK935" t="s">
        <v>74</v>
      </c>
      <c r="BL935" t="s">
        <v>74</v>
      </c>
      <c r="BM935" t="s">
        <v>74</v>
      </c>
      <c r="BN935" t="s">
        <v>74</v>
      </c>
      <c r="BO935" t="s">
        <v>74</v>
      </c>
      <c r="BP935" t="s">
        <v>74</v>
      </c>
      <c r="BQ935" t="s">
        <v>74</v>
      </c>
      <c r="BR935" t="s">
        <v>74</v>
      </c>
      <c r="BS935" t="s">
        <v>8073</v>
      </c>
      <c r="BT935" t="str">
        <f>HYPERLINK("https%3A%2F%2Fwww.webofscience.com%2Fwos%2Fwoscc%2Ffull-record%2FWOS:000288976500010","View Full Record in Web of Science")</f>
        <v>View Full Record in Web of Science</v>
      </c>
    </row>
    <row r="936" spans="1:72" x14ac:dyDescent="0.2">
      <c r="A936" t="s">
        <v>72</v>
      </c>
      <c r="B936" t="s">
        <v>8074</v>
      </c>
      <c r="C936" t="s">
        <v>74</v>
      </c>
      <c r="D936" t="s">
        <v>74</v>
      </c>
      <c r="E936" t="s">
        <v>74</v>
      </c>
      <c r="F936" t="s">
        <v>8075</v>
      </c>
      <c r="G936" t="s">
        <v>74</v>
      </c>
      <c r="H936" t="s">
        <v>74</v>
      </c>
      <c r="I936" t="s">
        <v>8076</v>
      </c>
      <c r="J936" t="s">
        <v>98</v>
      </c>
      <c r="K936" t="s">
        <v>74</v>
      </c>
      <c r="L936" t="s">
        <v>74</v>
      </c>
      <c r="M936" t="s">
        <v>74</v>
      </c>
      <c r="N936" t="s">
        <v>74</v>
      </c>
      <c r="O936" t="s">
        <v>74</v>
      </c>
      <c r="P936" t="s">
        <v>74</v>
      </c>
      <c r="Q936" t="s">
        <v>74</v>
      </c>
      <c r="R936" t="s">
        <v>74</v>
      </c>
      <c r="S936" t="s">
        <v>74</v>
      </c>
      <c r="T936" t="s">
        <v>74</v>
      </c>
      <c r="U936" t="s">
        <v>74</v>
      </c>
      <c r="V936" t="s">
        <v>8077</v>
      </c>
      <c r="W936" t="s">
        <v>74</v>
      </c>
      <c r="X936" t="s">
        <v>74</v>
      </c>
      <c r="Y936" t="s">
        <v>74</v>
      </c>
      <c r="Z936" t="s">
        <v>74</v>
      </c>
      <c r="AA936" t="s">
        <v>8078</v>
      </c>
      <c r="AB936" t="s">
        <v>8079</v>
      </c>
      <c r="AC936" t="s">
        <v>74</v>
      </c>
      <c r="AD936" t="s">
        <v>74</v>
      </c>
      <c r="AE936" t="s">
        <v>74</v>
      </c>
      <c r="AF936" t="s">
        <v>74</v>
      </c>
      <c r="AG936" t="s">
        <v>74</v>
      </c>
      <c r="AH936" t="s">
        <v>74</v>
      </c>
      <c r="AI936" t="s">
        <v>74</v>
      </c>
      <c r="AJ936" t="s">
        <v>74</v>
      </c>
      <c r="AK936" t="s">
        <v>74</v>
      </c>
      <c r="AL936" t="s">
        <v>74</v>
      </c>
      <c r="AM936" t="s">
        <v>74</v>
      </c>
      <c r="AN936" t="s">
        <v>74</v>
      </c>
      <c r="AO936" t="s">
        <v>101</v>
      </c>
      <c r="AP936" t="s">
        <v>102</v>
      </c>
      <c r="AQ936" t="s">
        <v>74</v>
      </c>
      <c r="AR936" t="s">
        <v>74</v>
      </c>
      <c r="AS936" t="s">
        <v>74</v>
      </c>
      <c r="AT936" t="s">
        <v>1154</v>
      </c>
      <c r="AU936">
        <v>2011</v>
      </c>
      <c r="AV936">
        <v>196</v>
      </c>
      <c r="AW936">
        <v>3</v>
      </c>
      <c r="AX936" t="s">
        <v>74</v>
      </c>
      <c r="AY936" t="s">
        <v>74</v>
      </c>
      <c r="AZ936" t="s">
        <v>2280</v>
      </c>
      <c r="BA936" t="s">
        <v>74</v>
      </c>
      <c r="BB936">
        <v>1425</v>
      </c>
      <c r="BC936">
        <v>1432</v>
      </c>
      <c r="BD936" t="s">
        <v>74</v>
      </c>
      <c r="BE936" t="s">
        <v>8080</v>
      </c>
      <c r="BF936" t="str">
        <f>HYPERLINK("http://dx.doi.org/10.1016/j.jpowsour.2010.08.020","http://dx.doi.org/10.1016/j.jpowsour.2010.08.020")</f>
        <v>http://dx.doi.org/10.1016/j.jpowsour.2010.08.020</v>
      </c>
      <c r="BG936" t="s">
        <v>74</v>
      </c>
      <c r="BH936" t="s">
        <v>74</v>
      </c>
      <c r="BI936" t="s">
        <v>74</v>
      </c>
      <c r="BJ936" t="s">
        <v>74</v>
      </c>
      <c r="BK936" t="s">
        <v>74</v>
      </c>
      <c r="BL936" t="s">
        <v>74</v>
      </c>
      <c r="BM936" t="s">
        <v>74</v>
      </c>
      <c r="BN936" t="s">
        <v>74</v>
      </c>
      <c r="BO936" t="s">
        <v>74</v>
      </c>
      <c r="BP936" t="s">
        <v>74</v>
      </c>
      <c r="BQ936" t="s">
        <v>74</v>
      </c>
      <c r="BR936" t="s">
        <v>74</v>
      </c>
      <c r="BS936" t="s">
        <v>8081</v>
      </c>
      <c r="BT936" t="str">
        <f>HYPERLINK("https%3A%2F%2Fwww.webofscience.com%2Fwos%2Fwoscc%2Ffull-record%2FWOS:000284790200078","View Full Record in Web of Science")</f>
        <v>View Full Record in Web of Science</v>
      </c>
    </row>
    <row r="937" spans="1:72" x14ac:dyDescent="0.2">
      <c r="A937" t="s">
        <v>72</v>
      </c>
      <c r="B937" t="s">
        <v>8082</v>
      </c>
      <c r="C937" t="s">
        <v>74</v>
      </c>
      <c r="D937" t="s">
        <v>74</v>
      </c>
      <c r="E937" t="s">
        <v>74</v>
      </c>
      <c r="F937" t="s">
        <v>8083</v>
      </c>
      <c r="G937" t="s">
        <v>74</v>
      </c>
      <c r="H937" t="s">
        <v>74</v>
      </c>
      <c r="I937" t="s">
        <v>8084</v>
      </c>
      <c r="J937" t="s">
        <v>98</v>
      </c>
      <c r="K937" t="s">
        <v>74</v>
      </c>
      <c r="L937" t="s">
        <v>74</v>
      </c>
      <c r="M937" t="s">
        <v>74</v>
      </c>
      <c r="N937" t="s">
        <v>74</v>
      </c>
      <c r="O937" t="s">
        <v>74</v>
      </c>
      <c r="P937" t="s">
        <v>74</v>
      </c>
      <c r="Q937" t="s">
        <v>74</v>
      </c>
      <c r="R937" t="s">
        <v>74</v>
      </c>
      <c r="S937" t="s">
        <v>74</v>
      </c>
      <c r="T937" t="s">
        <v>74</v>
      </c>
      <c r="U937" t="s">
        <v>74</v>
      </c>
      <c r="V937" t="s">
        <v>8085</v>
      </c>
      <c r="W937" t="s">
        <v>74</v>
      </c>
      <c r="X937" t="s">
        <v>74</v>
      </c>
      <c r="Y937" t="s">
        <v>74</v>
      </c>
      <c r="Z937" t="s">
        <v>74</v>
      </c>
      <c r="AA937" t="s">
        <v>8086</v>
      </c>
      <c r="AB937" t="s">
        <v>8087</v>
      </c>
      <c r="AC937" t="s">
        <v>74</v>
      </c>
      <c r="AD937" t="s">
        <v>74</v>
      </c>
      <c r="AE937" t="s">
        <v>74</v>
      </c>
      <c r="AF937" t="s">
        <v>74</v>
      </c>
      <c r="AG937" t="s">
        <v>74</v>
      </c>
      <c r="AH937" t="s">
        <v>74</v>
      </c>
      <c r="AI937" t="s">
        <v>74</v>
      </c>
      <c r="AJ937" t="s">
        <v>74</v>
      </c>
      <c r="AK937" t="s">
        <v>74</v>
      </c>
      <c r="AL937" t="s">
        <v>74</v>
      </c>
      <c r="AM937" t="s">
        <v>74</v>
      </c>
      <c r="AN937" t="s">
        <v>74</v>
      </c>
      <c r="AO937" t="s">
        <v>101</v>
      </c>
      <c r="AP937" t="s">
        <v>102</v>
      </c>
      <c r="AQ937" t="s">
        <v>74</v>
      </c>
      <c r="AR937" t="s">
        <v>74</v>
      </c>
      <c r="AS937" t="s">
        <v>74</v>
      </c>
      <c r="AT937" t="s">
        <v>1154</v>
      </c>
      <c r="AU937">
        <v>2011</v>
      </c>
      <c r="AV937">
        <v>196</v>
      </c>
      <c r="AW937">
        <v>3</v>
      </c>
      <c r="AX937" t="s">
        <v>74</v>
      </c>
      <c r="AY937" t="s">
        <v>74</v>
      </c>
      <c r="AZ937" t="s">
        <v>2280</v>
      </c>
      <c r="BA937" t="s">
        <v>74</v>
      </c>
      <c r="BB937">
        <v>1626</v>
      </c>
      <c r="BC937">
        <v>1631</v>
      </c>
      <c r="BD937" t="s">
        <v>74</v>
      </c>
      <c r="BE937" t="s">
        <v>8088</v>
      </c>
      <c r="BF937" t="str">
        <f>HYPERLINK("http://dx.doi.org/10.1016/j.jpowsour.2010.08.082","http://dx.doi.org/10.1016/j.jpowsour.2010.08.082")</f>
        <v>http://dx.doi.org/10.1016/j.jpowsour.2010.08.082</v>
      </c>
      <c r="BG937" t="s">
        <v>74</v>
      </c>
      <c r="BH937" t="s">
        <v>74</v>
      </c>
      <c r="BI937" t="s">
        <v>74</v>
      </c>
      <c r="BJ937" t="s">
        <v>74</v>
      </c>
      <c r="BK937" t="s">
        <v>74</v>
      </c>
      <c r="BL937" t="s">
        <v>74</v>
      </c>
      <c r="BM937" t="s">
        <v>74</v>
      </c>
      <c r="BN937" t="s">
        <v>74</v>
      </c>
      <c r="BO937" t="s">
        <v>74</v>
      </c>
      <c r="BP937" t="s">
        <v>74</v>
      </c>
      <c r="BQ937" t="s">
        <v>74</v>
      </c>
      <c r="BR937" t="s">
        <v>74</v>
      </c>
      <c r="BS937" t="s">
        <v>8089</v>
      </c>
      <c r="BT937" t="str">
        <f>HYPERLINK("https%3A%2F%2Fwww.webofscience.com%2Fwos%2Fwoscc%2Ffull-record%2FWOS:000284790200109","View Full Record in Web of Science")</f>
        <v>View Full Record in Web of Science</v>
      </c>
    </row>
    <row r="938" spans="1:72" x14ac:dyDescent="0.2">
      <c r="A938" t="s">
        <v>72</v>
      </c>
      <c r="B938" t="s">
        <v>8090</v>
      </c>
      <c r="C938" t="s">
        <v>74</v>
      </c>
      <c r="D938" t="s">
        <v>74</v>
      </c>
      <c r="E938" t="s">
        <v>74</v>
      </c>
      <c r="F938" t="s">
        <v>8091</v>
      </c>
      <c r="G938" t="s">
        <v>74</v>
      </c>
      <c r="H938" t="s">
        <v>74</v>
      </c>
      <c r="I938" t="s">
        <v>8092</v>
      </c>
      <c r="J938" t="s">
        <v>98</v>
      </c>
      <c r="K938" t="s">
        <v>74</v>
      </c>
      <c r="L938" t="s">
        <v>74</v>
      </c>
      <c r="M938" t="s">
        <v>74</v>
      </c>
      <c r="N938" t="s">
        <v>74</v>
      </c>
      <c r="O938" t="s">
        <v>74</v>
      </c>
      <c r="P938" t="s">
        <v>74</v>
      </c>
      <c r="Q938" t="s">
        <v>74</v>
      </c>
      <c r="R938" t="s">
        <v>74</v>
      </c>
      <c r="S938" t="s">
        <v>74</v>
      </c>
      <c r="T938" t="s">
        <v>74</v>
      </c>
      <c r="U938" t="s">
        <v>74</v>
      </c>
      <c r="V938" t="s">
        <v>8093</v>
      </c>
      <c r="W938" t="s">
        <v>74</v>
      </c>
      <c r="X938" t="s">
        <v>74</v>
      </c>
      <c r="Y938" t="s">
        <v>74</v>
      </c>
      <c r="Z938" t="s">
        <v>74</v>
      </c>
      <c r="AA938" t="s">
        <v>8094</v>
      </c>
      <c r="AB938" t="s">
        <v>8095</v>
      </c>
      <c r="AC938" t="s">
        <v>74</v>
      </c>
      <c r="AD938" t="s">
        <v>74</v>
      </c>
      <c r="AE938" t="s">
        <v>74</v>
      </c>
      <c r="AF938" t="s">
        <v>74</v>
      </c>
      <c r="AG938" t="s">
        <v>74</v>
      </c>
      <c r="AH938" t="s">
        <v>74</v>
      </c>
      <c r="AI938" t="s">
        <v>74</v>
      </c>
      <c r="AJ938" t="s">
        <v>74</v>
      </c>
      <c r="AK938" t="s">
        <v>74</v>
      </c>
      <c r="AL938" t="s">
        <v>74</v>
      </c>
      <c r="AM938" t="s">
        <v>74</v>
      </c>
      <c r="AN938" t="s">
        <v>74</v>
      </c>
      <c r="AO938" t="s">
        <v>101</v>
      </c>
      <c r="AP938" t="s">
        <v>102</v>
      </c>
      <c r="AQ938" t="s">
        <v>74</v>
      </c>
      <c r="AR938" t="s">
        <v>74</v>
      </c>
      <c r="AS938" t="s">
        <v>74</v>
      </c>
      <c r="AT938" t="s">
        <v>1154</v>
      </c>
      <c r="AU938">
        <v>2011</v>
      </c>
      <c r="AV938">
        <v>196</v>
      </c>
      <c r="AW938">
        <v>3</v>
      </c>
      <c r="AX938" t="s">
        <v>74</v>
      </c>
      <c r="AY938" t="s">
        <v>74</v>
      </c>
      <c r="AZ938" t="s">
        <v>2280</v>
      </c>
      <c r="BA938" t="s">
        <v>74</v>
      </c>
      <c r="BB938">
        <v>886</v>
      </c>
      <c r="BC938">
        <v>893</v>
      </c>
      <c r="BD938" t="s">
        <v>74</v>
      </c>
      <c r="BE938" t="s">
        <v>8096</v>
      </c>
      <c r="BF938" t="str">
        <f>HYPERLINK("http://dx.doi.org/10.1016/j.jpowsour.2010.09.031","http://dx.doi.org/10.1016/j.jpowsour.2010.09.031")</f>
        <v>http://dx.doi.org/10.1016/j.jpowsour.2010.09.031</v>
      </c>
      <c r="BG938" t="s">
        <v>74</v>
      </c>
      <c r="BH938" t="s">
        <v>74</v>
      </c>
      <c r="BI938" t="s">
        <v>74</v>
      </c>
      <c r="BJ938" t="s">
        <v>74</v>
      </c>
      <c r="BK938" t="s">
        <v>74</v>
      </c>
      <c r="BL938" t="s">
        <v>74</v>
      </c>
      <c r="BM938" t="s">
        <v>74</v>
      </c>
      <c r="BN938" t="s">
        <v>74</v>
      </c>
      <c r="BO938" t="s">
        <v>74</v>
      </c>
      <c r="BP938" t="s">
        <v>74</v>
      </c>
      <c r="BQ938" t="s">
        <v>74</v>
      </c>
      <c r="BR938" t="s">
        <v>74</v>
      </c>
      <c r="BS938" t="s">
        <v>8097</v>
      </c>
      <c r="BT938" t="str">
        <f>HYPERLINK("https%3A%2F%2Fwww.webofscience.com%2Fwos%2Fwoscc%2Ffull-record%2FWOS:000284790200002","View Full Record in Web of Science")</f>
        <v>View Full Record in Web of Science</v>
      </c>
    </row>
    <row r="939" spans="1:72" x14ac:dyDescent="0.2">
      <c r="A939" t="s">
        <v>2738</v>
      </c>
      <c r="B939" t="s">
        <v>8098</v>
      </c>
      <c r="C939" t="s">
        <v>74</v>
      </c>
      <c r="D939" t="s">
        <v>8099</v>
      </c>
      <c r="E939" t="s">
        <v>74</v>
      </c>
      <c r="F939" t="s">
        <v>8100</v>
      </c>
      <c r="G939" t="s">
        <v>74</v>
      </c>
      <c r="H939" t="s">
        <v>74</v>
      </c>
      <c r="I939" t="s">
        <v>8101</v>
      </c>
      <c r="J939" t="s">
        <v>8102</v>
      </c>
      <c r="K939" t="s">
        <v>8103</v>
      </c>
      <c r="L939" t="s">
        <v>74</v>
      </c>
      <c r="M939" t="s">
        <v>74</v>
      </c>
      <c r="N939" t="s">
        <v>74</v>
      </c>
      <c r="O939" t="s">
        <v>8104</v>
      </c>
      <c r="P939" t="s">
        <v>8105</v>
      </c>
      <c r="Q939" t="s">
        <v>8106</v>
      </c>
      <c r="R939" t="s">
        <v>8107</v>
      </c>
      <c r="S939" t="s">
        <v>74</v>
      </c>
      <c r="T939" t="s">
        <v>74</v>
      </c>
      <c r="U939" t="s">
        <v>74</v>
      </c>
      <c r="V939" t="s">
        <v>8108</v>
      </c>
      <c r="W939" t="s">
        <v>74</v>
      </c>
      <c r="X939" t="s">
        <v>74</v>
      </c>
      <c r="Y939" t="s">
        <v>74</v>
      </c>
      <c r="Z939" t="s">
        <v>74</v>
      </c>
      <c r="AA939" t="s">
        <v>8109</v>
      </c>
      <c r="AB939" t="s">
        <v>8110</v>
      </c>
      <c r="AC939" t="s">
        <v>74</v>
      </c>
      <c r="AD939" t="s">
        <v>74</v>
      </c>
      <c r="AE939" t="s">
        <v>74</v>
      </c>
      <c r="AF939" t="s">
        <v>74</v>
      </c>
      <c r="AG939" t="s">
        <v>74</v>
      </c>
      <c r="AH939" t="s">
        <v>74</v>
      </c>
      <c r="AI939" t="s">
        <v>74</v>
      </c>
      <c r="AJ939" t="s">
        <v>74</v>
      </c>
      <c r="AK939" t="s">
        <v>74</v>
      </c>
      <c r="AL939" t="s">
        <v>74</v>
      </c>
      <c r="AM939" t="s">
        <v>74</v>
      </c>
      <c r="AN939" t="s">
        <v>74</v>
      </c>
      <c r="AO939" t="s">
        <v>8111</v>
      </c>
      <c r="AP939" t="s">
        <v>74</v>
      </c>
      <c r="AQ939" t="s">
        <v>8112</v>
      </c>
      <c r="AR939" t="s">
        <v>74</v>
      </c>
      <c r="AS939" t="s">
        <v>74</v>
      </c>
      <c r="AT939" t="s">
        <v>74</v>
      </c>
      <c r="AU939">
        <v>2011</v>
      </c>
      <c r="AV939">
        <v>33</v>
      </c>
      <c r="AW939">
        <v>28</v>
      </c>
      <c r="AX939" t="s">
        <v>74</v>
      </c>
      <c r="AY939" t="s">
        <v>74</v>
      </c>
      <c r="AZ939" t="s">
        <v>74</v>
      </c>
      <c r="BA939" t="s">
        <v>74</v>
      </c>
      <c r="BB939">
        <v>3</v>
      </c>
      <c r="BC939">
        <v>15</v>
      </c>
      <c r="BD939" t="s">
        <v>74</v>
      </c>
      <c r="BE939" t="s">
        <v>8113</v>
      </c>
      <c r="BF939" t="str">
        <f>HYPERLINK("http://dx.doi.org/10.1149/1.3563085","http://dx.doi.org/10.1149/1.3563085")</f>
        <v>http://dx.doi.org/10.1149/1.3563085</v>
      </c>
      <c r="BG939" t="s">
        <v>74</v>
      </c>
      <c r="BH939" t="s">
        <v>74</v>
      </c>
      <c r="BI939" t="s">
        <v>74</v>
      </c>
      <c r="BJ939" t="s">
        <v>74</v>
      </c>
      <c r="BK939" t="s">
        <v>74</v>
      </c>
      <c r="BL939" t="s">
        <v>74</v>
      </c>
      <c r="BM939" t="s">
        <v>74</v>
      </c>
      <c r="BN939" t="s">
        <v>74</v>
      </c>
      <c r="BO939" t="s">
        <v>74</v>
      </c>
      <c r="BP939" t="s">
        <v>74</v>
      </c>
      <c r="BQ939" t="s">
        <v>74</v>
      </c>
      <c r="BR939" t="s">
        <v>74</v>
      </c>
      <c r="BS939" t="s">
        <v>8114</v>
      </c>
      <c r="BT939" t="str">
        <f>HYPERLINK("https%3A%2F%2Fwww.webofscience.com%2Fwos%2Fwoscc%2Ffull-record%2FWOS:000309519200001","View Full Record in Web of Science")</f>
        <v>View Full Record in Web of Science</v>
      </c>
    </row>
    <row r="940" spans="1:72" x14ac:dyDescent="0.2">
      <c r="A940" t="s">
        <v>72</v>
      </c>
      <c r="B940" t="s">
        <v>8115</v>
      </c>
      <c r="C940" t="s">
        <v>74</v>
      </c>
      <c r="D940" t="s">
        <v>74</v>
      </c>
      <c r="E940" t="s">
        <v>74</v>
      </c>
      <c r="F940" t="s">
        <v>8116</v>
      </c>
      <c r="G940" t="s">
        <v>74</v>
      </c>
      <c r="H940" t="s">
        <v>74</v>
      </c>
      <c r="I940" t="s">
        <v>8117</v>
      </c>
      <c r="J940" t="s">
        <v>8118</v>
      </c>
      <c r="K940" t="s">
        <v>74</v>
      </c>
      <c r="L940" t="s">
        <v>74</v>
      </c>
      <c r="M940" t="s">
        <v>74</v>
      </c>
      <c r="N940" t="s">
        <v>74</v>
      </c>
      <c r="O940" t="s">
        <v>74</v>
      </c>
      <c r="P940" t="s">
        <v>74</v>
      </c>
      <c r="Q940" t="s">
        <v>74</v>
      </c>
      <c r="R940" t="s">
        <v>74</v>
      </c>
      <c r="S940" t="s">
        <v>74</v>
      </c>
      <c r="T940" t="s">
        <v>74</v>
      </c>
      <c r="U940" t="s">
        <v>74</v>
      </c>
      <c r="V940" t="s">
        <v>8119</v>
      </c>
      <c r="W940" t="s">
        <v>74</v>
      </c>
      <c r="X940" t="s">
        <v>74</v>
      </c>
      <c r="Y940" t="s">
        <v>74</v>
      </c>
      <c r="Z940" t="s">
        <v>74</v>
      </c>
      <c r="AA940" t="s">
        <v>8120</v>
      </c>
      <c r="AB940" t="s">
        <v>8121</v>
      </c>
      <c r="AC940" t="s">
        <v>74</v>
      </c>
      <c r="AD940" t="s">
        <v>74</v>
      </c>
      <c r="AE940" t="s">
        <v>74</v>
      </c>
      <c r="AF940" t="s">
        <v>74</v>
      </c>
      <c r="AG940" t="s">
        <v>74</v>
      </c>
      <c r="AH940" t="s">
        <v>74</v>
      </c>
      <c r="AI940" t="s">
        <v>74</v>
      </c>
      <c r="AJ940" t="s">
        <v>74</v>
      </c>
      <c r="AK940" t="s">
        <v>74</v>
      </c>
      <c r="AL940" t="s">
        <v>74</v>
      </c>
      <c r="AM940" t="s">
        <v>74</v>
      </c>
      <c r="AN940" t="s">
        <v>74</v>
      </c>
      <c r="AO940" t="s">
        <v>8122</v>
      </c>
      <c r="AP940" t="s">
        <v>8123</v>
      </c>
      <c r="AQ940" t="s">
        <v>74</v>
      </c>
      <c r="AR940" t="s">
        <v>74</v>
      </c>
      <c r="AS940" t="s">
        <v>74</v>
      </c>
      <c r="AT940" t="s">
        <v>74</v>
      </c>
      <c r="AU940">
        <v>2011</v>
      </c>
      <c r="AV940">
        <v>14</v>
      </c>
      <c r="AW940">
        <v>12</v>
      </c>
      <c r="AX940" t="s">
        <v>74</v>
      </c>
      <c r="AY940" t="s">
        <v>74</v>
      </c>
      <c r="AZ940" t="s">
        <v>74</v>
      </c>
      <c r="BA940" t="s">
        <v>74</v>
      </c>
      <c r="BB940" t="s">
        <v>8124</v>
      </c>
      <c r="BC940" t="s">
        <v>8125</v>
      </c>
      <c r="BD940" t="s">
        <v>74</v>
      </c>
      <c r="BE940" t="s">
        <v>8126</v>
      </c>
      <c r="BF940" t="str">
        <f>HYPERLINK("http://dx.doi.org/10.1149/2.003112esl","http://dx.doi.org/10.1149/2.003112esl")</f>
        <v>http://dx.doi.org/10.1149/2.003112esl</v>
      </c>
      <c r="BG940" t="s">
        <v>74</v>
      </c>
      <c r="BH940" t="s">
        <v>74</v>
      </c>
      <c r="BI940" t="s">
        <v>74</v>
      </c>
      <c r="BJ940" t="s">
        <v>74</v>
      </c>
      <c r="BK940" t="s">
        <v>74</v>
      </c>
      <c r="BL940" t="s">
        <v>74</v>
      </c>
      <c r="BM940" t="s">
        <v>74</v>
      </c>
      <c r="BN940" t="s">
        <v>74</v>
      </c>
      <c r="BO940" t="s">
        <v>74</v>
      </c>
      <c r="BP940" t="s">
        <v>74</v>
      </c>
      <c r="BQ940" t="s">
        <v>74</v>
      </c>
      <c r="BR940" t="s">
        <v>74</v>
      </c>
      <c r="BS940" t="s">
        <v>8127</v>
      </c>
      <c r="BT940" t="str">
        <f>HYPERLINK("https%3A%2F%2Fwww.webofscience.com%2Fwos%2Fwoscc%2Ffull-record%2FWOS:000296661100005","View Full Record in Web of Science")</f>
        <v>View Full Record in Web of Science</v>
      </c>
    </row>
    <row r="941" spans="1:72" x14ac:dyDescent="0.2">
      <c r="A941" t="s">
        <v>2738</v>
      </c>
      <c r="B941" t="s">
        <v>8128</v>
      </c>
      <c r="C941" t="s">
        <v>74</v>
      </c>
      <c r="D941" t="s">
        <v>8129</v>
      </c>
      <c r="E941" t="s">
        <v>74</v>
      </c>
      <c r="F941" t="s">
        <v>8130</v>
      </c>
      <c r="G941" t="s">
        <v>74</v>
      </c>
      <c r="H941" t="s">
        <v>74</v>
      </c>
      <c r="I941" t="s">
        <v>8131</v>
      </c>
      <c r="J941" t="s">
        <v>8132</v>
      </c>
      <c r="K941" t="s">
        <v>7853</v>
      </c>
      <c r="L941" t="s">
        <v>74</v>
      </c>
      <c r="M941" t="s">
        <v>74</v>
      </c>
      <c r="N941" t="s">
        <v>74</v>
      </c>
      <c r="O941" t="s">
        <v>8133</v>
      </c>
      <c r="P941" t="s">
        <v>8134</v>
      </c>
      <c r="Q941" t="s">
        <v>8135</v>
      </c>
      <c r="R941" t="s">
        <v>8136</v>
      </c>
      <c r="S941" t="s">
        <v>74</v>
      </c>
      <c r="T941" t="s">
        <v>74</v>
      </c>
      <c r="U941" t="s">
        <v>74</v>
      </c>
      <c r="V941" t="s">
        <v>8137</v>
      </c>
      <c r="W941" t="s">
        <v>74</v>
      </c>
      <c r="X941" t="s">
        <v>74</v>
      </c>
      <c r="Y941" t="s">
        <v>74</v>
      </c>
      <c r="Z941" t="s">
        <v>74</v>
      </c>
      <c r="AA941" t="s">
        <v>8138</v>
      </c>
      <c r="AB941" t="s">
        <v>74</v>
      </c>
      <c r="AC941" t="s">
        <v>74</v>
      </c>
      <c r="AD941" t="s">
        <v>74</v>
      </c>
      <c r="AE941" t="s">
        <v>74</v>
      </c>
      <c r="AF941" t="s">
        <v>74</v>
      </c>
      <c r="AG941" t="s">
        <v>74</v>
      </c>
      <c r="AH941" t="s">
        <v>74</v>
      </c>
      <c r="AI941" t="s">
        <v>74</v>
      </c>
      <c r="AJ941" t="s">
        <v>74</v>
      </c>
      <c r="AK941" t="s">
        <v>74</v>
      </c>
      <c r="AL941" t="s">
        <v>74</v>
      </c>
      <c r="AM941" t="s">
        <v>74</v>
      </c>
      <c r="AN941" t="s">
        <v>74</v>
      </c>
      <c r="AO941" t="s">
        <v>7860</v>
      </c>
      <c r="AP941" t="s">
        <v>74</v>
      </c>
      <c r="AQ941" t="s">
        <v>8139</v>
      </c>
      <c r="AR941" t="s">
        <v>74</v>
      </c>
      <c r="AS941" t="s">
        <v>74</v>
      </c>
      <c r="AT941" t="s">
        <v>74</v>
      </c>
      <c r="AU941">
        <v>2011</v>
      </c>
      <c r="AV941" t="s">
        <v>8140</v>
      </c>
      <c r="AW941" t="s">
        <v>74</v>
      </c>
      <c r="AX941" t="s">
        <v>8141</v>
      </c>
      <c r="AY941" t="s">
        <v>74</v>
      </c>
      <c r="AZ941" t="s">
        <v>74</v>
      </c>
      <c r="BA941" t="s">
        <v>74</v>
      </c>
      <c r="BB941">
        <v>1553</v>
      </c>
      <c r="BC941">
        <v>1558</v>
      </c>
      <c r="BD941" t="s">
        <v>74</v>
      </c>
      <c r="BE941" t="s">
        <v>8142</v>
      </c>
      <c r="BF941" t="str">
        <f>HYPERLINK("http://dx.doi.org/10.4028/www.scientific.net/AMR.287-290.1553","http://dx.doi.org/10.4028/www.scientific.net/AMR.287-290.1553")</f>
        <v>http://dx.doi.org/10.4028/www.scientific.net/AMR.287-290.1553</v>
      </c>
      <c r="BG941" t="s">
        <v>74</v>
      </c>
      <c r="BH941" t="s">
        <v>74</v>
      </c>
      <c r="BI941" t="s">
        <v>74</v>
      </c>
      <c r="BJ941" t="s">
        <v>74</v>
      </c>
      <c r="BK941" t="s">
        <v>74</v>
      </c>
      <c r="BL941" t="s">
        <v>74</v>
      </c>
      <c r="BM941" t="s">
        <v>74</v>
      </c>
      <c r="BN941" t="s">
        <v>74</v>
      </c>
      <c r="BO941" t="s">
        <v>74</v>
      </c>
      <c r="BP941" t="s">
        <v>74</v>
      </c>
      <c r="BQ941" t="s">
        <v>74</v>
      </c>
      <c r="BR941" t="s">
        <v>74</v>
      </c>
      <c r="BS941" t="s">
        <v>8143</v>
      </c>
      <c r="BT941" t="str">
        <f>HYPERLINK("https%3A%2F%2Fwww.webofscience.com%2Fwos%2Fwoscc%2Ffull-record%2FWOS:000302894000318","View Full Record in Web of Science")</f>
        <v>View Full Record in Web of Science</v>
      </c>
    </row>
    <row r="942" spans="1:72" x14ac:dyDescent="0.2">
      <c r="A942" t="s">
        <v>72</v>
      </c>
      <c r="B942" t="s">
        <v>8144</v>
      </c>
      <c r="C942" t="s">
        <v>74</v>
      </c>
      <c r="D942" t="s">
        <v>74</v>
      </c>
      <c r="E942" t="s">
        <v>74</v>
      </c>
      <c r="F942" t="s">
        <v>8145</v>
      </c>
      <c r="G942" t="s">
        <v>74</v>
      </c>
      <c r="H942" t="s">
        <v>74</v>
      </c>
      <c r="I942" t="s">
        <v>8146</v>
      </c>
      <c r="J942" t="s">
        <v>98</v>
      </c>
      <c r="K942" t="s">
        <v>74</v>
      </c>
      <c r="L942" t="s">
        <v>74</v>
      </c>
      <c r="M942" t="s">
        <v>74</v>
      </c>
      <c r="N942" t="s">
        <v>74</v>
      </c>
      <c r="O942" t="s">
        <v>74</v>
      </c>
      <c r="P942" t="s">
        <v>74</v>
      </c>
      <c r="Q942" t="s">
        <v>74</v>
      </c>
      <c r="R942" t="s">
        <v>74</v>
      </c>
      <c r="S942" t="s">
        <v>74</v>
      </c>
      <c r="T942" t="s">
        <v>74</v>
      </c>
      <c r="U942" t="s">
        <v>74</v>
      </c>
      <c r="V942" t="s">
        <v>8147</v>
      </c>
      <c r="W942" t="s">
        <v>74</v>
      </c>
      <c r="X942" t="s">
        <v>74</v>
      </c>
      <c r="Y942" t="s">
        <v>74</v>
      </c>
      <c r="Z942" t="s">
        <v>74</v>
      </c>
      <c r="AA942" t="s">
        <v>8148</v>
      </c>
      <c r="AB942" t="s">
        <v>8149</v>
      </c>
      <c r="AC942" t="s">
        <v>74</v>
      </c>
      <c r="AD942" t="s">
        <v>74</v>
      </c>
      <c r="AE942" t="s">
        <v>74</v>
      </c>
      <c r="AF942" t="s">
        <v>74</v>
      </c>
      <c r="AG942" t="s">
        <v>74</v>
      </c>
      <c r="AH942" t="s">
        <v>74</v>
      </c>
      <c r="AI942" t="s">
        <v>74</v>
      </c>
      <c r="AJ942" t="s">
        <v>74</v>
      </c>
      <c r="AK942" t="s">
        <v>74</v>
      </c>
      <c r="AL942" t="s">
        <v>74</v>
      </c>
      <c r="AM942" t="s">
        <v>74</v>
      </c>
      <c r="AN942" t="s">
        <v>74</v>
      </c>
      <c r="AO942" t="s">
        <v>101</v>
      </c>
      <c r="AP942" t="s">
        <v>102</v>
      </c>
      <c r="AQ942" t="s">
        <v>74</v>
      </c>
      <c r="AR942" t="s">
        <v>74</v>
      </c>
      <c r="AS942" t="s">
        <v>74</v>
      </c>
      <c r="AT942" t="s">
        <v>1391</v>
      </c>
      <c r="AU942">
        <v>2010</v>
      </c>
      <c r="AV942">
        <v>195</v>
      </c>
      <c r="AW942">
        <v>22</v>
      </c>
      <c r="AX942" t="s">
        <v>74</v>
      </c>
      <c r="AY942" t="s">
        <v>74</v>
      </c>
      <c r="AZ942" t="s">
        <v>2280</v>
      </c>
      <c r="BA942" t="s">
        <v>74</v>
      </c>
      <c r="BB942">
        <v>7506</v>
      </c>
      <c r="BC942">
        <v>7510</v>
      </c>
      <c r="BD942" t="s">
        <v>74</v>
      </c>
      <c r="BE942" t="s">
        <v>8150</v>
      </c>
      <c r="BF942" t="str">
        <f>HYPERLINK("http://dx.doi.org/10.1016/j.jpowsour.2010.01.026","http://dx.doi.org/10.1016/j.jpowsour.2010.01.026")</f>
        <v>http://dx.doi.org/10.1016/j.jpowsour.2010.01.026</v>
      </c>
      <c r="BG942" t="s">
        <v>74</v>
      </c>
      <c r="BH942" t="s">
        <v>74</v>
      </c>
      <c r="BI942" t="s">
        <v>74</v>
      </c>
      <c r="BJ942" t="s">
        <v>74</v>
      </c>
      <c r="BK942" t="s">
        <v>74</v>
      </c>
      <c r="BL942" t="s">
        <v>74</v>
      </c>
      <c r="BM942" t="s">
        <v>74</v>
      </c>
      <c r="BN942" t="s">
        <v>74</v>
      </c>
      <c r="BO942" t="s">
        <v>74</v>
      </c>
      <c r="BP942" t="s">
        <v>74</v>
      </c>
      <c r="BQ942" t="s">
        <v>74</v>
      </c>
      <c r="BR942" t="s">
        <v>74</v>
      </c>
      <c r="BS942" t="s">
        <v>8151</v>
      </c>
      <c r="BT942" t="str">
        <f>HYPERLINK("https%3A%2F%2Fwww.webofscience.com%2Fwos%2Fwoscc%2Ffull-record%2FWOS:000280974800002","View Full Record in Web of Science")</f>
        <v>View Full Record in Web of Science</v>
      </c>
    </row>
    <row r="943" spans="1:72" x14ac:dyDescent="0.2">
      <c r="A943" t="s">
        <v>72</v>
      </c>
      <c r="B943" t="s">
        <v>8152</v>
      </c>
      <c r="C943" t="s">
        <v>74</v>
      </c>
      <c r="D943" t="s">
        <v>74</v>
      </c>
      <c r="E943" t="s">
        <v>74</v>
      </c>
      <c r="F943" t="s">
        <v>8153</v>
      </c>
      <c r="G943" t="s">
        <v>74</v>
      </c>
      <c r="H943" t="s">
        <v>74</v>
      </c>
      <c r="I943" t="s">
        <v>8154</v>
      </c>
      <c r="J943" t="s">
        <v>3372</v>
      </c>
      <c r="K943" t="s">
        <v>74</v>
      </c>
      <c r="L943" t="s">
        <v>74</v>
      </c>
      <c r="M943" t="s">
        <v>74</v>
      </c>
      <c r="N943" t="s">
        <v>74</v>
      </c>
      <c r="O943" t="s">
        <v>74</v>
      </c>
      <c r="P943" t="s">
        <v>74</v>
      </c>
      <c r="Q943" t="s">
        <v>74</v>
      </c>
      <c r="R943" t="s">
        <v>74</v>
      </c>
      <c r="S943" t="s">
        <v>74</v>
      </c>
      <c r="T943" t="s">
        <v>74</v>
      </c>
      <c r="U943" t="s">
        <v>74</v>
      </c>
      <c r="V943" t="s">
        <v>8155</v>
      </c>
      <c r="W943" t="s">
        <v>74</v>
      </c>
      <c r="X943" t="s">
        <v>74</v>
      </c>
      <c r="Y943" t="s">
        <v>74</v>
      </c>
      <c r="Z943" t="s">
        <v>74</v>
      </c>
      <c r="AA943" t="s">
        <v>8156</v>
      </c>
      <c r="AB943" t="s">
        <v>8157</v>
      </c>
      <c r="AC943" t="s">
        <v>74</v>
      </c>
      <c r="AD943" t="s">
        <v>74</v>
      </c>
      <c r="AE943" t="s">
        <v>74</v>
      </c>
      <c r="AF943" t="s">
        <v>74</v>
      </c>
      <c r="AG943" t="s">
        <v>74</v>
      </c>
      <c r="AH943" t="s">
        <v>74</v>
      </c>
      <c r="AI943" t="s">
        <v>74</v>
      </c>
      <c r="AJ943" t="s">
        <v>74</v>
      </c>
      <c r="AK943" t="s">
        <v>74</v>
      </c>
      <c r="AL943" t="s">
        <v>74</v>
      </c>
      <c r="AM943" t="s">
        <v>74</v>
      </c>
      <c r="AN943" t="s">
        <v>74</v>
      </c>
      <c r="AO943" t="s">
        <v>3375</v>
      </c>
      <c r="AP943" t="s">
        <v>74</v>
      </c>
      <c r="AQ943" t="s">
        <v>74</v>
      </c>
      <c r="AR943" t="s">
        <v>74</v>
      </c>
      <c r="AS943" t="s">
        <v>74</v>
      </c>
      <c r="AT943" t="s">
        <v>134</v>
      </c>
      <c r="AU943">
        <v>2010</v>
      </c>
      <c r="AV943">
        <v>123</v>
      </c>
      <c r="AW943" t="s">
        <v>8072</v>
      </c>
      <c r="AX943" t="s">
        <v>74</v>
      </c>
      <c r="AY943" t="s">
        <v>74</v>
      </c>
      <c r="AZ943" t="s">
        <v>74</v>
      </c>
      <c r="BA943" t="s">
        <v>74</v>
      </c>
      <c r="BB943">
        <v>700</v>
      </c>
      <c r="BC943">
        <v>705</v>
      </c>
      <c r="BD943" t="s">
        <v>74</v>
      </c>
      <c r="BE943" t="s">
        <v>8158</v>
      </c>
      <c r="BF943" t="str">
        <f>HYPERLINK("http://dx.doi.org/10.1016/j.matchemphys.2010.05.041","http://dx.doi.org/10.1016/j.matchemphys.2010.05.041")</f>
        <v>http://dx.doi.org/10.1016/j.matchemphys.2010.05.041</v>
      </c>
      <c r="BG943" t="s">
        <v>74</v>
      </c>
      <c r="BH943" t="s">
        <v>74</v>
      </c>
      <c r="BI943" t="s">
        <v>74</v>
      </c>
      <c r="BJ943" t="s">
        <v>74</v>
      </c>
      <c r="BK943" t="s">
        <v>74</v>
      </c>
      <c r="BL943" t="s">
        <v>74</v>
      </c>
      <c r="BM943" t="s">
        <v>74</v>
      </c>
      <c r="BN943" t="s">
        <v>74</v>
      </c>
      <c r="BO943" t="s">
        <v>74</v>
      </c>
      <c r="BP943" t="s">
        <v>74</v>
      </c>
      <c r="BQ943" t="s">
        <v>74</v>
      </c>
      <c r="BR943" t="s">
        <v>74</v>
      </c>
      <c r="BS943" t="s">
        <v>8159</v>
      </c>
      <c r="BT943" t="str">
        <f>HYPERLINK("https%3A%2F%2Fwww.webofscience.com%2Fwos%2Fwoscc%2Ffull-record%2FWOS:000281175500060","View Full Record in Web of Science")</f>
        <v>View Full Record in Web of Science</v>
      </c>
    </row>
    <row r="944" spans="1:72" x14ac:dyDescent="0.2">
      <c r="A944" t="s">
        <v>72</v>
      </c>
      <c r="B944" t="s">
        <v>8160</v>
      </c>
      <c r="C944" t="s">
        <v>74</v>
      </c>
      <c r="D944" t="s">
        <v>74</v>
      </c>
      <c r="E944" t="s">
        <v>74</v>
      </c>
      <c r="F944" t="s">
        <v>8161</v>
      </c>
      <c r="G944" t="s">
        <v>74</v>
      </c>
      <c r="H944" t="s">
        <v>74</v>
      </c>
      <c r="I944" t="s">
        <v>8162</v>
      </c>
      <c r="J944" t="s">
        <v>98</v>
      </c>
      <c r="K944" t="s">
        <v>74</v>
      </c>
      <c r="L944" t="s">
        <v>74</v>
      </c>
      <c r="M944" t="s">
        <v>74</v>
      </c>
      <c r="N944" t="s">
        <v>74</v>
      </c>
      <c r="O944" t="s">
        <v>8163</v>
      </c>
      <c r="P944" t="s">
        <v>8164</v>
      </c>
      <c r="Q944" t="s">
        <v>8165</v>
      </c>
      <c r="R944" t="s">
        <v>74</v>
      </c>
      <c r="S944" t="s">
        <v>74</v>
      </c>
      <c r="T944" t="s">
        <v>74</v>
      </c>
      <c r="U944" t="s">
        <v>74</v>
      </c>
      <c r="V944" t="s">
        <v>8166</v>
      </c>
      <c r="W944" t="s">
        <v>74</v>
      </c>
      <c r="X944" t="s">
        <v>74</v>
      </c>
      <c r="Y944" t="s">
        <v>74</v>
      </c>
      <c r="Z944" t="s">
        <v>74</v>
      </c>
      <c r="AA944" t="s">
        <v>8167</v>
      </c>
      <c r="AB944" t="s">
        <v>8168</v>
      </c>
      <c r="AC944" t="s">
        <v>74</v>
      </c>
      <c r="AD944" t="s">
        <v>74</v>
      </c>
      <c r="AE944" t="s">
        <v>74</v>
      </c>
      <c r="AF944" t="s">
        <v>74</v>
      </c>
      <c r="AG944" t="s">
        <v>74</v>
      </c>
      <c r="AH944" t="s">
        <v>74</v>
      </c>
      <c r="AI944" t="s">
        <v>74</v>
      </c>
      <c r="AJ944" t="s">
        <v>74</v>
      </c>
      <c r="AK944" t="s">
        <v>74</v>
      </c>
      <c r="AL944" t="s">
        <v>74</v>
      </c>
      <c r="AM944" t="s">
        <v>74</v>
      </c>
      <c r="AN944" t="s">
        <v>74</v>
      </c>
      <c r="AO944" t="s">
        <v>101</v>
      </c>
      <c r="AP944" t="s">
        <v>74</v>
      </c>
      <c r="AQ944" t="s">
        <v>74</v>
      </c>
      <c r="AR944" t="s">
        <v>74</v>
      </c>
      <c r="AS944" t="s">
        <v>74</v>
      </c>
      <c r="AT944" t="s">
        <v>243</v>
      </c>
      <c r="AU944">
        <v>2010</v>
      </c>
      <c r="AV944">
        <v>195</v>
      </c>
      <c r="AW944">
        <v>18</v>
      </c>
      <c r="AX944" t="s">
        <v>74</v>
      </c>
      <c r="AY944" t="s">
        <v>74</v>
      </c>
      <c r="AZ944" t="s">
        <v>2280</v>
      </c>
      <c r="BA944" t="s">
        <v>74</v>
      </c>
      <c r="BB944">
        <v>6202</v>
      </c>
      <c r="BC944">
        <v>6206</v>
      </c>
      <c r="BD944" t="s">
        <v>74</v>
      </c>
      <c r="BE944" t="s">
        <v>8169</v>
      </c>
      <c r="BF944" t="str">
        <f>HYPERLINK("http://dx.doi.org/10.1016/j.jpowsour.2009.10.083","http://dx.doi.org/10.1016/j.jpowsour.2009.10.083")</f>
        <v>http://dx.doi.org/10.1016/j.jpowsour.2009.10.083</v>
      </c>
      <c r="BG944" t="s">
        <v>74</v>
      </c>
      <c r="BH944" t="s">
        <v>74</v>
      </c>
      <c r="BI944" t="s">
        <v>74</v>
      </c>
      <c r="BJ944" t="s">
        <v>74</v>
      </c>
      <c r="BK944" t="s">
        <v>74</v>
      </c>
      <c r="BL944" t="s">
        <v>74</v>
      </c>
      <c r="BM944" t="s">
        <v>74</v>
      </c>
      <c r="BN944" t="s">
        <v>74</v>
      </c>
      <c r="BO944" t="s">
        <v>74</v>
      </c>
      <c r="BP944" t="s">
        <v>74</v>
      </c>
      <c r="BQ944" t="s">
        <v>74</v>
      </c>
      <c r="BR944" t="s">
        <v>74</v>
      </c>
      <c r="BS944" t="s">
        <v>8170</v>
      </c>
      <c r="BT944" t="str">
        <f>HYPERLINK("https%3A%2F%2Fwww.webofscience.com%2Fwos%2Fwoscc%2Ffull-record%2FWOS:000279203100065","View Full Record in Web of Science")</f>
        <v>View Full Record in Web of Science</v>
      </c>
    </row>
    <row r="945" spans="1:72" x14ac:dyDescent="0.2">
      <c r="A945" t="s">
        <v>72</v>
      </c>
      <c r="B945" t="s">
        <v>8171</v>
      </c>
      <c r="C945" t="s">
        <v>74</v>
      </c>
      <c r="D945" t="s">
        <v>74</v>
      </c>
      <c r="E945" t="s">
        <v>74</v>
      </c>
      <c r="F945" t="s">
        <v>8172</v>
      </c>
      <c r="G945" t="s">
        <v>74</v>
      </c>
      <c r="H945" t="s">
        <v>74</v>
      </c>
      <c r="I945" t="s">
        <v>8173</v>
      </c>
      <c r="J945" t="s">
        <v>498</v>
      </c>
      <c r="K945" t="s">
        <v>74</v>
      </c>
      <c r="L945" t="s">
        <v>74</v>
      </c>
      <c r="M945" t="s">
        <v>74</v>
      </c>
      <c r="N945" t="s">
        <v>74</v>
      </c>
      <c r="O945" t="s">
        <v>74</v>
      </c>
      <c r="P945" t="s">
        <v>74</v>
      </c>
      <c r="Q945" t="s">
        <v>74</v>
      </c>
      <c r="R945" t="s">
        <v>74</v>
      </c>
      <c r="S945" t="s">
        <v>74</v>
      </c>
      <c r="T945" t="s">
        <v>74</v>
      </c>
      <c r="U945" t="s">
        <v>74</v>
      </c>
      <c r="V945" t="s">
        <v>8174</v>
      </c>
      <c r="W945" t="s">
        <v>74</v>
      </c>
      <c r="X945" t="s">
        <v>74</v>
      </c>
      <c r="Y945" t="s">
        <v>74</v>
      </c>
      <c r="Z945" t="s">
        <v>74</v>
      </c>
      <c r="AA945" t="s">
        <v>8175</v>
      </c>
      <c r="AB945" t="s">
        <v>8176</v>
      </c>
      <c r="AC945" t="s">
        <v>74</v>
      </c>
      <c r="AD945" t="s">
        <v>74</v>
      </c>
      <c r="AE945" t="s">
        <v>74</v>
      </c>
      <c r="AF945" t="s">
        <v>74</v>
      </c>
      <c r="AG945" t="s">
        <v>74</v>
      </c>
      <c r="AH945" t="s">
        <v>74</v>
      </c>
      <c r="AI945" t="s">
        <v>74</v>
      </c>
      <c r="AJ945" t="s">
        <v>74</v>
      </c>
      <c r="AK945" t="s">
        <v>74</v>
      </c>
      <c r="AL945" t="s">
        <v>74</v>
      </c>
      <c r="AM945" t="s">
        <v>74</v>
      </c>
      <c r="AN945" t="s">
        <v>74</v>
      </c>
      <c r="AO945" t="s">
        <v>502</v>
      </c>
      <c r="AP945" t="s">
        <v>503</v>
      </c>
      <c r="AQ945" t="s">
        <v>74</v>
      </c>
      <c r="AR945" t="s">
        <v>74</v>
      </c>
      <c r="AS945" t="s">
        <v>74</v>
      </c>
      <c r="AT945" t="s">
        <v>8177</v>
      </c>
      <c r="AU945">
        <v>2010</v>
      </c>
      <c r="AV945">
        <v>114</v>
      </c>
      <c r="AW945">
        <v>35</v>
      </c>
      <c r="AX945" t="s">
        <v>74</v>
      </c>
      <c r="AY945" t="s">
        <v>74</v>
      </c>
      <c r="AZ945" t="s">
        <v>74</v>
      </c>
      <c r="BA945" t="s">
        <v>74</v>
      </c>
      <c r="BB945">
        <v>15202</v>
      </c>
      <c r="BC945">
        <v>15206</v>
      </c>
      <c r="BD945" t="s">
        <v>74</v>
      </c>
      <c r="BE945" t="s">
        <v>8178</v>
      </c>
      <c r="BF945" t="str">
        <f>HYPERLINK("http://dx.doi.org/10.1021/jp104341t","http://dx.doi.org/10.1021/jp104341t")</f>
        <v>http://dx.doi.org/10.1021/jp104341t</v>
      </c>
      <c r="BG945" t="s">
        <v>74</v>
      </c>
      <c r="BH945" t="s">
        <v>74</v>
      </c>
      <c r="BI945" t="s">
        <v>74</v>
      </c>
      <c r="BJ945" t="s">
        <v>74</v>
      </c>
      <c r="BK945" t="s">
        <v>74</v>
      </c>
      <c r="BL945" t="s">
        <v>74</v>
      </c>
      <c r="BM945" t="s">
        <v>74</v>
      </c>
      <c r="BN945" t="s">
        <v>74</v>
      </c>
      <c r="BO945" t="s">
        <v>74</v>
      </c>
      <c r="BP945" t="s">
        <v>74</v>
      </c>
      <c r="BQ945" t="s">
        <v>74</v>
      </c>
      <c r="BR945" t="s">
        <v>74</v>
      </c>
      <c r="BS945" t="s">
        <v>8179</v>
      </c>
      <c r="BT945" t="str">
        <f>HYPERLINK("https%3A%2F%2Fwww.webofscience.com%2Fwos%2Fwoscc%2Ffull-record%2FWOS:000284520100078","View Full Record in Web of Science")</f>
        <v>View Full Record in Web of Science</v>
      </c>
    </row>
    <row r="946" spans="1:72" x14ac:dyDescent="0.2">
      <c r="A946" t="s">
        <v>72</v>
      </c>
      <c r="B946" t="s">
        <v>7734</v>
      </c>
      <c r="C946" t="s">
        <v>74</v>
      </c>
      <c r="D946" t="s">
        <v>74</v>
      </c>
      <c r="E946" t="s">
        <v>74</v>
      </c>
      <c r="F946" t="s">
        <v>8180</v>
      </c>
      <c r="G946" t="s">
        <v>74</v>
      </c>
      <c r="H946" t="s">
        <v>74</v>
      </c>
      <c r="I946" t="s">
        <v>8181</v>
      </c>
      <c r="J946" t="s">
        <v>665</v>
      </c>
      <c r="K946" t="s">
        <v>74</v>
      </c>
      <c r="L946" t="s">
        <v>74</v>
      </c>
      <c r="M946" t="s">
        <v>74</v>
      </c>
      <c r="N946" t="s">
        <v>74</v>
      </c>
      <c r="O946" t="s">
        <v>74</v>
      </c>
      <c r="P946" t="s">
        <v>74</v>
      </c>
      <c r="Q946" t="s">
        <v>74</v>
      </c>
      <c r="R946" t="s">
        <v>74</v>
      </c>
      <c r="S946" t="s">
        <v>74</v>
      </c>
      <c r="T946" t="s">
        <v>74</v>
      </c>
      <c r="U946" t="s">
        <v>74</v>
      </c>
      <c r="V946" t="s">
        <v>8182</v>
      </c>
      <c r="W946" t="s">
        <v>74</v>
      </c>
      <c r="X946" t="s">
        <v>74</v>
      </c>
      <c r="Y946" t="s">
        <v>74</v>
      </c>
      <c r="Z946" t="s">
        <v>74</v>
      </c>
      <c r="AA946" t="s">
        <v>8183</v>
      </c>
      <c r="AB946" t="s">
        <v>8184</v>
      </c>
      <c r="AC946" t="s">
        <v>74</v>
      </c>
      <c r="AD946" t="s">
        <v>74</v>
      </c>
      <c r="AE946" t="s">
        <v>74</v>
      </c>
      <c r="AF946" t="s">
        <v>74</v>
      </c>
      <c r="AG946" t="s">
        <v>74</v>
      </c>
      <c r="AH946" t="s">
        <v>74</v>
      </c>
      <c r="AI946" t="s">
        <v>74</v>
      </c>
      <c r="AJ946" t="s">
        <v>74</v>
      </c>
      <c r="AK946" t="s">
        <v>74</v>
      </c>
      <c r="AL946" t="s">
        <v>74</v>
      </c>
      <c r="AM946" t="s">
        <v>74</v>
      </c>
      <c r="AN946" t="s">
        <v>74</v>
      </c>
      <c r="AO946" t="s">
        <v>668</v>
      </c>
      <c r="AP946" t="s">
        <v>669</v>
      </c>
      <c r="AQ946" t="s">
        <v>74</v>
      </c>
      <c r="AR946" t="s">
        <v>74</v>
      </c>
      <c r="AS946" t="s">
        <v>74</v>
      </c>
      <c r="AT946" t="s">
        <v>8185</v>
      </c>
      <c r="AU946">
        <v>2010</v>
      </c>
      <c r="AV946">
        <v>181</v>
      </c>
      <c r="AW946" t="s">
        <v>8186</v>
      </c>
      <c r="AX946" t="s">
        <v>74</v>
      </c>
      <c r="AY946" t="s">
        <v>74</v>
      </c>
      <c r="AZ946" t="s">
        <v>74</v>
      </c>
      <c r="BA946" t="s">
        <v>74</v>
      </c>
      <c r="BB946">
        <v>987</v>
      </c>
      <c r="BC946">
        <v>993</v>
      </c>
      <c r="BD946" t="s">
        <v>74</v>
      </c>
      <c r="BE946" t="s">
        <v>8187</v>
      </c>
      <c r="BF946" t="str">
        <f>HYPERLINK("http://dx.doi.org/10.1016/j.ssi.2010.05.039","http://dx.doi.org/10.1016/j.ssi.2010.05.039")</f>
        <v>http://dx.doi.org/10.1016/j.ssi.2010.05.039</v>
      </c>
      <c r="BG946" t="s">
        <v>74</v>
      </c>
      <c r="BH946" t="s">
        <v>74</v>
      </c>
      <c r="BI946" t="s">
        <v>74</v>
      </c>
      <c r="BJ946" t="s">
        <v>74</v>
      </c>
      <c r="BK946" t="s">
        <v>74</v>
      </c>
      <c r="BL946" t="s">
        <v>74</v>
      </c>
      <c r="BM946" t="s">
        <v>74</v>
      </c>
      <c r="BN946" t="s">
        <v>74</v>
      </c>
      <c r="BO946" t="s">
        <v>74</v>
      </c>
      <c r="BP946" t="s">
        <v>74</v>
      </c>
      <c r="BQ946" t="s">
        <v>74</v>
      </c>
      <c r="BR946" t="s">
        <v>74</v>
      </c>
      <c r="BS946" t="s">
        <v>8188</v>
      </c>
      <c r="BT946" t="str">
        <f>HYPERLINK("https%3A%2F%2Fwww.webofscience.com%2Fwos%2Fwoscc%2Ffull-record%2FWOS:000280820200006","View Full Record in Web of Science")</f>
        <v>View Full Record in Web of Science</v>
      </c>
    </row>
    <row r="947" spans="1:72" x14ac:dyDescent="0.2">
      <c r="A947" t="s">
        <v>72</v>
      </c>
      <c r="B947" t="s">
        <v>8189</v>
      </c>
      <c r="C947" t="s">
        <v>74</v>
      </c>
      <c r="D947" t="s">
        <v>74</v>
      </c>
      <c r="E947" t="s">
        <v>74</v>
      </c>
      <c r="F947" t="s">
        <v>8190</v>
      </c>
      <c r="G947" t="s">
        <v>74</v>
      </c>
      <c r="H947" t="s">
        <v>74</v>
      </c>
      <c r="I947" t="s">
        <v>8191</v>
      </c>
      <c r="J947" t="s">
        <v>98</v>
      </c>
      <c r="K947" t="s">
        <v>74</v>
      </c>
      <c r="L947" t="s">
        <v>74</v>
      </c>
      <c r="M947" t="s">
        <v>74</v>
      </c>
      <c r="N947" t="s">
        <v>74</v>
      </c>
      <c r="O947" t="s">
        <v>74</v>
      </c>
      <c r="P947" t="s">
        <v>74</v>
      </c>
      <c r="Q947" t="s">
        <v>74</v>
      </c>
      <c r="R947" t="s">
        <v>74</v>
      </c>
      <c r="S947" t="s">
        <v>74</v>
      </c>
      <c r="T947" t="s">
        <v>74</v>
      </c>
      <c r="U947" t="s">
        <v>74</v>
      </c>
      <c r="V947" t="s">
        <v>8192</v>
      </c>
      <c r="W947" t="s">
        <v>74</v>
      </c>
      <c r="X947" t="s">
        <v>74</v>
      </c>
      <c r="Y947" t="s">
        <v>74</v>
      </c>
      <c r="Z947" t="s">
        <v>74</v>
      </c>
      <c r="AA947" t="s">
        <v>7782</v>
      </c>
      <c r="AB947" t="s">
        <v>7783</v>
      </c>
      <c r="AC947" t="s">
        <v>74</v>
      </c>
      <c r="AD947" t="s">
        <v>74</v>
      </c>
      <c r="AE947" t="s">
        <v>74</v>
      </c>
      <c r="AF947" t="s">
        <v>74</v>
      </c>
      <c r="AG947" t="s">
        <v>74</v>
      </c>
      <c r="AH947" t="s">
        <v>74</v>
      </c>
      <c r="AI947" t="s">
        <v>74</v>
      </c>
      <c r="AJ947" t="s">
        <v>74</v>
      </c>
      <c r="AK947" t="s">
        <v>74</v>
      </c>
      <c r="AL947" t="s">
        <v>74</v>
      </c>
      <c r="AM947" t="s">
        <v>74</v>
      </c>
      <c r="AN947" t="s">
        <v>74</v>
      </c>
      <c r="AO947" t="s">
        <v>101</v>
      </c>
      <c r="AP947" t="s">
        <v>74</v>
      </c>
      <c r="AQ947" t="s">
        <v>74</v>
      </c>
      <c r="AR947" t="s">
        <v>74</v>
      </c>
      <c r="AS947" t="s">
        <v>74</v>
      </c>
      <c r="AT947" t="s">
        <v>2174</v>
      </c>
      <c r="AU947">
        <v>2010</v>
      </c>
      <c r="AV947">
        <v>195</v>
      </c>
      <c r="AW947">
        <v>11</v>
      </c>
      <c r="AX947" t="s">
        <v>74</v>
      </c>
      <c r="AY947" t="s">
        <v>74</v>
      </c>
      <c r="AZ947" t="s">
        <v>2280</v>
      </c>
      <c r="BA947" t="s">
        <v>74</v>
      </c>
      <c r="BB947">
        <v>3689</v>
      </c>
      <c r="BC947">
        <v>3692</v>
      </c>
      <c r="BD947" t="s">
        <v>74</v>
      </c>
      <c r="BE947" t="s">
        <v>8193</v>
      </c>
      <c r="BF947" t="str">
        <f>HYPERLINK("http://dx.doi.org/10.1016/j.jpowsour.2009.12.049","http://dx.doi.org/10.1016/j.jpowsour.2009.12.049")</f>
        <v>http://dx.doi.org/10.1016/j.jpowsour.2009.12.049</v>
      </c>
      <c r="BG947" t="s">
        <v>74</v>
      </c>
      <c r="BH947" t="s">
        <v>74</v>
      </c>
      <c r="BI947" t="s">
        <v>74</v>
      </c>
      <c r="BJ947" t="s">
        <v>74</v>
      </c>
      <c r="BK947" t="s">
        <v>74</v>
      </c>
      <c r="BL947" t="s">
        <v>74</v>
      </c>
      <c r="BM947" t="s">
        <v>74</v>
      </c>
      <c r="BN947" t="s">
        <v>74</v>
      </c>
      <c r="BO947" t="s">
        <v>74</v>
      </c>
      <c r="BP947" t="s">
        <v>74</v>
      </c>
      <c r="BQ947" t="s">
        <v>74</v>
      </c>
      <c r="BR947" t="s">
        <v>74</v>
      </c>
      <c r="BS947" t="s">
        <v>8194</v>
      </c>
      <c r="BT947" t="str">
        <f>HYPERLINK("https%3A%2F%2Fwww.webofscience.com%2Fwos%2Fwoscc%2Ffull-record%2FWOS:000275386100048","View Full Record in Web of Science")</f>
        <v>View Full Record in Web of Science</v>
      </c>
    </row>
    <row r="948" spans="1:72" x14ac:dyDescent="0.2">
      <c r="A948" t="s">
        <v>72</v>
      </c>
      <c r="B948" t="s">
        <v>8195</v>
      </c>
      <c r="C948" t="s">
        <v>74</v>
      </c>
      <c r="D948" t="s">
        <v>74</v>
      </c>
      <c r="E948" t="s">
        <v>74</v>
      </c>
      <c r="F948" t="s">
        <v>8196</v>
      </c>
      <c r="G948" t="s">
        <v>74</v>
      </c>
      <c r="H948" t="s">
        <v>74</v>
      </c>
      <c r="I948" t="s">
        <v>8197</v>
      </c>
      <c r="J948" t="s">
        <v>6277</v>
      </c>
      <c r="K948" t="s">
        <v>74</v>
      </c>
      <c r="L948" t="s">
        <v>74</v>
      </c>
      <c r="M948" t="s">
        <v>74</v>
      </c>
      <c r="N948" t="s">
        <v>74</v>
      </c>
      <c r="O948" t="s">
        <v>74</v>
      </c>
      <c r="P948" t="s">
        <v>74</v>
      </c>
      <c r="Q948" t="s">
        <v>74</v>
      </c>
      <c r="R948" t="s">
        <v>74</v>
      </c>
      <c r="S948" t="s">
        <v>74</v>
      </c>
      <c r="T948" t="s">
        <v>74</v>
      </c>
      <c r="U948" t="s">
        <v>74</v>
      </c>
      <c r="V948" t="s">
        <v>8198</v>
      </c>
      <c r="W948" t="s">
        <v>74</v>
      </c>
      <c r="X948" t="s">
        <v>74</v>
      </c>
      <c r="Y948" t="s">
        <v>74</v>
      </c>
      <c r="Z948" t="s">
        <v>74</v>
      </c>
      <c r="AA948" t="s">
        <v>8199</v>
      </c>
      <c r="AB948" t="s">
        <v>8200</v>
      </c>
      <c r="AC948" t="s">
        <v>74</v>
      </c>
      <c r="AD948" t="s">
        <v>74</v>
      </c>
      <c r="AE948" t="s">
        <v>74</v>
      </c>
      <c r="AF948" t="s">
        <v>74</v>
      </c>
      <c r="AG948" t="s">
        <v>74</v>
      </c>
      <c r="AH948" t="s">
        <v>74</v>
      </c>
      <c r="AI948" t="s">
        <v>74</v>
      </c>
      <c r="AJ948" t="s">
        <v>74</v>
      </c>
      <c r="AK948" t="s">
        <v>74</v>
      </c>
      <c r="AL948" t="s">
        <v>74</v>
      </c>
      <c r="AM948" t="s">
        <v>74</v>
      </c>
      <c r="AN948" t="s">
        <v>74</v>
      </c>
      <c r="AO948" t="s">
        <v>6280</v>
      </c>
      <c r="AP948" t="s">
        <v>74</v>
      </c>
      <c r="AQ948" t="s">
        <v>74</v>
      </c>
      <c r="AR948" t="s">
        <v>74</v>
      </c>
      <c r="AS948" t="s">
        <v>74</v>
      </c>
      <c r="AT948" t="s">
        <v>545</v>
      </c>
      <c r="AU948">
        <v>2010</v>
      </c>
      <c r="AV948">
        <v>78</v>
      </c>
      <c r="AW948">
        <v>5</v>
      </c>
      <c r="AX948" t="s">
        <v>74</v>
      </c>
      <c r="AY948" t="s">
        <v>74</v>
      </c>
      <c r="AZ948" t="s">
        <v>74</v>
      </c>
      <c r="BA948" t="s">
        <v>74</v>
      </c>
      <c r="BB948">
        <v>467</v>
      </c>
      <c r="BC948">
        <v>470</v>
      </c>
      <c r="BD948" t="s">
        <v>74</v>
      </c>
      <c r="BE948" t="s">
        <v>8201</v>
      </c>
      <c r="BF948" t="str">
        <f>HYPERLINK("http://dx.doi.org/10.5796/electrochemistry.78.467","http://dx.doi.org/10.5796/electrochemistry.78.467")</f>
        <v>http://dx.doi.org/10.5796/electrochemistry.78.467</v>
      </c>
      <c r="BG948" t="s">
        <v>74</v>
      </c>
      <c r="BH948" t="s">
        <v>74</v>
      </c>
      <c r="BI948" t="s">
        <v>74</v>
      </c>
      <c r="BJ948" t="s">
        <v>74</v>
      </c>
      <c r="BK948" t="s">
        <v>74</v>
      </c>
      <c r="BL948" t="s">
        <v>74</v>
      </c>
      <c r="BM948" t="s">
        <v>74</v>
      </c>
      <c r="BN948" t="s">
        <v>74</v>
      </c>
      <c r="BO948" t="s">
        <v>74</v>
      </c>
      <c r="BP948" t="s">
        <v>74</v>
      </c>
      <c r="BQ948" t="s">
        <v>74</v>
      </c>
      <c r="BR948" t="s">
        <v>74</v>
      </c>
      <c r="BS948" t="s">
        <v>8202</v>
      </c>
      <c r="BT948" t="str">
        <f>HYPERLINK("https%3A%2F%2Fwww.webofscience.com%2Fwos%2Fwoscc%2Ffull-record%2FWOS:000277593800044","View Full Record in Web of Science")</f>
        <v>View Full Record in Web of Science</v>
      </c>
    </row>
    <row r="949" spans="1:72" x14ac:dyDescent="0.2">
      <c r="A949" t="s">
        <v>72</v>
      </c>
      <c r="B949" t="s">
        <v>8203</v>
      </c>
      <c r="C949" t="s">
        <v>74</v>
      </c>
      <c r="D949" t="s">
        <v>74</v>
      </c>
      <c r="E949" t="s">
        <v>74</v>
      </c>
      <c r="F949" t="s">
        <v>8204</v>
      </c>
      <c r="G949" t="s">
        <v>74</v>
      </c>
      <c r="H949" t="s">
        <v>74</v>
      </c>
      <c r="I949" t="s">
        <v>8205</v>
      </c>
      <c r="J949" t="s">
        <v>8206</v>
      </c>
      <c r="K949" t="s">
        <v>74</v>
      </c>
      <c r="L949" t="s">
        <v>74</v>
      </c>
      <c r="M949" t="s">
        <v>74</v>
      </c>
      <c r="N949" t="s">
        <v>74</v>
      </c>
      <c r="O949" t="s">
        <v>74</v>
      </c>
      <c r="P949" t="s">
        <v>74</v>
      </c>
      <c r="Q949" t="s">
        <v>74</v>
      </c>
      <c r="R949" t="s">
        <v>74</v>
      </c>
      <c r="S949" t="s">
        <v>74</v>
      </c>
      <c r="T949" t="s">
        <v>74</v>
      </c>
      <c r="U949" t="s">
        <v>74</v>
      </c>
      <c r="V949" t="s">
        <v>8207</v>
      </c>
      <c r="W949" t="s">
        <v>74</v>
      </c>
      <c r="X949" t="s">
        <v>74</v>
      </c>
      <c r="Y949" t="s">
        <v>74</v>
      </c>
      <c r="Z949" t="s">
        <v>74</v>
      </c>
      <c r="AA949" t="s">
        <v>8208</v>
      </c>
      <c r="AB949" t="s">
        <v>74</v>
      </c>
      <c r="AC949" t="s">
        <v>74</v>
      </c>
      <c r="AD949" t="s">
        <v>74</v>
      </c>
      <c r="AE949" t="s">
        <v>74</v>
      </c>
      <c r="AF949" t="s">
        <v>74</v>
      </c>
      <c r="AG949" t="s">
        <v>74</v>
      </c>
      <c r="AH949" t="s">
        <v>74</v>
      </c>
      <c r="AI949" t="s">
        <v>74</v>
      </c>
      <c r="AJ949" t="s">
        <v>74</v>
      </c>
      <c r="AK949" t="s">
        <v>74</v>
      </c>
      <c r="AL949" t="s">
        <v>74</v>
      </c>
      <c r="AM949" t="s">
        <v>74</v>
      </c>
      <c r="AN949" t="s">
        <v>74</v>
      </c>
      <c r="AO949" t="s">
        <v>8209</v>
      </c>
      <c r="AP949" t="s">
        <v>74</v>
      </c>
      <c r="AQ949" t="s">
        <v>74</v>
      </c>
      <c r="AR949" t="s">
        <v>74</v>
      </c>
      <c r="AS949" t="s">
        <v>74</v>
      </c>
      <c r="AT949" t="s">
        <v>8210</v>
      </c>
      <c r="AU949">
        <v>2010</v>
      </c>
      <c r="AV949">
        <v>46</v>
      </c>
      <c r="AW949">
        <v>3</v>
      </c>
      <c r="AX949" t="s">
        <v>74</v>
      </c>
      <c r="AY949" t="s">
        <v>74</v>
      </c>
      <c r="AZ949" t="s">
        <v>74</v>
      </c>
      <c r="BA949" t="s">
        <v>74</v>
      </c>
      <c r="BB949">
        <v>346</v>
      </c>
      <c r="BC949">
        <v>351</v>
      </c>
      <c r="BD949" t="s">
        <v>74</v>
      </c>
      <c r="BE949" t="s">
        <v>8211</v>
      </c>
      <c r="BF949" t="str">
        <f>HYPERLINK("http://dx.doi.org/10.3724/SP.J.1037.2010.00346","http://dx.doi.org/10.3724/SP.J.1037.2010.00346")</f>
        <v>http://dx.doi.org/10.3724/SP.J.1037.2010.00346</v>
      </c>
      <c r="BG949" t="s">
        <v>74</v>
      </c>
      <c r="BH949" t="s">
        <v>74</v>
      </c>
      <c r="BI949" t="s">
        <v>74</v>
      </c>
      <c r="BJ949" t="s">
        <v>74</v>
      </c>
      <c r="BK949" t="s">
        <v>74</v>
      </c>
      <c r="BL949" t="s">
        <v>74</v>
      </c>
      <c r="BM949" t="s">
        <v>74</v>
      </c>
      <c r="BN949" t="s">
        <v>74</v>
      </c>
      <c r="BO949" t="s">
        <v>74</v>
      </c>
      <c r="BP949" t="s">
        <v>74</v>
      </c>
      <c r="BQ949" t="s">
        <v>74</v>
      </c>
      <c r="BR949" t="s">
        <v>74</v>
      </c>
      <c r="BS949" t="s">
        <v>8212</v>
      </c>
      <c r="BT949" t="str">
        <f>HYPERLINK("https%3A%2F%2Fwww.webofscience.com%2Fwos%2Fwoscc%2Ffull-record%2FWOS:000276824000013","View Full Record in Web of Science")</f>
        <v>View Full Record in Web of Science</v>
      </c>
    </row>
    <row r="950" spans="1:72" x14ac:dyDescent="0.2">
      <c r="A950" t="s">
        <v>72</v>
      </c>
      <c r="B950" t="s">
        <v>8213</v>
      </c>
      <c r="C950" t="s">
        <v>74</v>
      </c>
      <c r="D950" t="s">
        <v>74</v>
      </c>
      <c r="E950" t="s">
        <v>74</v>
      </c>
      <c r="F950" t="s">
        <v>8214</v>
      </c>
      <c r="G950" t="s">
        <v>74</v>
      </c>
      <c r="H950" t="s">
        <v>74</v>
      </c>
      <c r="I950" t="s">
        <v>8215</v>
      </c>
      <c r="J950" t="s">
        <v>399</v>
      </c>
      <c r="K950" t="s">
        <v>74</v>
      </c>
      <c r="L950" t="s">
        <v>74</v>
      </c>
      <c r="M950" t="s">
        <v>74</v>
      </c>
      <c r="N950" t="s">
        <v>74</v>
      </c>
      <c r="O950" t="s">
        <v>74</v>
      </c>
      <c r="P950" t="s">
        <v>74</v>
      </c>
      <c r="Q950" t="s">
        <v>74</v>
      </c>
      <c r="R950" t="s">
        <v>74</v>
      </c>
      <c r="S950" t="s">
        <v>74</v>
      </c>
      <c r="T950" t="s">
        <v>74</v>
      </c>
      <c r="U950" t="s">
        <v>74</v>
      </c>
      <c r="V950" t="s">
        <v>8216</v>
      </c>
      <c r="W950" t="s">
        <v>74</v>
      </c>
      <c r="X950" t="s">
        <v>74</v>
      </c>
      <c r="Y950" t="s">
        <v>74</v>
      </c>
      <c r="Z950" t="s">
        <v>74</v>
      </c>
      <c r="AA950" t="s">
        <v>8217</v>
      </c>
      <c r="AB950" t="s">
        <v>8218</v>
      </c>
      <c r="AC950" t="s">
        <v>74</v>
      </c>
      <c r="AD950" t="s">
        <v>74</v>
      </c>
      <c r="AE950" t="s">
        <v>74</v>
      </c>
      <c r="AF950" t="s">
        <v>74</v>
      </c>
      <c r="AG950" t="s">
        <v>74</v>
      </c>
      <c r="AH950" t="s">
        <v>74</v>
      </c>
      <c r="AI950" t="s">
        <v>74</v>
      </c>
      <c r="AJ950" t="s">
        <v>74</v>
      </c>
      <c r="AK950" t="s">
        <v>74</v>
      </c>
      <c r="AL950" t="s">
        <v>74</v>
      </c>
      <c r="AM950" t="s">
        <v>74</v>
      </c>
      <c r="AN950" t="s">
        <v>74</v>
      </c>
      <c r="AO950" t="s">
        <v>402</v>
      </c>
      <c r="AP950" t="s">
        <v>403</v>
      </c>
      <c r="AQ950" t="s">
        <v>74</v>
      </c>
      <c r="AR950" t="s">
        <v>74</v>
      </c>
      <c r="AS950" t="s">
        <v>74</v>
      </c>
      <c r="AT950" t="s">
        <v>889</v>
      </c>
      <c r="AU950">
        <v>2010</v>
      </c>
      <c r="AV950">
        <v>132</v>
      </c>
      <c r="AW950">
        <v>9</v>
      </c>
      <c r="AX950" t="s">
        <v>74</v>
      </c>
      <c r="AY950" t="s">
        <v>74</v>
      </c>
      <c r="AZ950" t="s">
        <v>74</v>
      </c>
      <c r="BA950" t="s">
        <v>74</v>
      </c>
      <c r="BB950">
        <v>3055</v>
      </c>
      <c r="BC950">
        <v>3062</v>
      </c>
      <c r="BD950" t="s">
        <v>74</v>
      </c>
      <c r="BE950" t="s">
        <v>8219</v>
      </c>
      <c r="BF950" t="str">
        <f>HYPERLINK("http://dx.doi.org/10.1021/ja9093814","http://dx.doi.org/10.1021/ja9093814")</f>
        <v>http://dx.doi.org/10.1021/ja9093814</v>
      </c>
      <c r="BG950" t="s">
        <v>74</v>
      </c>
      <c r="BH950" t="s">
        <v>74</v>
      </c>
      <c r="BI950" t="s">
        <v>74</v>
      </c>
      <c r="BJ950" t="s">
        <v>74</v>
      </c>
      <c r="BK950" t="s">
        <v>74</v>
      </c>
      <c r="BL950" t="s">
        <v>74</v>
      </c>
      <c r="BM950" t="s">
        <v>74</v>
      </c>
      <c r="BN950">
        <v>20155905</v>
      </c>
      <c r="BO950" t="s">
        <v>74</v>
      </c>
      <c r="BP950" t="s">
        <v>74</v>
      </c>
      <c r="BQ950" t="s">
        <v>74</v>
      </c>
      <c r="BR950" t="s">
        <v>74</v>
      </c>
      <c r="BS950" t="s">
        <v>8220</v>
      </c>
      <c r="BT950" t="str">
        <f>HYPERLINK("https%3A%2F%2Fwww.webofscience.com%2Fwos%2Fwoscc%2Ffull-record%2FWOS:000275660500044","View Full Record in Web of Science")</f>
        <v>View Full Record in Web of Science</v>
      </c>
    </row>
    <row r="951" spans="1:72" x14ac:dyDescent="0.2">
      <c r="A951" t="s">
        <v>72</v>
      </c>
      <c r="B951" t="s">
        <v>8221</v>
      </c>
      <c r="C951" t="s">
        <v>74</v>
      </c>
      <c r="D951" t="s">
        <v>74</v>
      </c>
      <c r="E951" t="s">
        <v>74</v>
      </c>
      <c r="F951" t="s">
        <v>8222</v>
      </c>
      <c r="G951" t="s">
        <v>74</v>
      </c>
      <c r="H951" t="s">
        <v>74</v>
      </c>
      <c r="I951" t="s">
        <v>8223</v>
      </c>
      <c r="J951" t="s">
        <v>98</v>
      </c>
      <c r="K951" t="s">
        <v>74</v>
      </c>
      <c r="L951" t="s">
        <v>74</v>
      </c>
      <c r="M951" t="s">
        <v>74</v>
      </c>
      <c r="N951" t="s">
        <v>74</v>
      </c>
      <c r="O951" t="s">
        <v>74</v>
      </c>
      <c r="P951" t="s">
        <v>74</v>
      </c>
      <c r="Q951" t="s">
        <v>74</v>
      </c>
      <c r="R951" t="s">
        <v>74</v>
      </c>
      <c r="S951" t="s">
        <v>74</v>
      </c>
      <c r="T951" t="s">
        <v>74</v>
      </c>
      <c r="U951" t="s">
        <v>74</v>
      </c>
      <c r="V951" t="s">
        <v>8224</v>
      </c>
      <c r="W951" t="s">
        <v>74</v>
      </c>
      <c r="X951" t="s">
        <v>74</v>
      </c>
      <c r="Y951" t="s">
        <v>74</v>
      </c>
      <c r="Z951" t="s">
        <v>74</v>
      </c>
      <c r="AA951" t="s">
        <v>8225</v>
      </c>
      <c r="AB951" t="s">
        <v>8226</v>
      </c>
      <c r="AC951" t="s">
        <v>74</v>
      </c>
      <c r="AD951" t="s">
        <v>74</v>
      </c>
      <c r="AE951" t="s">
        <v>74</v>
      </c>
      <c r="AF951" t="s">
        <v>74</v>
      </c>
      <c r="AG951" t="s">
        <v>74</v>
      </c>
      <c r="AH951" t="s">
        <v>74</v>
      </c>
      <c r="AI951" t="s">
        <v>74</v>
      </c>
      <c r="AJ951" t="s">
        <v>74</v>
      </c>
      <c r="AK951" t="s">
        <v>74</v>
      </c>
      <c r="AL951" t="s">
        <v>74</v>
      </c>
      <c r="AM951" t="s">
        <v>74</v>
      </c>
      <c r="AN951" t="s">
        <v>74</v>
      </c>
      <c r="AO951" t="s">
        <v>101</v>
      </c>
      <c r="AP951" t="s">
        <v>102</v>
      </c>
      <c r="AQ951" t="s">
        <v>74</v>
      </c>
      <c r="AR951" t="s">
        <v>74</v>
      </c>
      <c r="AS951" t="s">
        <v>74</v>
      </c>
      <c r="AT951" t="s">
        <v>2556</v>
      </c>
      <c r="AU951">
        <v>2010</v>
      </c>
      <c r="AV951">
        <v>195</v>
      </c>
      <c r="AW951">
        <v>5</v>
      </c>
      <c r="AX951" t="s">
        <v>74</v>
      </c>
      <c r="AY951" t="s">
        <v>74</v>
      </c>
      <c r="AZ951" t="s">
        <v>2280</v>
      </c>
      <c r="BA951" t="s">
        <v>74</v>
      </c>
      <c r="BB951">
        <v>1479</v>
      </c>
      <c r="BC951">
        <v>1485</v>
      </c>
      <c r="BD951" t="s">
        <v>74</v>
      </c>
      <c r="BE951" t="s">
        <v>8227</v>
      </c>
      <c r="BF951" t="str">
        <f>HYPERLINK("http://dx.doi.org/10.1016/j.jpowsour.2009.09.023","http://dx.doi.org/10.1016/j.jpowsour.2009.09.023")</f>
        <v>http://dx.doi.org/10.1016/j.jpowsour.2009.09.023</v>
      </c>
      <c r="BG951" t="s">
        <v>74</v>
      </c>
      <c r="BH951" t="s">
        <v>74</v>
      </c>
      <c r="BI951" t="s">
        <v>74</v>
      </c>
      <c r="BJ951" t="s">
        <v>74</v>
      </c>
      <c r="BK951" t="s">
        <v>74</v>
      </c>
      <c r="BL951" t="s">
        <v>74</v>
      </c>
      <c r="BM951" t="s">
        <v>74</v>
      </c>
      <c r="BN951" t="s">
        <v>74</v>
      </c>
      <c r="BO951" t="s">
        <v>74</v>
      </c>
      <c r="BP951" t="s">
        <v>74</v>
      </c>
      <c r="BQ951" t="s">
        <v>74</v>
      </c>
      <c r="BR951" t="s">
        <v>74</v>
      </c>
      <c r="BS951" t="s">
        <v>8228</v>
      </c>
      <c r="BT951" t="str">
        <f>HYPERLINK("https%3A%2F%2Fwww.webofscience.com%2Fwos%2Fwoscc%2Ffull-record%2FWOS:000272058600027","View Full Record in Web of Science")</f>
        <v>View Full Record in Web of Science</v>
      </c>
    </row>
    <row r="952" spans="1:72" x14ac:dyDescent="0.2">
      <c r="A952" t="s">
        <v>72</v>
      </c>
      <c r="B952" t="s">
        <v>8229</v>
      </c>
      <c r="C952" t="s">
        <v>74</v>
      </c>
      <c r="D952" t="s">
        <v>74</v>
      </c>
      <c r="E952" t="s">
        <v>74</v>
      </c>
      <c r="F952" t="s">
        <v>8230</v>
      </c>
      <c r="G952" t="s">
        <v>74</v>
      </c>
      <c r="H952" t="s">
        <v>74</v>
      </c>
      <c r="I952" t="s">
        <v>8231</v>
      </c>
      <c r="J952" t="s">
        <v>1256</v>
      </c>
      <c r="K952" t="s">
        <v>74</v>
      </c>
      <c r="L952" t="s">
        <v>74</v>
      </c>
      <c r="M952" t="s">
        <v>74</v>
      </c>
      <c r="N952" t="s">
        <v>74</v>
      </c>
      <c r="O952" t="s">
        <v>74</v>
      </c>
      <c r="P952" t="s">
        <v>74</v>
      </c>
      <c r="Q952" t="s">
        <v>74</v>
      </c>
      <c r="R952" t="s">
        <v>74</v>
      </c>
      <c r="S952" t="s">
        <v>74</v>
      </c>
      <c r="T952" t="s">
        <v>74</v>
      </c>
      <c r="U952" t="s">
        <v>74</v>
      </c>
      <c r="V952" t="s">
        <v>8232</v>
      </c>
      <c r="W952" t="s">
        <v>74</v>
      </c>
      <c r="X952" t="s">
        <v>74</v>
      </c>
      <c r="Y952" t="s">
        <v>74</v>
      </c>
      <c r="Z952" t="s">
        <v>74</v>
      </c>
      <c r="AA952" t="s">
        <v>8233</v>
      </c>
      <c r="AB952" t="s">
        <v>8234</v>
      </c>
      <c r="AC952" t="s">
        <v>74</v>
      </c>
      <c r="AD952" t="s">
        <v>74</v>
      </c>
      <c r="AE952" t="s">
        <v>74</v>
      </c>
      <c r="AF952" t="s">
        <v>74</v>
      </c>
      <c r="AG952" t="s">
        <v>74</v>
      </c>
      <c r="AH952" t="s">
        <v>74</v>
      </c>
      <c r="AI952" t="s">
        <v>74</v>
      </c>
      <c r="AJ952" t="s">
        <v>74</v>
      </c>
      <c r="AK952" t="s">
        <v>74</v>
      </c>
      <c r="AL952" t="s">
        <v>74</v>
      </c>
      <c r="AM952" t="s">
        <v>74</v>
      </c>
      <c r="AN952" t="s">
        <v>74</v>
      </c>
      <c r="AO952" t="s">
        <v>1258</v>
      </c>
      <c r="AP952" t="s">
        <v>1259</v>
      </c>
      <c r="AQ952" t="s">
        <v>74</v>
      </c>
      <c r="AR952" t="s">
        <v>74</v>
      </c>
      <c r="AS952" t="s">
        <v>74</v>
      </c>
      <c r="AT952" t="s">
        <v>6182</v>
      </c>
      <c r="AU952">
        <v>2010</v>
      </c>
      <c r="AV952">
        <v>55</v>
      </c>
      <c r="AW952">
        <v>7</v>
      </c>
      <c r="AX952" t="s">
        <v>74</v>
      </c>
      <c r="AY952" t="s">
        <v>74</v>
      </c>
      <c r="AZ952" t="s">
        <v>74</v>
      </c>
      <c r="BA952" t="s">
        <v>74</v>
      </c>
      <c r="BB952">
        <v>2299</v>
      </c>
      <c r="BC952">
        <v>2305</v>
      </c>
      <c r="BD952" t="s">
        <v>74</v>
      </c>
      <c r="BE952" t="s">
        <v>8235</v>
      </c>
      <c r="BF952" t="str">
        <f>HYPERLINK("http://dx.doi.org/10.1016/j.electacta.2009.11.082","http://dx.doi.org/10.1016/j.electacta.2009.11.082")</f>
        <v>http://dx.doi.org/10.1016/j.electacta.2009.11.082</v>
      </c>
      <c r="BG952" t="s">
        <v>74</v>
      </c>
      <c r="BH952" t="s">
        <v>74</v>
      </c>
      <c r="BI952" t="s">
        <v>74</v>
      </c>
      <c r="BJ952" t="s">
        <v>74</v>
      </c>
      <c r="BK952" t="s">
        <v>74</v>
      </c>
      <c r="BL952" t="s">
        <v>74</v>
      </c>
      <c r="BM952" t="s">
        <v>74</v>
      </c>
      <c r="BN952" t="s">
        <v>74</v>
      </c>
      <c r="BO952" t="s">
        <v>74</v>
      </c>
      <c r="BP952" t="s">
        <v>74</v>
      </c>
      <c r="BQ952" t="s">
        <v>74</v>
      </c>
      <c r="BR952" t="s">
        <v>74</v>
      </c>
      <c r="BS952" t="s">
        <v>8236</v>
      </c>
      <c r="BT952" t="str">
        <f>HYPERLINK("https%3A%2F%2Fwww.webofscience.com%2Fwos%2Fwoscc%2Ffull-record%2FWOS:000275540100013","View Full Record in Web of Science")</f>
        <v>View Full Record in Web of Science</v>
      </c>
    </row>
    <row r="953" spans="1:72" x14ac:dyDescent="0.2">
      <c r="A953" t="s">
        <v>72</v>
      </c>
      <c r="B953" t="s">
        <v>8237</v>
      </c>
      <c r="C953" t="s">
        <v>74</v>
      </c>
      <c r="D953" t="s">
        <v>74</v>
      </c>
      <c r="E953" t="s">
        <v>74</v>
      </c>
      <c r="F953" t="s">
        <v>8238</v>
      </c>
      <c r="G953" t="s">
        <v>74</v>
      </c>
      <c r="H953" t="s">
        <v>74</v>
      </c>
      <c r="I953" t="s">
        <v>8239</v>
      </c>
      <c r="J953" t="s">
        <v>98</v>
      </c>
      <c r="K953" t="s">
        <v>74</v>
      </c>
      <c r="L953" t="s">
        <v>74</v>
      </c>
      <c r="M953" t="s">
        <v>74</v>
      </c>
      <c r="N953" t="s">
        <v>74</v>
      </c>
      <c r="O953" t="s">
        <v>74</v>
      </c>
      <c r="P953" t="s">
        <v>74</v>
      </c>
      <c r="Q953" t="s">
        <v>74</v>
      </c>
      <c r="R953" t="s">
        <v>74</v>
      </c>
      <c r="S953" t="s">
        <v>74</v>
      </c>
      <c r="T953" t="s">
        <v>74</v>
      </c>
      <c r="U953" t="s">
        <v>74</v>
      </c>
      <c r="V953" t="s">
        <v>8240</v>
      </c>
      <c r="W953" t="s">
        <v>74</v>
      </c>
      <c r="X953" t="s">
        <v>74</v>
      </c>
      <c r="Y953" t="s">
        <v>74</v>
      </c>
      <c r="Z953" t="s">
        <v>74</v>
      </c>
      <c r="AA953" t="s">
        <v>8241</v>
      </c>
      <c r="AB953" t="s">
        <v>8242</v>
      </c>
      <c r="AC953" t="s">
        <v>74</v>
      </c>
      <c r="AD953" t="s">
        <v>74</v>
      </c>
      <c r="AE953" t="s">
        <v>74</v>
      </c>
      <c r="AF953" t="s">
        <v>74</v>
      </c>
      <c r="AG953" t="s">
        <v>74</v>
      </c>
      <c r="AH953" t="s">
        <v>74</v>
      </c>
      <c r="AI953" t="s">
        <v>74</v>
      </c>
      <c r="AJ953" t="s">
        <v>74</v>
      </c>
      <c r="AK953" t="s">
        <v>74</v>
      </c>
      <c r="AL953" t="s">
        <v>74</v>
      </c>
      <c r="AM953" t="s">
        <v>74</v>
      </c>
      <c r="AN953" t="s">
        <v>74</v>
      </c>
      <c r="AO953" t="s">
        <v>101</v>
      </c>
      <c r="AP953" t="s">
        <v>74</v>
      </c>
      <c r="AQ953" t="s">
        <v>74</v>
      </c>
      <c r="AR953" t="s">
        <v>74</v>
      </c>
      <c r="AS953" t="s">
        <v>74</v>
      </c>
      <c r="AT953" t="s">
        <v>1154</v>
      </c>
      <c r="AU953">
        <v>2010</v>
      </c>
      <c r="AV953">
        <v>195</v>
      </c>
      <c r="AW953">
        <v>3</v>
      </c>
      <c r="AX953" t="s">
        <v>74</v>
      </c>
      <c r="AY953" t="s">
        <v>74</v>
      </c>
      <c r="AZ953" t="s">
        <v>74</v>
      </c>
      <c r="BA953" t="s">
        <v>74</v>
      </c>
      <c r="BB953">
        <v>853</v>
      </c>
      <c r="BC953">
        <v>856</v>
      </c>
      <c r="BD953" t="s">
        <v>74</v>
      </c>
      <c r="BE953" t="s">
        <v>8243</v>
      </c>
      <c r="BF953" t="str">
        <f>HYPERLINK("http://dx.doi.org/10.1016/j.jpowsour.2009.08.038","http://dx.doi.org/10.1016/j.jpowsour.2009.08.038")</f>
        <v>http://dx.doi.org/10.1016/j.jpowsour.2009.08.038</v>
      </c>
      <c r="BG953" t="s">
        <v>74</v>
      </c>
      <c r="BH953" t="s">
        <v>74</v>
      </c>
      <c r="BI953" t="s">
        <v>74</v>
      </c>
      <c r="BJ953" t="s">
        <v>74</v>
      </c>
      <c r="BK953" t="s">
        <v>74</v>
      </c>
      <c r="BL953" t="s">
        <v>74</v>
      </c>
      <c r="BM953" t="s">
        <v>74</v>
      </c>
      <c r="BN953" t="s">
        <v>74</v>
      </c>
      <c r="BO953" t="s">
        <v>74</v>
      </c>
      <c r="BP953" t="s">
        <v>74</v>
      </c>
      <c r="BQ953" t="s">
        <v>74</v>
      </c>
      <c r="BR953" t="s">
        <v>74</v>
      </c>
      <c r="BS953" t="s">
        <v>8244</v>
      </c>
      <c r="BT953" t="str">
        <f>HYPERLINK("https%3A%2F%2Fwww.webofscience.com%2Fwos%2Fwoscc%2Ffull-record%2FWOS:000271171900023","View Full Record in Web of Science")</f>
        <v>View Full Record in Web of Science</v>
      </c>
    </row>
    <row r="954" spans="1:72" x14ac:dyDescent="0.2">
      <c r="A954" t="s">
        <v>72</v>
      </c>
      <c r="B954" t="s">
        <v>8245</v>
      </c>
      <c r="C954" t="s">
        <v>74</v>
      </c>
      <c r="D954" t="s">
        <v>74</v>
      </c>
      <c r="E954" t="s">
        <v>74</v>
      </c>
      <c r="F954" t="s">
        <v>8246</v>
      </c>
      <c r="G954" t="s">
        <v>74</v>
      </c>
      <c r="H954" t="s">
        <v>74</v>
      </c>
      <c r="I954" t="s">
        <v>8247</v>
      </c>
      <c r="J954" t="s">
        <v>1293</v>
      </c>
      <c r="K954" t="s">
        <v>74</v>
      </c>
      <c r="L954" t="s">
        <v>74</v>
      </c>
      <c r="M954" t="s">
        <v>74</v>
      </c>
      <c r="N954" t="s">
        <v>74</v>
      </c>
      <c r="O954" t="s">
        <v>74</v>
      </c>
      <c r="P954" t="s">
        <v>74</v>
      </c>
      <c r="Q954" t="s">
        <v>74</v>
      </c>
      <c r="R954" t="s">
        <v>74</v>
      </c>
      <c r="S954" t="s">
        <v>74</v>
      </c>
      <c r="T954" t="s">
        <v>74</v>
      </c>
      <c r="U954" t="s">
        <v>74</v>
      </c>
      <c r="V954" t="s">
        <v>8248</v>
      </c>
      <c r="W954" t="s">
        <v>74</v>
      </c>
      <c r="X954" t="s">
        <v>74</v>
      </c>
      <c r="Y954" t="s">
        <v>74</v>
      </c>
      <c r="Z954" t="s">
        <v>74</v>
      </c>
      <c r="AA954" t="s">
        <v>74</v>
      </c>
      <c r="AB954" t="s">
        <v>74</v>
      </c>
      <c r="AC954" t="s">
        <v>74</v>
      </c>
      <c r="AD954" t="s">
        <v>74</v>
      </c>
      <c r="AE954" t="s">
        <v>74</v>
      </c>
      <c r="AF954" t="s">
        <v>74</v>
      </c>
      <c r="AG954" t="s">
        <v>74</v>
      </c>
      <c r="AH954" t="s">
        <v>74</v>
      </c>
      <c r="AI954" t="s">
        <v>74</v>
      </c>
      <c r="AJ954" t="s">
        <v>74</v>
      </c>
      <c r="AK954" t="s">
        <v>74</v>
      </c>
      <c r="AL954" t="s">
        <v>74</v>
      </c>
      <c r="AM954" t="s">
        <v>74</v>
      </c>
      <c r="AN954" t="s">
        <v>74</v>
      </c>
      <c r="AO954" t="s">
        <v>1297</v>
      </c>
      <c r="AP954" t="s">
        <v>74</v>
      </c>
      <c r="AQ954" t="s">
        <v>74</v>
      </c>
      <c r="AR954" t="s">
        <v>74</v>
      </c>
      <c r="AS954" t="s">
        <v>74</v>
      </c>
      <c r="AT954" t="s">
        <v>74</v>
      </c>
      <c r="AU954">
        <v>2010</v>
      </c>
      <c r="AV954">
        <v>157</v>
      </c>
      <c r="AW954">
        <v>6</v>
      </c>
      <c r="AX954" t="s">
        <v>74</v>
      </c>
      <c r="AY954" t="s">
        <v>74</v>
      </c>
      <c r="AZ954" t="s">
        <v>74</v>
      </c>
      <c r="BA954" t="s">
        <v>74</v>
      </c>
      <c r="BB954" t="s">
        <v>8249</v>
      </c>
      <c r="BC954" t="s">
        <v>8250</v>
      </c>
      <c r="BD954" t="s">
        <v>74</v>
      </c>
      <c r="BE954" t="s">
        <v>8251</v>
      </c>
      <c r="BF954" t="str">
        <f>HYPERLINK("http://dx.doi.org/10.1149/1.3374638","http://dx.doi.org/10.1149/1.3374638")</f>
        <v>http://dx.doi.org/10.1149/1.3374638</v>
      </c>
      <c r="BG954" t="s">
        <v>74</v>
      </c>
      <c r="BH954" t="s">
        <v>74</v>
      </c>
      <c r="BI954" t="s">
        <v>74</v>
      </c>
      <c r="BJ954" t="s">
        <v>74</v>
      </c>
      <c r="BK954" t="s">
        <v>74</v>
      </c>
      <c r="BL954" t="s">
        <v>74</v>
      </c>
      <c r="BM954" t="s">
        <v>74</v>
      </c>
      <c r="BN954" t="s">
        <v>74</v>
      </c>
      <c r="BO954" t="s">
        <v>74</v>
      </c>
      <c r="BP954" t="s">
        <v>74</v>
      </c>
      <c r="BQ954" t="s">
        <v>74</v>
      </c>
      <c r="BR954" t="s">
        <v>74</v>
      </c>
      <c r="BS954" t="s">
        <v>8252</v>
      </c>
      <c r="BT954" t="str">
        <f>HYPERLINK("https%3A%2F%2Fwww.webofscience.com%2Fwos%2Fwoscc%2Ffull-record%2FWOS:000277260200010","View Full Record in Web of Science")</f>
        <v>View Full Record in Web of Science</v>
      </c>
    </row>
    <row r="955" spans="1:72" x14ac:dyDescent="0.2">
      <c r="A955" t="s">
        <v>72</v>
      </c>
      <c r="B955" t="s">
        <v>8253</v>
      </c>
      <c r="C955" t="s">
        <v>74</v>
      </c>
      <c r="D955" t="s">
        <v>74</v>
      </c>
      <c r="E955" t="s">
        <v>74</v>
      </c>
      <c r="F955" t="s">
        <v>8254</v>
      </c>
      <c r="G955" t="s">
        <v>74</v>
      </c>
      <c r="H955" t="s">
        <v>74</v>
      </c>
      <c r="I955" t="s">
        <v>8255</v>
      </c>
      <c r="J955" t="s">
        <v>1256</v>
      </c>
      <c r="K955" t="s">
        <v>74</v>
      </c>
      <c r="L955" t="s">
        <v>74</v>
      </c>
      <c r="M955" t="s">
        <v>74</v>
      </c>
      <c r="N955" t="s">
        <v>74</v>
      </c>
      <c r="O955" t="s">
        <v>74</v>
      </c>
      <c r="P955" t="s">
        <v>74</v>
      </c>
      <c r="Q955" t="s">
        <v>74</v>
      </c>
      <c r="R955" t="s">
        <v>74</v>
      </c>
      <c r="S955" t="s">
        <v>74</v>
      </c>
      <c r="T955" t="s">
        <v>74</v>
      </c>
      <c r="U955" t="s">
        <v>74</v>
      </c>
      <c r="V955" t="s">
        <v>8256</v>
      </c>
      <c r="W955" t="s">
        <v>74</v>
      </c>
      <c r="X955" t="s">
        <v>74</v>
      </c>
      <c r="Y955" t="s">
        <v>74</v>
      </c>
      <c r="Z955" t="s">
        <v>74</v>
      </c>
      <c r="AA955" t="s">
        <v>8257</v>
      </c>
      <c r="AB955" t="s">
        <v>8258</v>
      </c>
      <c r="AC955" t="s">
        <v>74</v>
      </c>
      <c r="AD955" t="s">
        <v>74</v>
      </c>
      <c r="AE955" t="s">
        <v>74</v>
      </c>
      <c r="AF955" t="s">
        <v>74</v>
      </c>
      <c r="AG955" t="s">
        <v>74</v>
      </c>
      <c r="AH955" t="s">
        <v>74</v>
      </c>
      <c r="AI955" t="s">
        <v>74</v>
      </c>
      <c r="AJ955" t="s">
        <v>74</v>
      </c>
      <c r="AK955" t="s">
        <v>74</v>
      </c>
      <c r="AL955" t="s">
        <v>74</v>
      </c>
      <c r="AM955" t="s">
        <v>74</v>
      </c>
      <c r="AN955" t="s">
        <v>74</v>
      </c>
      <c r="AO955" t="s">
        <v>1258</v>
      </c>
      <c r="AP955" t="s">
        <v>1259</v>
      </c>
      <c r="AQ955" t="s">
        <v>74</v>
      </c>
      <c r="AR955" t="s">
        <v>74</v>
      </c>
      <c r="AS955" t="s">
        <v>74</v>
      </c>
      <c r="AT955" t="s">
        <v>1165</v>
      </c>
      <c r="AU955">
        <v>2010</v>
      </c>
      <c r="AV955">
        <v>55</v>
      </c>
      <c r="AW955">
        <v>3</v>
      </c>
      <c r="AX955" t="s">
        <v>74</v>
      </c>
      <c r="AY955" t="s">
        <v>74</v>
      </c>
      <c r="AZ955" t="s">
        <v>74</v>
      </c>
      <c r="BA955" t="s">
        <v>74</v>
      </c>
      <c r="BB955">
        <v>1028</v>
      </c>
      <c r="BC955">
        <v>1033</v>
      </c>
      <c r="BD955" t="s">
        <v>74</v>
      </c>
      <c r="BE955" t="s">
        <v>8259</v>
      </c>
      <c r="BF955" t="str">
        <f>HYPERLINK("http://dx.doi.org/10.1016/j.electacta.2009.09.062","http://dx.doi.org/10.1016/j.electacta.2009.09.062")</f>
        <v>http://dx.doi.org/10.1016/j.electacta.2009.09.062</v>
      </c>
      <c r="BG955" t="s">
        <v>74</v>
      </c>
      <c r="BH955" t="s">
        <v>74</v>
      </c>
      <c r="BI955" t="s">
        <v>74</v>
      </c>
      <c r="BJ955" t="s">
        <v>74</v>
      </c>
      <c r="BK955" t="s">
        <v>74</v>
      </c>
      <c r="BL955" t="s">
        <v>74</v>
      </c>
      <c r="BM955" t="s">
        <v>74</v>
      </c>
      <c r="BN955" t="s">
        <v>74</v>
      </c>
      <c r="BO955" t="s">
        <v>74</v>
      </c>
      <c r="BP955" t="s">
        <v>74</v>
      </c>
      <c r="BQ955" t="s">
        <v>74</v>
      </c>
      <c r="BR955" t="s">
        <v>74</v>
      </c>
      <c r="BS955" t="s">
        <v>8260</v>
      </c>
      <c r="BT955" t="str">
        <f>HYPERLINK("https%3A%2F%2Fwww.webofscience.com%2Fwos%2Fwoscc%2Ffull-record%2FWOS:000274020200060","View Full Record in Web of Science")</f>
        <v>View Full Record in Web of Science</v>
      </c>
    </row>
    <row r="956" spans="1:72" x14ac:dyDescent="0.2">
      <c r="A956" t="s">
        <v>72</v>
      </c>
      <c r="B956" t="s">
        <v>8261</v>
      </c>
      <c r="C956" t="s">
        <v>74</v>
      </c>
      <c r="D956" t="s">
        <v>74</v>
      </c>
      <c r="E956" t="s">
        <v>74</v>
      </c>
      <c r="F956" t="s">
        <v>8262</v>
      </c>
      <c r="G956" t="s">
        <v>74</v>
      </c>
      <c r="H956" t="s">
        <v>74</v>
      </c>
      <c r="I956" t="s">
        <v>8263</v>
      </c>
      <c r="J956" t="s">
        <v>119</v>
      </c>
      <c r="K956" t="s">
        <v>74</v>
      </c>
      <c r="L956" t="s">
        <v>74</v>
      </c>
      <c r="M956" t="s">
        <v>74</v>
      </c>
      <c r="N956" t="s">
        <v>74</v>
      </c>
      <c r="O956" t="s">
        <v>8264</v>
      </c>
      <c r="P956" t="s">
        <v>8265</v>
      </c>
      <c r="Q956" t="s">
        <v>8266</v>
      </c>
      <c r="R956" t="s">
        <v>74</v>
      </c>
      <c r="S956" t="s">
        <v>74</v>
      </c>
      <c r="T956" t="s">
        <v>74</v>
      </c>
      <c r="U956" t="s">
        <v>74</v>
      </c>
      <c r="V956" t="s">
        <v>8267</v>
      </c>
      <c r="W956" t="s">
        <v>74</v>
      </c>
      <c r="X956" t="s">
        <v>74</v>
      </c>
      <c r="Y956" t="s">
        <v>74</v>
      </c>
      <c r="Z956" t="s">
        <v>74</v>
      </c>
      <c r="AA956" t="s">
        <v>74</v>
      </c>
      <c r="AB956" t="s">
        <v>74</v>
      </c>
      <c r="AC956" t="s">
        <v>74</v>
      </c>
      <c r="AD956" t="s">
        <v>74</v>
      </c>
      <c r="AE956" t="s">
        <v>74</v>
      </c>
      <c r="AF956" t="s">
        <v>74</v>
      </c>
      <c r="AG956" t="s">
        <v>74</v>
      </c>
      <c r="AH956" t="s">
        <v>74</v>
      </c>
      <c r="AI956" t="s">
        <v>74</v>
      </c>
      <c r="AJ956" t="s">
        <v>74</v>
      </c>
      <c r="AK956" t="s">
        <v>74</v>
      </c>
      <c r="AL956" t="s">
        <v>74</v>
      </c>
      <c r="AM956" t="s">
        <v>74</v>
      </c>
      <c r="AN956" t="s">
        <v>74</v>
      </c>
      <c r="AO956" t="s">
        <v>122</v>
      </c>
      <c r="AP956" t="s">
        <v>123</v>
      </c>
      <c r="AQ956" t="s">
        <v>74</v>
      </c>
      <c r="AR956" t="s">
        <v>74</v>
      </c>
      <c r="AS956" t="s">
        <v>74</v>
      </c>
      <c r="AT956" t="s">
        <v>2737</v>
      </c>
      <c r="AU956">
        <v>2009</v>
      </c>
      <c r="AV956">
        <v>165</v>
      </c>
      <c r="AW956">
        <v>3</v>
      </c>
      <c r="AX956" t="s">
        <v>74</v>
      </c>
      <c r="AY956" t="s">
        <v>74</v>
      </c>
      <c r="AZ956" t="s">
        <v>2280</v>
      </c>
      <c r="BA956" t="s">
        <v>74</v>
      </c>
      <c r="BB956">
        <v>156</v>
      </c>
      <c r="BC956">
        <v>159</v>
      </c>
      <c r="BD956" t="s">
        <v>74</v>
      </c>
      <c r="BE956" t="s">
        <v>8268</v>
      </c>
      <c r="BF956" t="str">
        <f>HYPERLINK("http://dx.doi.org/10.1016/j.mseb.2009.09.015","http://dx.doi.org/10.1016/j.mseb.2009.09.015")</f>
        <v>http://dx.doi.org/10.1016/j.mseb.2009.09.015</v>
      </c>
      <c r="BG956" t="s">
        <v>74</v>
      </c>
      <c r="BH956" t="s">
        <v>74</v>
      </c>
      <c r="BI956" t="s">
        <v>74</v>
      </c>
      <c r="BJ956" t="s">
        <v>74</v>
      </c>
      <c r="BK956" t="s">
        <v>74</v>
      </c>
      <c r="BL956" t="s">
        <v>74</v>
      </c>
      <c r="BM956" t="s">
        <v>74</v>
      </c>
      <c r="BN956" t="s">
        <v>74</v>
      </c>
      <c r="BO956" t="s">
        <v>74</v>
      </c>
      <c r="BP956" t="s">
        <v>74</v>
      </c>
      <c r="BQ956" t="s">
        <v>74</v>
      </c>
      <c r="BR956" t="s">
        <v>74</v>
      </c>
      <c r="BS956" t="s">
        <v>8269</v>
      </c>
      <c r="BT956" t="str">
        <f>HYPERLINK("https%3A%2F%2Fwww.webofscience.com%2Fwos%2Fwoscc%2Ffull-record%2FWOS:000273157800005","View Full Record in Web of Science")</f>
        <v>View Full Record in Web of Science</v>
      </c>
    </row>
    <row r="957" spans="1:72" x14ac:dyDescent="0.2">
      <c r="A957" t="s">
        <v>72</v>
      </c>
      <c r="B957" t="s">
        <v>8270</v>
      </c>
      <c r="C957" t="s">
        <v>74</v>
      </c>
      <c r="D957" t="s">
        <v>74</v>
      </c>
      <c r="E957" t="s">
        <v>74</v>
      </c>
      <c r="F957" t="s">
        <v>8271</v>
      </c>
      <c r="G957" t="s">
        <v>74</v>
      </c>
      <c r="H957" t="s">
        <v>74</v>
      </c>
      <c r="I957" t="s">
        <v>8272</v>
      </c>
      <c r="J957" t="s">
        <v>8273</v>
      </c>
      <c r="K957" t="s">
        <v>74</v>
      </c>
      <c r="L957" t="s">
        <v>74</v>
      </c>
      <c r="M957" t="s">
        <v>74</v>
      </c>
      <c r="N957" t="s">
        <v>74</v>
      </c>
      <c r="O957" t="s">
        <v>74</v>
      </c>
      <c r="P957" t="s">
        <v>74</v>
      </c>
      <c r="Q957" t="s">
        <v>74</v>
      </c>
      <c r="R957" t="s">
        <v>74</v>
      </c>
      <c r="S957" t="s">
        <v>74</v>
      </c>
      <c r="T957" t="s">
        <v>74</v>
      </c>
      <c r="U957" t="s">
        <v>74</v>
      </c>
      <c r="V957" t="s">
        <v>8274</v>
      </c>
      <c r="W957" t="s">
        <v>74</v>
      </c>
      <c r="X957" t="s">
        <v>74</v>
      </c>
      <c r="Y957" t="s">
        <v>74</v>
      </c>
      <c r="Z957" t="s">
        <v>74</v>
      </c>
      <c r="AA957" t="s">
        <v>8275</v>
      </c>
      <c r="AB957" t="s">
        <v>8276</v>
      </c>
      <c r="AC957" t="s">
        <v>74</v>
      </c>
      <c r="AD957" t="s">
        <v>74</v>
      </c>
      <c r="AE957" t="s">
        <v>74</v>
      </c>
      <c r="AF957" t="s">
        <v>74</v>
      </c>
      <c r="AG957" t="s">
        <v>74</v>
      </c>
      <c r="AH957" t="s">
        <v>74</v>
      </c>
      <c r="AI957" t="s">
        <v>74</v>
      </c>
      <c r="AJ957" t="s">
        <v>74</v>
      </c>
      <c r="AK957" t="s">
        <v>74</v>
      </c>
      <c r="AL957" t="s">
        <v>74</v>
      </c>
      <c r="AM957" t="s">
        <v>74</v>
      </c>
      <c r="AN957" t="s">
        <v>74</v>
      </c>
      <c r="AO957" t="s">
        <v>8277</v>
      </c>
      <c r="AP957" t="s">
        <v>74</v>
      </c>
      <c r="AQ957" t="s">
        <v>74</v>
      </c>
      <c r="AR957" t="s">
        <v>74</v>
      </c>
      <c r="AS957" t="s">
        <v>74</v>
      </c>
      <c r="AT957" t="s">
        <v>2737</v>
      </c>
      <c r="AU957">
        <v>2009</v>
      </c>
      <c r="AV957">
        <v>355</v>
      </c>
      <c r="AW957" t="s">
        <v>8278</v>
      </c>
      <c r="AX957" t="s">
        <v>74</v>
      </c>
      <c r="AY957" t="s">
        <v>74</v>
      </c>
      <c r="AZ957" t="s">
        <v>74</v>
      </c>
      <c r="BA957" t="s">
        <v>74</v>
      </c>
      <c r="BB957">
        <v>2571</v>
      </c>
      <c r="BC957">
        <v>2577</v>
      </c>
      <c r="BD957" t="s">
        <v>74</v>
      </c>
      <c r="BE957" t="s">
        <v>8279</v>
      </c>
      <c r="BF957" t="str">
        <f>HYPERLINK("http://dx.doi.org/10.1016/j.jnoncrysol.2009.09.013","http://dx.doi.org/10.1016/j.jnoncrysol.2009.09.013")</f>
        <v>http://dx.doi.org/10.1016/j.jnoncrysol.2009.09.013</v>
      </c>
      <c r="BG957" t="s">
        <v>74</v>
      </c>
      <c r="BH957" t="s">
        <v>74</v>
      </c>
      <c r="BI957" t="s">
        <v>74</v>
      </c>
      <c r="BJ957" t="s">
        <v>74</v>
      </c>
      <c r="BK957" t="s">
        <v>74</v>
      </c>
      <c r="BL957" t="s">
        <v>74</v>
      </c>
      <c r="BM957" t="s">
        <v>74</v>
      </c>
      <c r="BN957" t="s">
        <v>74</v>
      </c>
      <c r="BO957" t="s">
        <v>74</v>
      </c>
      <c r="BP957" t="s">
        <v>74</v>
      </c>
      <c r="BQ957" t="s">
        <v>74</v>
      </c>
      <c r="BR957" t="s">
        <v>74</v>
      </c>
      <c r="BS957" t="s">
        <v>8280</v>
      </c>
      <c r="BT957" t="str">
        <f>HYPERLINK("https%3A%2F%2Fwww.webofscience.com%2Fwos%2Fwoscc%2Ffull-record%2FWOS:000272760700008","View Full Record in Web of Science")</f>
        <v>View Full Record in Web of Science</v>
      </c>
    </row>
    <row r="958" spans="1:72" x14ac:dyDescent="0.2">
      <c r="A958" t="s">
        <v>72</v>
      </c>
      <c r="B958" t="s">
        <v>8281</v>
      </c>
      <c r="C958" t="s">
        <v>74</v>
      </c>
      <c r="D958" t="s">
        <v>74</v>
      </c>
      <c r="E958" t="s">
        <v>74</v>
      </c>
      <c r="F958" t="s">
        <v>8282</v>
      </c>
      <c r="G958" t="s">
        <v>74</v>
      </c>
      <c r="H958" t="s">
        <v>74</v>
      </c>
      <c r="I958" t="s">
        <v>8283</v>
      </c>
      <c r="J958" t="s">
        <v>1051</v>
      </c>
      <c r="K958" t="s">
        <v>74</v>
      </c>
      <c r="L958" t="s">
        <v>74</v>
      </c>
      <c r="M958" t="s">
        <v>74</v>
      </c>
      <c r="N958" t="s">
        <v>74</v>
      </c>
      <c r="O958" t="s">
        <v>74</v>
      </c>
      <c r="P958" t="s">
        <v>74</v>
      </c>
      <c r="Q958" t="s">
        <v>74</v>
      </c>
      <c r="R958" t="s">
        <v>74</v>
      </c>
      <c r="S958" t="s">
        <v>74</v>
      </c>
      <c r="T958" t="s">
        <v>74</v>
      </c>
      <c r="U958" t="s">
        <v>74</v>
      </c>
      <c r="V958" t="s">
        <v>8284</v>
      </c>
      <c r="W958" t="s">
        <v>74</v>
      </c>
      <c r="X958" t="s">
        <v>74</v>
      </c>
      <c r="Y958" t="s">
        <v>74</v>
      </c>
      <c r="Z958" t="s">
        <v>74</v>
      </c>
      <c r="AA958" t="s">
        <v>8285</v>
      </c>
      <c r="AB958" t="s">
        <v>8286</v>
      </c>
      <c r="AC958" t="s">
        <v>74</v>
      </c>
      <c r="AD958" t="s">
        <v>74</v>
      </c>
      <c r="AE958" t="s">
        <v>74</v>
      </c>
      <c r="AF958" t="s">
        <v>74</v>
      </c>
      <c r="AG958" t="s">
        <v>74</v>
      </c>
      <c r="AH958" t="s">
        <v>74</v>
      </c>
      <c r="AI958" t="s">
        <v>74</v>
      </c>
      <c r="AJ958" t="s">
        <v>74</v>
      </c>
      <c r="AK958" t="s">
        <v>74</v>
      </c>
      <c r="AL958" t="s">
        <v>74</v>
      </c>
      <c r="AM958" t="s">
        <v>74</v>
      </c>
      <c r="AN958" t="s">
        <v>74</v>
      </c>
      <c r="AO958" t="s">
        <v>1054</v>
      </c>
      <c r="AP958" t="s">
        <v>1055</v>
      </c>
      <c r="AQ958" t="s">
        <v>74</v>
      </c>
      <c r="AR958" t="s">
        <v>74</v>
      </c>
      <c r="AS958" t="s">
        <v>74</v>
      </c>
      <c r="AT958" t="s">
        <v>1318</v>
      </c>
      <c r="AU958">
        <v>2009</v>
      </c>
      <c r="AV958">
        <v>11</v>
      </c>
      <c r="AW958">
        <v>12</v>
      </c>
      <c r="AX958" t="s">
        <v>74</v>
      </c>
      <c r="AY958" t="s">
        <v>74</v>
      </c>
      <c r="AZ958" t="s">
        <v>74</v>
      </c>
      <c r="BA958" t="s">
        <v>74</v>
      </c>
      <c r="BB958">
        <v>2296</v>
      </c>
      <c r="BC958">
        <v>2299</v>
      </c>
      <c r="BD958" t="s">
        <v>74</v>
      </c>
      <c r="BE958" t="s">
        <v>8287</v>
      </c>
      <c r="BF958" t="str">
        <f>HYPERLINK("http://dx.doi.org/10.1016/j.elecom.2009.10.015","http://dx.doi.org/10.1016/j.elecom.2009.10.015")</f>
        <v>http://dx.doi.org/10.1016/j.elecom.2009.10.015</v>
      </c>
      <c r="BG958" t="s">
        <v>74</v>
      </c>
      <c r="BH958" t="s">
        <v>74</v>
      </c>
      <c r="BI958" t="s">
        <v>74</v>
      </c>
      <c r="BJ958" t="s">
        <v>74</v>
      </c>
      <c r="BK958" t="s">
        <v>74</v>
      </c>
      <c r="BL958" t="s">
        <v>74</v>
      </c>
      <c r="BM958" t="s">
        <v>74</v>
      </c>
      <c r="BN958" t="s">
        <v>74</v>
      </c>
      <c r="BO958" t="s">
        <v>74</v>
      </c>
      <c r="BP958" t="s">
        <v>74</v>
      </c>
      <c r="BQ958" t="s">
        <v>74</v>
      </c>
      <c r="BR958" t="s">
        <v>74</v>
      </c>
      <c r="BS958" t="s">
        <v>8288</v>
      </c>
      <c r="BT958" t="str">
        <f>HYPERLINK("https%3A%2F%2Fwww.webofscience.com%2Fwos%2Fwoscc%2Ffull-record%2FWOS:000272573700010","View Full Record in Web of Science")</f>
        <v>View Full Record in Web of Science</v>
      </c>
    </row>
    <row r="959" spans="1:72" x14ac:dyDescent="0.2">
      <c r="A959" t="s">
        <v>72</v>
      </c>
      <c r="B959" t="s">
        <v>8289</v>
      </c>
      <c r="C959" t="s">
        <v>74</v>
      </c>
      <c r="D959" t="s">
        <v>74</v>
      </c>
      <c r="E959" t="s">
        <v>74</v>
      </c>
      <c r="F959" t="s">
        <v>8290</v>
      </c>
      <c r="G959" t="s">
        <v>74</v>
      </c>
      <c r="H959" t="s">
        <v>74</v>
      </c>
      <c r="I959" t="s">
        <v>8291</v>
      </c>
      <c r="J959" t="s">
        <v>8014</v>
      </c>
      <c r="K959" t="s">
        <v>74</v>
      </c>
      <c r="L959" t="s">
        <v>74</v>
      </c>
      <c r="M959" t="s">
        <v>74</v>
      </c>
      <c r="N959" t="s">
        <v>74</v>
      </c>
      <c r="O959" t="s">
        <v>74</v>
      </c>
      <c r="P959" t="s">
        <v>74</v>
      </c>
      <c r="Q959" t="s">
        <v>74</v>
      </c>
      <c r="R959" t="s">
        <v>74</v>
      </c>
      <c r="S959" t="s">
        <v>74</v>
      </c>
      <c r="T959" t="s">
        <v>74</v>
      </c>
      <c r="U959" t="s">
        <v>74</v>
      </c>
      <c r="V959" t="s">
        <v>8292</v>
      </c>
      <c r="W959" t="s">
        <v>74</v>
      </c>
      <c r="X959" t="s">
        <v>74</v>
      </c>
      <c r="Y959" t="s">
        <v>74</v>
      </c>
      <c r="Z959" t="s">
        <v>74</v>
      </c>
      <c r="AA959" t="s">
        <v>8293</v>
      </c>
      <c r="AB959" t="s">
        <v>8294</v>
      </c>
      <c r="AC959" t="s">
        <v>74</v>
      </c>
      <c r="AD959" t="s">
        <v>74</v>
      </c>
      <c r="AE959" t="s">
        <v>74</v>
      </c>
      <c r="AF959" t="s">
        <v>74</v>
      </c>
      <c r="AG959" t="s">
        <v>74</v>
      </c>
      <c r="AH959" t="s">
        <v>74</v>
      </c>
      <c r="AI959" t="s">
        <v>74</v>
      </c>
      <c r="AJ959" t="s">
        <v>74</v>
      </c>
      <c r="AK959" t="s">
        <v>74</v>
      </c>
      <c r="AL959" t="s">
        <v>74</v>
      </c>
      <c r="AM959" t="s">
        <v>74</v>
      </c>
      <c r="AN959" t="s">
        <v>74</v>
      </c>
      <c r="AO959" t="s">
        <v>8018</v>
      </c>
      <c r="AP959" t="s">
        <v>8019</v>
      </c>
      <c r="AQ959" t="s">
        <v>74</v>
      </c>
      <c r="AR959" t="s">
        <v>74</v>
      </c>
      <c r="AS959" t="s">
        <v>74</v>
      </c>
      <c r="AT959" t="s">
        <v>368</v>
      </c>
      <c r="AU959">
        <v>2009</v>
      </c>
      <c r="AV959">
        <v>39</v>
      </c>
      <c r="AW959">
        <v>7</v>
      </c>
      <c r="AX959" t="s">
        <v>74</v>
      </c>
      <c r="AY959" t="s">
        <v>74</v>
      </c>
      <c r="AZ959" t="s">
        <v>74</v>
      </c>
      <c r="BA959" t="s">
        <v>74</v>
      </c>
      <c r="BB959">
        <v>1039</v>
      </c>
      <c r="BC959">
        <v>1044</v>
      </c>
      <c r="BD959" t="s">
        <v>74</v>
      </c>
      <c r="BE959" t="s">
        <v>8295</v>
      </c>
      <c r="BF959" t="str">
        <f>HYPERLINK("http://dx.doi.org/10.1007/s10800-008-9753-6","http://dx.doi.org/10.1007/s10800-008-9753-6")</f>
        <v>http://dx.doi.org/10.1007/s10800-008-9753-6</v>
      </c>
      <c r="BG959" t="s">
        <v>74</v>
      </c>
      <c r="BH959" t="s">
        <v>74</v>
      </c>
      <c r="BI959" t="s">
        <v>74</v>
      </c>
      <c r="BJ959" t="s">
        <v>74</v>
      </c>
      <c r="BK959" t="s">
        <v>74</v>
      </c>
      <c r="BL959" t="s">
        <v>74</v>
      </c>
      <c r="BM959" t="s">
        <v>74</v>
      </c>
      <c r="BN959" t="s">
        <v>74</v>
      </c>
      <c r="BO959" t="s">
        <v>74</v>
      </c>
      <c r="BP959" t="s">
        <v>74</v>
      </c>
      <c r="BQ959" t="s">
        <v>74</v>
      </c>
      <c r="BR959" t="s">
        <v>74</v>
      </c>
      <c r="BS959" t="s">
        <v>8296</v>
      </c>
      <c r="BT959" t="str">
        <f>HYPERLINK("https%3A%2F%2Fwww.webofscience.com%2Fwos%2Fwoscc%2Ffull-record%2FWOS:000266821100012","View Full Record in Web of Science")</f>
        <v>View Full Record in Web of Science</v>
      </c>
    </row>
    <row r="960" spans="1:72" x14ac:dyDescent="0.2">
      <c r="A960" t="s">
        <v>72</v>
      </c>
      <c r="B960" t="s">
        <v>8297</v>
      </c>
      <c r="C960" t="s">
        <v>74</v>
      </c>
      <c r="D960" t="s">
        <v>74</v>
      </c>
      <c r="E960" t="s">
        <v>74</v>
      </c>
      <c r="F960" t="s">
        <v>8298</v>
      </c>
      <c r="G960" t="s">
        <v>74</v>
      </c>
      <c r="H960" t="s">
        <v>74</v>
      </c>
      <c r="I960" t="s">
        <v>8299</v>
      </c>
      <c r="J960" t="s">
        <v>98</v>
      </c>
      <c r="K960" t="s">
        <v>74</v>
      </c>
      <c r="L960" t="s">
        <v>74</v>
      </c>
      <c r="M960" t="s">
        <v>74</v>
      </c>
      <c r="N960" t="s">
        <v>74</v>
      </c>
      <c r="O960" t="s">
        <v>8300</v>
      </c>
      <c r="P960" t="s">
        <v>8301</v>
      </c>
      <c r="Q960" t="s">
        <v>8302</v>
      </c>
      <c r="R960" t="s">
        <v>8303</v>
      </c>
      <c r="S960" t="s">
        <v>74</v>
      </c>
      <c r="T960" t="s">
        <v>74</v>
      </c>
      <c r="U960" t="s">
        <v>74</v>
      </c>
      <c r="V960" t="s">
        <v>8304</v>
      </c>
      <c r="W960" t="s">
        <v>74</v>
      </c>
      <c r="X960" t="s">
        <v>74</v>
      </c>
      <c r="Y960" t="s">
        <v>74</v>
      </c>
      <c r="Z960" t="s">
        <v>74</v>
      </c>
      <c r="AA960" t="s">
        <v>74</v>
      </c>
      <c r="AB960" t="s">
        <v>74</v>
      </c>
      <c r="AC960" t="s">
        <v>74</v>
      </c>
      <c r="AD960" t="s">
        <v>74</v>
      </c>
      <c r="AE960" t="s">
        <v>74</v>
      </c>
      <c r="AF960" t="s">
        <v>74</v>
      </c>
      <c r="AG960" t="s">
        <v>74</v>
      </c>
      <c r="AH960" t="s">
        <v>74</v>
      </c>
      <c r="AI960" t="s">
        <v>74</v>
      </c>
      <c r="AJ960" t="s">
        <v>74</v>
      </c>
      <c r="AK960" t="s">
        <v>74</v>
      </c>
      <c r="AL960" t="s">
        <v>74</v>
      </c>
      <c r="AM960" t="s">
        <v>74</v>
      </c>
      <c r="AN960" t="s">
        <v>74</v>
      </c>
      <c r="AO960" t="s">
        <v>101</v>
      </c>
      <c r="AP960" t="s">
        <v>102</v>
      </c>
      <c r="AQ960" t="s">
        <v>74</v>
      </c>
      <c r="AR960" t="s">
        <v>74</v>
      </c>
      <c r="AS960" t="s">
        <v>74</v>
      </c>
      <c r="AT960" t="s">
        <v>910</v>
      </c>
      <c r="AU960">
        <v>2009</v>
      </c>
      <c r="AV960">
        <v>189</v>
      </c>
      <c r="AW960">
        <v>1</v>
      </c>
      <c r="AX960" t="s">
        <v>74</v>
      </c>
      <c r="AY960" t="s">
        <v>74</v>
      </c>
      <c r="AZ960" t="s">
        <v>2280</v>
      </c>
      <c r="BA960" t="s">
        <v>74</v>
      </c>
      <c r="BB960">
        <v>531</v>
      </c>
      <c r="BC960">
        <v>535</v>
      </c>
      <c r="BD960" t="s">
        <v>74</v>
      </c>
      <c r="BE960" t="s">
        <v>8305</v>
      </c>
      <c r="BF960" t="str">
        <f>HYPERLINK("http://dx.doi.org/10.1016/j.jpowsour.2008.10.113","http://dx.doi.org/10.1016/j.jpowsour.2008.10.113")</f>
        <v>http://dx.doi.org/10.1016/j.jpowsour.2008.10.113</v>
      </c>
      <c r="BG960" t="s">
        <v>74</v>
      </c>
      <c r="BH960" t="s">
        <v>74</v>
      </c>
      <c r="BI960" t="s">
        <v>74</v>
      </c>
      <c r="BJ960" t="s">
        <v>74</v>
      </c>
      <c r="BK960" t="s">
        <v>74</v>
      </c>
      <c r="BL960" t="s">
        <v>74</v>
      </c>
      <c r="BM960" t="s">
        <v>74</v>
      </c>
      <c r="BN960" t="s">
        <v>74</v>
      </c>
      <c r="BO960" t="s">
        <v>74</v>
      </c>
      <c r="BP960" t="s">
        <v>74</v>
      </c>
      <c r="BQ960" t="s">
        <v>74</v>
      </c>
      <c r="BR960" t="s">
        <v>74</v>
      </c>
      <c r="BS960" t="s">
        <v>8306</v>
      </c>
      <c r="BT960" t="str">
        <f>HYPERLINK("https%3A%2F%2Fwww.webofscience.com%2Fwos%2Fwoscc%2Ffull-record%2FWOS:000265317600088","View Full Record in Web of Science")</f>
        <v>View Full Record in Web of Science</v>
      </c>
    </row>
    <row r="961" spans="1:72" x14ac:dyDescent="0.2">
      <c r="A961" t="s">
        <v>72</v>
      </c>
      <c r="B961" t="s">
        <v>8307</v>
      </c>
      <c r="C961" t="s">
        <v>74</v>
      </c>
      <c r="D961" t="s">
        <v>74</v>
      </c>
      <c r="E961" t="s">
        <v>74</v>
      </c>
      <c r="F961" t="s">
        <v>8308</v>
      </c>
      <c r="G961" t="s">
        <v>74</v>
      </c>
      <c r="H961" t="s">
        <v>74</v>
      </c>
      <c r="I961" t="s">
        <v>8309</v>
      </c>
      <c r="J961" t="s">
        <v>98</v>
      </c>
      <c r="K961" t="s">
        <v>74</v>
      </c>
      <c r="L961" t="s">
        <v>74</v>
      </c>
      <c r="M961" t="s">
        <v>74</v>
      </c>
      <c r="N961" t="s">
        <v>74</v>
      </c>
      <c r="O961" t="s">
        <v>8300</v>
      </c>
      <c r="P961" t="s">
        <v>8301</v>
      </c>
      <c r="Q961" t="s">
        <v>8302</v>
      </c>
      <c r="R961" t="s">
        <v>8303</v>
      </c>
      <c r="S961" t="s">
        <v>74</v>
      </c>
      <c r="T961" t="s">
        <v>74</v>
      </c>
      <c r="U961" t="s">
        <v>74</v>
      </c>
      <c r="V961" t="s">
        <v>8310</v>
      </c>
      <c r="W961" t="s">
        <v>74</v>
      </c>
      <c r="X961" t="s">
        <v>74</v>
      </c>
      <c r="Y961" t="s">
        <v>74</v>
      </c>
      <c r="Z961" t="s">
        <v>74</v>
      </c>
      <c r="AA961" t="s">
        <v>8311</v>
      </c>
      <c r="AB961" t="s">
        <v>747</v>
      </c>
      <c r="AC961" t="s">
        <v>74</v>
      </c>
      <c r="AD961" t="s">
        <v>74</v>
      </c>
      <c r="AE961" t="s">
        <v>74</v>
      </c>
      <c r="AF961" t="s">
        <v>74</v>
      </c>
      <c r="AG961" t="s">
        <v>74</v>
      </c>
      <c r="AH961" t="s">
        <v>74</v>
      </c>
      <c r="AI961" t="s">
        <v>74</v>
      </c>
      <c r="AJ961" t="s">
        <v>74</v>
      </c>
      <c r="AK961" t="s">
        <v>74</v>
      </c>
      <c r="AL961" t="s">
        <v>74</v>
      </c>
      <c r="AM961" t="s">
        <v>74</v>
      </c>
      <c r="AN961" t="s">
        <v>74</v>
      </c>
      <c r="AO961" t="s">
        <v>101</v>
      </c>
      <c r="AP961" t="s">
        <v>102</v>
      </c>
      <c r="AQ961" t="s">
        <v>74</v>
      </c>
      <c r="AR961" t="s">
        <v>74</v>
      </c>
      <c r="AS961" t="s">
        <v>74</v>
      </c>
      <c r="AT961" t="s">
        <v>910</v>
      </c>
      <c r="AU961">
        <v>2009</v>
      </c>
      <c r="AV961">
        <v>189</v>
      </c>
      <c r="AW961">
        <v>1</v>
      </c>
      <c r="AX961" t="s">
        <v>74</v>
      </c>
      <c r="AY961" t="s">
        <v>74</v>
      </c>
      <c r="AZ961" t="s">
        <v>2280</v>
      </c>
      <c r="BA961" t="s">
        <v>74</v>
      </c>
      <c r="BB961">
        <v>539</v>
      </c>
      <c r="BC961">
        <v>542</v>
      </c>
      <c r="BD961" t="s">
        <v>74</v>
      </c>
      <c r="BE961" t="s">
        <v>8312</v>
      </c>
      <c r="BF961" t="str">
        <f>HYPERLINK("http://dx.doi.org/10.1016/j.jpowsour.2008.10.063","http://dx.doi.org/10.1016/j.jpowsour.2008.10.063")</f>
        <v>http://dx.doi.org/10.1016/j.jpowsour.2008.10.063</v>
      </c>
      <c r="BG961" t="s">
        <v>74</v>
      </c>
      <c r="BH961" t="s">
        <v>74</v>
      </c>
      <c r="BI961" t="s">
        <v>74</v>
      </c>
      <c r="BJ961" t="s">
        <v>74</v>
      </c>
      <c r="BK961" t="s">
        <v>74</v>
      </c>
      <c r="BL961" t="s">
        <v>74</v>
      </c>
      <c r="BM961" t="s">
        <v>74</v>
      </c>
      <c r="BN961" t="s">
        <v>74</v>
      </c>
      <c r="BO961" t="s">
        <v>74</v>
      </c>
      <c r="BP961" t="s">
        <v>74</v>
      </c>
      <c r="BQ961" t="s">
        <v>74</v>
      </c>
      <c r="BR961" t="s">
        <v>74</v>
      </c>
      <c r="BS961" t="s">
        <v>8313</v>
      </c>
      <c r="BT961" t="str">
        <f>HYPERLINK("https%3A%2F%2Fwww.webofscience.com%2Fwos%2Fwoscc%2Ffull-record%2FWOS:000265317600090","View Full Record in Web of Science")</f>
        <v>View Full Record in Web of Science</v>
      </c>
    </row>
    <row r="962" spans="1:72" x14ac:dyDescent="0.2">
      <c r="A962" t="s">
        <v>72</v>
      </c>
      <c r="B962" t="s">
        <v>8314</v>
      </c>
      <c r="C962" t="s">
        <v>74</v>
      </c>
      <c r="D962" t="s">
        <v>74</v>
      </c>
      <c r="E962" t="s">
        <v>74</v>
      </c>
      <c r="F962" t="s">
        <v>8315</v>
      </c>
      <c r="G962" t="s">
        <v>74</v>
      </c>
      <c r="H962" t="s">
        <v>74</v>
      </c>
      <c r="I962" t="s">
        <v>8316</v>
      </c>
      <c r="J962" t="s">
        <v>3619</v>
      </c>
      <c r="K962" t="s">
        <v>74</v>
      </c>
      <c r="L962" t="s">
        <v>74</v>
      </c>
      <c r="M962" t="s">
        <v>74</v>
      </c>
      <c r="N962" t="s">
        <v>74</v>
      </c>
      <c r="O962" t="s">
        <v>74</v>
      </c>
      <c r="P962" t="s">
        <v>74</v>
      </c>
      <c r="Q962" t="s">
        <v>74</v>
      </c>
      <c r="R962" t="s">
        <v>74</v>
      </c>
      <c r="S962" t="s">
        <v>74</v>
      </c>
      <c r="T962" t="s">
        <v>74</v>
      </c>
      <c r="U962" t="s">
        <v>74</v>
      </c>
      <c r="V962" t="s">
        <v>8317</v>
      </c>
      <c r="W962" t="s">
        <v>74</v>
      </c>
      <c r="X962" t="s">
        <v>74</v>
      </c>
      <c r="Y962" t="s">
        <v>74</v>
      </c>
      <c r="Z962" t="s">
        <v>74</v>
      </c>
      <c r="AA962" t="s">
        <v>8318</v>
      </c>
      <c r="AB962" t="s">
        <v>8319</v>
      </c>
      <c r="AC962" t="s">
        <v>74</v>
      </c>
      <c r="AD962" t="s">
        <v>74</v>
      </c>
      <c r="AE962" t="s">
        <v>74</v>
      </c>
      <c r="AF962" t="s">
        <v>74</v>
      </c>
      <c r="AG962" t="s">
        <v>74</v>
      </c>
      <c r="AH962" t="s">
        <v>74</v>
      </c>
      <c r="AI962" t="s">
        <v>74</v>
      </c>
      <c r="AJ962" t="s">
        <v>74</v>
      </c>
      <c r="AK962" t="s">
        <v>74</v>
      </c>
      <c r="AL962" t="s">
        <v>74</v>
      </c>
      <c r="AM962" t="s">
        <v>74</v>
      </c>
      <c r="AN962" t="s">
        <v>74</v>
      </c>
      <c r="AO962" t="s">
        <v>3623</v>
      </c>
      <c r="AP962" t="s">
        <v>3624</v>
      </c>
      <c r="AQ962" t="s">
        <v>74</v>
      </c>
      <c r="AR962" t="s">
        <v>74</v>
      </c>
      <c r="AS962" t="s">
        <v>74</v>
      </c>
      <c r="AT962" t="s">
        <v>4186</v>
      </c>
      <c r="AU962">
        <v>2009</v>
      </c>
      <c r="AV962">
        <v>94</v>
      </c>
      <c r="AW962">
        <v>8</v>
      </c>
      <c r="AX962" t="s">
        <v>74</v>
      </c>
      <c r="AY962" t="s">
        <v>74</v>
      </c>
      <c r="AZ962" t="s">
        <v>74</v>
      </c>
      <c r="BA962" t="s">
        <v>74</v>
      </c>
      <c r="BB962" t="s">
        <v>74</v>
      </c>
      <c r="BC962" t="s">
        <v>74</v>
      </c>
      <c r="BD962">
        <v>84103</v>
      </c>
      <c r="BE962" t="s">
        <v>8320</v>
      </c>
      <c r="BF962" t="str">
        <f>HYPERLINK("http://dx.doi.org/10.1063/1.3088857","http://dx.doi.org/10.1063/1.3088857")</f>
        <v>http://dx.doi.org/10.1063/1.3088857</v>
      </c>
      <c r="BG962" t="s">
        <v>74</v>
      </c>
      <c r="BH962" t="s">
        <v>74</v>
      </c>
      <c r="BI962" t="s">
        <v>74</v>
      </c>
      <c r="BJ962" t="s">
        <v>74</v>
      </c>
      <c r="BK962" t="s">
        <v>74</v>
      </c>
      <c r="BL962" t="s">
        <v>74</v>
      </c>
      <c r="BM962" t="s">
        <v>74</v>
      </c>
      <c r="BN962" t="s">
        <v>74</v>
      </c>
      <c r="BO962" t="s">
        <v>74</v>
      </c>
      <c r="BP962" t="s">
        <v>74</v>
      </c>
      <c r="BQ962" t="s">
        <v>74</v>
      </c>
      <c r="BR962" t="s">
        <v>74</v>
      </c>
      <c r="BS962" t="s">
        <v>8321</v>
      </c>
      <c r="BT962" t="str">
        <f>HYPERLINK("https%3A%2F%2Fwww.webofscience.com%2Fwos%2Fwoscc%2Ffull-record%2FWOS:000263804400097","View Full Record in Web of Science")</f>
        <v>View Full Record in Web of Science</v>
      </c>
    </row>
    <row r="963" spans="1:72" x14ac:dyDescent="0.2">
      <c r="A963" t="s">
        <v>72</v>
      </c>
      <c r="B963" t="s">
        <v>8322</v>
      </c>
      <c r="C963" t="s">
        <v>74</v>
      </c>
      <c r="D963" t="s">
        <v>74</v>
      </c>
      <c r="E963" t="s">
        <v>74</v>
      </c>
      <c r="F963" t="s">
        <v>8323</v>
      </c>
      <c r="G963" t="s">
        <v>74</v>
      </c>
      <c r="H963" t="s">
        <v>74</v>
      </c>
      <c r="I963" t="s">
        <v>8324</v>
      </c>
      <c r="J963" t="s">
        <v>399</v>
      </c>
      <c r="K963" t="s">
        <v>74</v>
      </c>
      <c r="L963" t="s">
        <v>74</v>
      </c>
      <c r="M963" t="s">
        <v>74</v>
      </c>
      <c r="N963" t="s">
        <v>74</v>
      </c>
      <c r="O963" t="s">
        <v>74</v>
      </c>
      <c r="P963" t="s">
        <v>74</v>
      </c>
      <c r="Q963" t="s">
        <v>74</v>
      </c>
      <c r="R963" t="s">
        <v>74</v>
      </c>
      <c r="S963" t="s">
        <v>74</v>
      </c>
      <c r="T963" t="s">
        <v>74</v>
      </c>
      <c r="U963" t="s">
        <v>74</v>
      </c>
      <c r="V963" t="s">
        <v>8325</v>
      </c>
      <c r="W963" t="s">
        <v>74</v>
      </c>
      <c r="X963" t="s">
        <v>74</v>
      </c>
      <c r="Y963" t="s">
        <v>74</v>
      </c>
      <c r="Z963" t="s">
        <v>74</v>
      </c>
      <c r="AA963" t="s">
        <v>8326</v>
      </c>
      <c r="AB963" t="s">
        <v>8327</v>
      </c>
      <c r="AC963" t="s">
        <v>74</v>
      </c>
      <c r="AD963" t="s">
        <v>74</v>
      </c>
      <c r="AE963" t="s">
        <v>74</v>
      </c>
      <c r="AF963" t="s">
        <v>74</v>
      </c>
      <c r="AG963" t="s">
        <v>74</v>
      </c>
      <c r="AH963" t="s">
        <v>74</v>
      </c>
      <c r="AI963" t="s">
        <v>74</v>
      </c>
      <c r="AJ963" t="s">
        <v>74</v>
      </c>
      <c r="AK963" t="s">
        <v>74</v>
      </c>
      <c r="AL963" t="s">
        <v>74</v>
      </c>
      <c r="AM963" t="s">
        <v>74</v>
      </c>
      <c r="AN963" t="s">
        <v>74</v>
      </c>
      <c r="AO963" t="s">
        <v>402</v>
      </c>
      <c r="AP963" t="s">
        <v>403</v>
      </c>
      <c r="AQ963" t="s">
        <v>74</v>
      </c>
      <c r="AR963" t="s">
        <v>74</v>
      </c>
      <c r="AS963" t="s">
        <v>74</v>
      </c>
      <c r="AT963" t="s">
        <v>5658</v>
      </c>
      <c r="AU963">
        <v>2009</v>
      </c>
      <c r="AV963">
        <v>131</v>
      </c>
      <c r="AW963">
        <v>3</v>
      </c>
      <c r="AX963" t="s">
        <v>74</v>
      </c>
      <c r="AY963" t="s">
        <v>74</v>
      </c>
      <c r="AZ963" t="s">
        <v>74</v>
      </c>
      <c r="BA963" t="s">
        <v>74</v>
      </c>
      <c r="BB963">
        <v>894</v>
      </c>
      <c r="BC963" t="s">
        <v>3356</v>
      </c>
      <c r="BD963" t="s">
        <v>74</v>
      </c>
      <c r="BE963" t="s">
        <v>8328</v>
      </c>
      <c r="BF963" t="str">
        <f>HYPERLINK("http://dx.doi.org/10.1021/ja807392k","http://dx.doi.org/10.1021/ja807392k")</f>
        <v>http://dx.doi.org/10.1021/ja807392k</v>
      </c>
      <c r="BG963" t="s">
        <v>74</v>
      </c>
      <c r="BH963" t="s">
        <v>74</v>
      </c>
      <c r="BI963" t="s">
        <v>74</v>
      </c>
      <c r="BJ963" t="s">
        <v>74</v>
      </c>
      <c r="BK963" t="s">
        <v>74</v>
      </c>
      <c r="BL963" t="s">
        <v>74</v>
      </c>
      <c r="BM963" t="s">
        <v>74</v>
      </c>
      <c r="BN963">
        <v>19119813</v>
      </c>
      <c r="BO963" t="s">
        <v>74</v>
      </c>
      <c r="BP963" t="s">
        <v>74</v>
      </c>
      <c r="BQ963" t="s">
        <v>74</v>
      </c>
      <c r="BR963" t="s">
        <v>74</v>
      </c>
      <c r="BS963" t="s">
        <v>8329</v>
      </c>
      <c r="BT963" t="str">
        <f>HYPERLINK("https%3A%2F%2Fwww.webofscience.com%2Fwos%2Fwoscc%2Ffull-record%2FWOS:000264791600011","View Full Record in Web of Science")</f>
        <v>View Full Record in Web of Science</v>
      </c>
    </row>
    <row r="964" spans="1:72" x14ac:dyDescent="0.2">
      <c r="A964" t="s">
        <v>72</v>
      </c>
      <c r="B964" t="s">
        <v>8330</v>
      </c>
      <c r="C964" t="s">
        <v>74</v>
      </c>
      <c r="D964" t="s">
        <v>74</v>
      </c>
      <c r="E964" t="s">
        <v>74</v>
      </c>
      <c r="F964" t="s">
        <v>8331</v>
      </c>
      <c r="G964" t="s">
        <v>74</v>
      </c>
      <c r="H964" t="s">
        <v>74</v>
      </c>
      <c r="I964" t="s">
        <v>8332</v>
      </c>
      <c r="J964" t="s">
        <v>1293</v>
      </c>
      <c r="K964" t="s">
        <v>74</v>
      </c>
      <c r="L964" t="s">
        <v>74</v>
      </c>
      <c r="M964" t="s">
        <v>74</v>
      </c>
      <c r="N964" t="s">
        <v>74</v>
      </c>
      <c r="O964" t="s">
        <v>74</v>
      </c>
      <c r="P964" t="s">
        <v>74</v>
      </c>
      <c r="Q964" t="s">
        <v>74</v>
      </c>
      <c r="R964" t="s">
        <v>74</v>
      </c>
      <c r="S964" t="s">
        <v>74</v>
      </c>
      <c r="T964" t="s">
        <v>74</v>
      </c>
      <c r="U964" t="s">
        <v>74</v>
      </c>
      <c r="V964" t="s">
        <v>8333</v>
      </c>
      <c r="W964" t="s">
        <v>74</v>
      </c>
      <c r="X964" t="s">
        <v>74</v>
      </c>
      <c r="Y964" t="s">
        <v>74</v>
      </c>
      <c r="Z964" t="s">
        <v>74</v>
      </c>
      <c r="AA964" t="s">
        <v>8334</v>
      </c>
      <c r="AB964" t="s">
        <v>8176</v>
      </c>
      <c r="AC964" t="s">
        <v>74</v>
      </c>
      <c r="AD964" t="s">
        <v>74</v>
      </c>
      <c r="AE964" t="s">
        <v>74</v>
      </c>
      <c r="AF964" t="s">
        <v>74</v>
      </c>
      <c r="AG964" t="s">
        <v>74</v>
      </c>
      <c r="AH964" t="s">
        <v>74</v>
      </c>
      <c r="AI964" t="s">
        <v>74</v>
      </c>
      <c r="AJ964" t="s">
        <v>74</v>
      </c>
      <c r="AK964" t="s">
        <v>74</v>
      </c>
      <c r="AL964" t="s">
        <v>74</v>
      </c>
      <c r="AM964" t="s">
        <v>74</v>
      </c>
      <c r="AN964" t="s">
        <v>74</v>
      </c>
      <c r="AO964" t="s">
        <v>1297</v>
      </c>
      <c r="AP964" t="s">
        <v>74</v>
      </c>
      <c r="AQ964" t="s">
        <v>74</v>
      </c>
      <c r="AR964" t="s">
        <v>74</v>
      </c>
      <c r="AS964" t="s">
        <v>74</v>
      </c>
      <c r="AT964" t="s">
        <v>74</v>
      </c>
      <c r="AU964">
        <v>2009</v>
      </c>
      <c r="AV964">
        <v>156</v>
      </c>
      <c r="AW964">
        <v>8</v>
      </c>
      <c r="AX964" t="s">
        <v>74</v>
      </c>
      <c r="AY964" t="s">
        <v>74</v>
      </c>
      <c r="AZ964" t="s">
        <v>74</v>
      </c>
      <c r="BA964" t="s">
        <v>74</v>
      </c>
      <c r="BB964" t="s">
        <v>8335</v>
      </c>
      <c r="BC964" t="s">
        <v>8336</v>
      </c>
      <c r="BD964" t="s">
        <v>74</v>
      </c>
      <c r="BE964" t="s">
        <v>8337</v>
      </c>
      <c r="BF964" t="str">
        <f>HYPERLINK("http://dx.doi.org/10.1149/1.3139042","http://dx.doi.org/10.1149/1.3139042")</f>
        <v>http://dx.doi.org/10.1149/1.3139042</v>
      </c>
      <c r="BG964" t="s">
        <v>74</v>
      </c>
      <c r="BH964" t="s">
        <v>74</v>
      </c>
      <c r="BI964" t="s">
        <v>74</v>
      </c>
      <c r="BJ964" t="s">
        <v>74</v>
      </c>
      <c r="BK964" t="s">
        <v>74</v>
      </c>
      <c r="BL964" t="s">
        <v>74</v>
      </c>
      <c r="BM964" t="s">
        <v>74</v>
      </c>
      <c r="BN964" t="s">
        <v>74</v>
      </c>
      <c r="BO964" t="s">
        <v>74</v>
      </c>
      <c r="BP964" t="s">
        <v>74</v>
      </c>
      <c r="BQ964" t="s">
        <v>74</v>
      </c>
      <c r="BR964" t="s">
        <v>74</v>
      </c>
      <c r="BS964" t="s">
        <v>8338</v>
      </c>
      <c r="BT964" t="str">
        <f>HYPERLINK("https%3A%2F%2Fwww.webofscience.com%2Fwos%2Fwoscc%2Ffull-record%2FWOS:000267798500007","View Full Record in Web of Science")</f>
        <v>View Full Record in Web of Science</v>
      </c>
    </row>
    <row r="965" spans="1:72" x14ac:dyDescent="0.2">
      <c r="A965" t="s">
        <v>72</v>
      </c>
      <c r="B965" t="s">
        <v>8339</v>
      </c>
      <c r="C965" t="s">
        <v>74</v>
      </c>
      <c r="D965" t="s">
        <v>74</v>
      </c>
      <c r="E965" t="s">
        <v>74</v>
      </c>
      <c r="F965" t="s">
        <v>8340</v>
      </c>
      <c r="G965" t="s">
        <v>74</v>
      </c>
      <c r="H965" t="s">
        <v>74</v>
      </c>
      <c r="I965" t="s">
        <v>8341</v>
      </c>
      <c r="J965" t="s">
        <v>98</v>
      </c>
      <c r="K965" t="s">
        <v>74</v>
      </c>
      <c r="L965" t="s">
        <v>74</v>
      </c>
      <c r="M965" t="s">
        <v>74</v>
      </c>
      <c r="N965" t="s">
        <v>74</v>
      </c>
      <c r="O965" t="s">
        <v>8342</v>
      </c>
      <c r="P965" t="s">
        <v>8343</v>
      </c>
      <c r="Q965" t="s">
        <v>8344</v>
      </c>
      <c r="R965" t="s">
        <v>8345</v>
      </c>
      <c r="S965" t="s">
        <v>74</v>
      </c>
      <c r="T965" t="s">
        <v>74</v>
      </c>
      <c r="U965" t="s">
        <v>74</v>
      </c>
      <c r="V965" t="s">
        <v>8346</v>
      </c>
      <c r="W965" t="s">
        <v>74</v>
      </c>
      <c r="X965" t="s">
        <v>74</v>
      </c>
      <c r="Y965" t="s">
        <v>74</v>
      </c>
      <c r="Z965" t="s">
        <v>74</v>
      </c>
      <c r="AA965" t="s">
        <v>74</v>
      </c>
      <c r="AB965" t="s">
        <v>74</v>
      </c>
      <c r="AC965" t="s">
        <v>74</v>
      </c>
      <c r="AD965" t="s">
        <v>74</v>
      </c>
      <c r="AE965" t="s">
        <v>74</v>
      </c>
      <c r="AF965" t="s">
        <v>74</v>
      </c>
      <c r="AG965" t="s">
        <v>74</v>
      </c>
      <c r="AH965" t="s">
        <v>74</v>
      </c>
      <c r="AI965" t="s">
        <v>74</v>
      </c>
      <c r="AJ965" t="s">
        <v>74</v>
      </c>
      <c r="AK965" t="s">
        <v>74</v>
      </c>
      <c r="AL965" t="s">
        <v>74</v>
      </c>
      <c r="AM965" t="s">
        <v>74</v>
      </c>
      <c r="AN965" t="s">
        <v>74</v>
      </c>
      <c r="AO965" t="s">
        <v>101</v>
      </c>
      <c r="AP965" t="s">
        <v>74</v>
      </c>
      <c r="AQ965" t="s">
        <v>74</v>
      </c>
      <c r="AR965" t="s">
        <v>74</v>
      </c>
      <c r="AS965" t="s">
        <v>74</v>
      </c>
      <c r="AT965" t="s">
        <v>134</v>
      </c>
      <c r="AU965">
        <v>2008</v>
      </c>
      <c r="AV965">
        <v>184</v>
      </c>
      <c r="AW965">
        <v>2</v>
      </c>
      <c r="AX965" t="s">
        <v>74</v>
      </c>
      <c r="AY965" t="s">
        <v>74</v>
      </c>
      <c r="AZ965" t="s">
        <v>2280</v>
      </c>
      <c r="BA965" t="s">
        <v>74</v>
      </c>
      <c r="BB965">
        <v>610</v>
      </c>
      <c r="BC965">
        <v>616</v>
      </c>
      <c r="BD965" t="s">
        <v>74</v>
      </c>
      <c r="BE965" t="s">
        <v>8347</v>
      </c>
      <c r="BF965" t="str">
        <f>HYPERLINK("http://dx.doi.org/10.1016/j.jpowsour.2008.04.081","http://dx.doi.org/10.1016/j.jpowsour.2008.04.081")</f>
        <v>http://dx.doi.org/10.1016/j.jpowsour.2008.04.081</v>
      </c>
      <c r="BG965" t="s">
        <v>74</v>
      </c>
      <c r="BH965" t="s">
        <v>74</v>
      </c>
      <c r="BI965" t="s">
        <v>74</v>
      </c>
      <c r="BJ965" t="s">
        <v>74</v>
      </c>
      <c r="BK965" t="s">
        <v>74</v>
      </c>
      <c r="BL965" t="s">
        <v>74</v>
      </c>
      <c r="BM965" t="s">
        <v>74</v>
      </c>
      <c r="BN965" t="s">
        <v>74</v>
      </c>
      <c r="BO965" t="s">
        <v>74</v>
      </c>
      <c r="BP965" t="s">
        <v>74</v>
      </c>
      <c r="BQ965" t="s">
        <v>74</v>
      </c>
      <c r="BR965" t="s">
        <v>74</v>
      </c>
      <c r="BS965" t="s">
        <v>8348</v>
      </c>
      <c r="BT965" t="str">
        <f>HYPERLINK("https%3A%2F%2Fwww.webofscience.com%2Fwos%2Fwoscc%2Ffull-record%2FWOS:000259889100053","View Full Record in Web of Science")</f>
        <v>View Full Record in Web of Science</v>
      </c>
    </row>
    <row r="966" spans="1:72" x14ac:dyDescent="0.2">
      <c r="A966" t="s">
        <v>72</v>
      </c>
      <c r="B966" t="s">
        <v>8349</v>
      </c>
      <c r="C966" t="s">
        <v>74</v>
      </c>
      <c r="D966" t="s">
        <v>74</v>
      </c>
      <c r="E966" t="s">
        <v>74</v>
      </c>
      <c r="F966" t="s">
        <v>8350</v>
      </c>
      <c r="G966" t="s">
        <v>74</v>
      </c>
      <c r="H966" t="s">
        <v>74</v>
      </c>
      <c r="I966" t="s">
        <v>8351</v>
      </c>
      <c r="J966" t="s">
        <v>98</v>
      </c>
      <c r="K966" t="s">
        <v>74</v>
      </c>
      <c r="L966" t="s">
        <v>74</v>
      </c>
      <c r="M966" t="s">
        <v>74</v>
      </c>
      <c r="N966" t="s">
        <v>74</v>
      </c>
      <c r="O966" t="s">
        <v>8342</v>
      </c>
      <c r="P966" t="s">
        <v>8343</v>
      </c>
      <c r="Q966" t="s">
        <v>8344</v>
      </c>
      <c r="R966" t="s">
        <v>8345</v>
      </c>
      <c r="S966" t="s">
        <v>74</v>
      </c>
      <c r="T966" t="s">
        <v>74</v>
      </c>
      <c r="U966" t="s">
        <v>74</v>
      </c>
      <c r="V966" t="s">
        <v>8352</v>
      </c>
      <c r="W966" t="s">
        <v>74</v>
      </c>
      <c r="X966" t="s">
        <v>74</v>
      </c>
      <c r="Y966" t="s">
        <v>74</v>
      </c>
      <c r="Z966" t="s">
        <v>74</v>
      </c>
      <c r="AA966" t="s">
        <v>8353</v>
      </c>
      <c r="AB966" t="s">
        <v>8354</v>
      </c>
      <c r="AC966" t="s">
        <v>74</v>
      </c>
      <c r="AD966" t="s">
        <v>74</v>
      </c>
      <c r="AE966" t="s">
        <v>74</v>
      </c>
      <c r="AF966" t="s">
        <v>74</v>
      </c>
      <c r="AG966" t="s">
        <v>74</v>
      </c>
      <c r="AH966" t="s">
        <v>74</v>
      </c>
      <c r="AI966" t="s">
        <v>74</v>
      </c>
      <c r="AJ966" t="s">
        <v>74</v>
      </c>
      <c r="AK966" t="s">
        <v>74</v>
      </c>
      <c r="AL966" t="s">
        <v>74</v>
      </c>
      <c r="AM966" t="s">
        <v>74</v>
      </c>
      <c r="AN966" t="s">
        <v>74</v>
      </c>
      <c r="AO966" t="s">
        <v>101</v>
      </c>
      <c r="AP966" t="s">
        <v>102</v>
      </c>
      <c r="AQ966" t="s">
        <v>74</v>
      </c>
      <c r="AR966" t="s">
        <v>74</v>
      </c>
      <c r="AS966" t="s">
        <v>74</v>
      </c>
      <c r="AT966" t="s">
        <v>134</v>
      </c>
      <c r="AU966">
        <v>2008</v>
      </c>
      <c r="AV966">
        <v>184</v>
      </c>
      <c r="AW966">
        <v>2</v>
      </c>
      <c r="AX966" t="s">
        <v>74</v>
      </c>
      <c r="AY966" t="s">
        <v>74</v>
      </c>
      <c r="AZ966" t="s">
        <v>2280</v>
      </c>
      <c r="BA966" t="s">
        <v>74</v>
      </c>
      <c r="BB966">
        <v>517</v>
      </c>
      <c r="BC966">
        <v>521</v>
      </c>
      <c r="BD966" t="s">
        <v>74</v>
      </c>
      <c r="BE966" t="s">
        <v>8355</v>
      </c>
      <c r="BF966" t="str">
        <f>HYPERLINK("http://dx.doi.org/10.1016/j.jpowsour.2008.03.016","http://dx.doi.org/10.1016/j.jpowsour.2008.03.016")</f>
        <v>http://dx.doi.org/10.1016/j.jpowsour.2008.03.016</v>
      </c>
      <c r="BG966" t="s">
        <v>74</v>
      </c>
      <c r="BH966" t="s">
        <v>74</v>
      </c>
      <c r="BI966" t="s">
        <v>74</v>
      </c>
      <c r="BJ966" t="s">
        <v>74</v>
      </c>
      <c r="BK966" t="s">
        <v>74</v>
      </c>
      <c r="BL966" t="s">
        <v>74</v>
      </c>
      <c r="BM966" t="s">
        <v>74</v>
      </c>
      <c r="BN966" t="s">
        <v>74</v>
      </c>
      <c r="BO966" t="s">
        <v>74</v>
      </c>
      <c r="BP966" t="s">
        <v>74</v>
      </c>
      <c r="BQ966" t="s">
        <v>74</v>
      </c>
      <c r="BR966" t="s">
        <v>74</v>
      </c>
      <c r="BS966" t="s">
        <v>8356</v>
      </c>
      <c r="BT966" t="str">
        <f>HYPERLINK("https%3A%2F%2Fwww.webofscience.com%2Fwos%2Fwoscc%2Ffull-record%2FWOS:000259889100034","View Full Record in Web of Science")</f>
        <v>View Full Record in Web of Science</v>
      </c>
    </row>
    <row r="967" spans="1:72" x14ac:dyDescent="0.2">
      <c r="A967" t="s">
        <v>72</v>
      </c>
      <c r="B967" t="s">
        <v>8357</v>
      </c>
      <c r="C967" t="s">
        <v>74</v>
      </c>
      <c r="D967" t="s">
        <v>74</v>
      </c>
      <c r="E967" t="s">
        <v>74</v>
      </c>
      <c r="F967" t="s">
        <v>8358</v>
      </c>
      <c r="G967" t="s">
        <v>74</v>
      </c>
      <c r="H967" t="s">
        <v>74</v>
      </c>
      <c r="I967" t="s">
        <v>8359</v>
      </c>
      <c r="J967" t="s">
        <v>1256</v>
      </c>
      <c r="K967" t="s">
        <v>74</v>
      </c>
      <c r="L967" t="s">
        <v>74</v>
      </c>
      <c r="M967" t="s">
        <v>74</v>
      </c>
      <c r="N967" t="s">
        <v>74</v>
      </c>
      <c r="O967" t="s">
        <v>74</v>
      </c>
      <c r="P967" t="s">
        <v>74</v>
      </c>
      <c r="Q967" t="s">
        <v>74</v>
      </c>
      <c r="R967" t="s">
        <v>74</v>
      </c>
      <c r="S967" t="s">
        <v>74</v>
      </c>
      <c r="T967" t="s">
        <v>74</v>
      </c>
      <c r="U967" t="s">
        <v>74</v>
      </c>
      <c r="V967" t="s">
        <v>8360</v>
      </c>
      <c r="W967" t="s">
        <v>74</v>
      </c>
      <c r="X967" t="s">
        <v>74</v>
      </c>
      <c r="Y967" t="s">
        <v>74</v>
      </c>
      <c r="Z967" t="s">
        <v>74</v>
      </c>
      <c r="AA967" t="s">
        <v>8361</v>
      </c>
      <c r="AB967" t="s">
        <v>8362</v>
      </c>
      <c r="AC967" t="s">
        <v>74</v>
      </c>
      <c r="AD967" t="s">
        <v>74</v>
      </c>
      <c r="AE967" t="s">
        <v>74</v>
      </c>
      <c r="AF967" t="s">
        <v>74</v>
      </c>
      <c r="AG967" t="s">
        <v>74</v>
      </c>
      <c r="AH967" t="s">
        <v>74</v>
      </c>
      <c r="AI967" t="s">
        <v>74</v>
      </c>
      <c r="AJ967" t="s">
        <v>74</v>
      </c>
      <c r="AK967" t="s">
        <v>74</v>
      </c>
      <c r="AL967" t="s">
        <v>74</v>
      </c>
      <c r="AM967" t="s">
        <v>74</v>
      </c>
      <c r="AN967" t="s">
        <v>74</v>
      </c>
      <c r="AO967" t="s">
        <v>1258</v>
      </c>
      <c r="AP967" t="s">
        <v>74</v>
      </c>
      <c r="AQ967" t="s">
        <v>74</v>
      </c>
      <c r="AR967" t="s">
        <v>74</v>
      </c>
      <c r="AS967" t="s">
        <v>74</v>
      </c>
      <c r="AT967" t="s">
        <v>1781</v>
      </c>
      <c r="AU967">
        <v>2008</v>
      </c>
      <c r="AV967">
        <v>53</v>
      </c>
      <c r="AW967">
        <v>22</v>
      </c>
      <c r="AX967" t="s">
        <v>74</v>
      </c>
      <c r="AY967" t="s">
        <v>74</v>
      </c>
      <c r="AZ967" t="s">
        <v>74</v>
      </c>
      <c r="BA967" t="s">
        <v>74</v>
      </c>
      <c r="BB967">
        <v>6575</v>
      </c>
      <c r="BC967">
        <v>6579</v>
      </c>
      <c r="BD967" t="s">
        <v>74</v>
      </c>
      <c r="BE967" t="s">
        <v>8363</v>
      </c>
      <c r="BF967" t="str">
        <f>HYPERLINK("http://dx.doi.org/10.1016/j.electacta.2008.04.070","http://dx.doi.org/10.1016/j.electacta.2008.04.070")</f>
        <v>http://dx.doi.org/10.1016/j.electacta.2008.04.070</v>
      </c>
      <c r="BG967" t="s">
        <v>74</v>
      </c>
      <c r="BH967" t="s">
        <v>74</v>
      </c>
      <c r="BI967" t="s">
        <v>74</v>
      </c>
      <c r="BJ967" t="s">
        <v>74</v>
      </c>
      <c r="BK967" t="s">
        <v>74</v>
      </c>
      <c r="BL967" t="s">
        <v>74</v>
      </c>
      <c r="BM967" t="s">
        <v>74</v>
      </c>
      <c r="BN967" t="s">
        <v>74</v>
      </c>
      <c r="BO967" t="s">
        <v>74</v>
      </c>
      <c r="BP967" t="s">
        <v>74</v>
      </c>
      <c r="BQ967" t="s">
        <v>74</v>
      </c>
      <c r="BR967" t="s">
        <v>74</v>
      </c>
      <c r="BS967" t="s">
        <v>8364</v>
      </c>
      <c r="BT967" t="str">
        <f>HYPERLINK("https%3A%2F%2Fwww.webofscience.com%2Fwos%2Fwoscc%2Ffull-record%2FWOS:000258009800040","View Full Record in Web of Science")</f>
        <v>View Full Record in Web of Science</v>
      </c>
    </row>
    <row r="968" spans="1:72" x14ac:dyDescent="0.2">
      <c r="A968" t="s">
        <v>72</v>
      </c>
      <c r="B968" t="s">
        <v>8365</v>
      </c>
      <c r="C968" t="s">
        <v>74</v>
      </c>
      <c r="D968" t="s">
        <v>74</v>
      </c>
      <c r="E968" t="s">
        <v>74</v>
      </c>
      <c r="F968" t="s">
        <v>8366</v>
      </c>
      <c r="G968" t="s">
        <v>74</v>
      </c>
      <c r="H968" t="s">
        <v>74</v>
      </c>
      <c r="I968" t="s">
        <v>8367</v>
      </c>
      <c r="J968" t="s">
        <v>1051</v>
      </c>
      <c r="K968" t="s">
        <v>74</v>
      </c>
      <c r="L968" t="s">
        <v>74</v>
      </c>
      <c r="M968" t="s">
        <v>74</v>
      </c>
      <c r="N968" t="s">
        <v>74</v>
      </c>
      <c r="O968" t="s">
        <v>74</v>
      </c>
      <c r="P968" t="s">
        <v>74</v>
      </c>
      <c r="Q968" t="s">
        <v>74</v>
      </c>
      <c r="R968" t="s">
        <v>74</v>
      </c>
      <c r="S968" t="s">
        <v>74</v>
      </c>
      <c r="T968" t="s">
        <v>74</v>
      </c>
      <c r="U968" t="s">
        <v>74</v>
      </c>
      <c r="V968" t="s">
        <v>8368</v>
      </c>
      <c r="W968" t="s">
        <v>74</v>
      </c>
      <c r="X968" t="s">
        <v>74</v>
      </c>
      <c r="Y968" t="s">
        <v>74</v>
      </c>
      <c r="Z968" t="s">
        <v>74</v>
      </c>
      <c r="AA968" t="s">
        <v>8369</v>
      </c>
      <c r="AB968" t="s">
        <v>747</v>
      </c>
      <c r="AC968" t="s">
        <v>74</v>
      </c>
      <c r="AD968" t="s">
        <v>74</v>
      </c>
      <c r="AE968" t="s">
        <v>74</v>
      </c>
      <c r="AF968" t="s">
        <v>74</v>
      </c>
      <c r="AG968" t="s">
        <v>74</v>
      </c>
      <c r="AH968" t="s">
        <v>74</v>
      </c>
      <c r="AI968" t="s">
        <v>74</v>
      </c>
      <c r="AJ968" t="s">
        <v>74</v>
      </c>
      <c r="AK968" t="s">
        <v>74</v>
      </c>
      <c r="AL968" t="s">
        <v>74</v>
      </c>
      <c r="AM968" t="s">
        <v>74</v>
      </c>
      <c r="AN968" t="s">
        <v>74</v>
      </c>
      <c r="AO968" t="s">
        <v>1054</v>
      </c>
      <c r="AP968" t="s">
        <v>1055</v>
      </c>
      <c r="AQ968" t="s">
        <v>74</v>
      </c>
      <c r="AR968" t="s">
        <v>74</v>
      </c>
      <c r="AS968" t="s">
        <v>74</v>
      </c>
      <c r="AT968" t="s">
        <v>629</v>
      </c>
      <c r="AU968">
        <v>2008</v>
      </c>
      <c r="AV968">
        <v>10</v>
      </c>
      <c r="AW968">
        <v>8</v>
      </c>
      <c r="AX968" t="s">
        <v>74</v>
      </c>
      <c r="AY968" t="s">
        <v>74</v>
      </c>
      <c r="AZ968" t="s">
        <v>74</v>
      </c>
      <c r="BA968" t="s">
        <v>74</v>
      </c>
      <c r="BB968">
        <v>1195</v>
      </c>
      <c r="BC968">
        <v>1197</v>
      </c>
      <c r="BD968" t="s">
        <v>74</v>
      </c>
      <c r="BE968" t="s">
        <v>8370</v>
      </c>
      <c r="BF968" t="str">
        <f>HYPERLINK("http://dx.doi.org/10.1016/j.elecom.2008.05.043","http://dx.doi.org/10.1016/j.elecom.2008.05.043")</f>
        <v>http://dx.doi.org/10.1016/j.elecom.2008.05.043</v>
      </c>
      <c r="BG968" t="s">
        <v>74</v>
      </c>
      <c r="BH968" t="s">
        <v>74</v>
      </c>
      <c r="BI968" t="s">
        <v>74</v>
      </c>
      <c r="BJ968" t="s">
        <v>74</v>
      </c>
      <c r="BK968" t="s">
        <v>74</v>
      </c>
      <c r="BL968" t="s">
        <v>74</v>
      </c>
      <c r="BM968" t="s">
        <v>74</v>
      </c>
      <c r="BN968" t="s">
        <v>74</v>
      </c>
      <c r="BO968" t="s">
        <v>74</v>
      </c>
      <c r="BP968" t="s">
        <v>74</v>
      </c>
      <c r="BQ968" t="s">
        <v>74</v>
      </c>
      <c r="BR968" t="s">
        <v>74</v>
      </c>
      <c r="BS968" t="s">
        <v>8371</v>
      </c>
      <c r="BT968" t="str">
        <f>HYPERLINK("https%3A%2F%2Fwww.webofscience.com%2Fwos%2Fwoscc%2Ffull-record%2FWOS:000258994100023","View Full Record in Web of Science")</f>
        <v>View Full Record in Web of Science</v>
      </c>
    </row>
    <row r="969" spans="1:72" x14ac:dyDescent="0.2">
      <c r="A969" t="s">
        <v>72</v>
      </c>
      <c r="B969" t="s">
        <v>8372</v>
      </c>
      <c r="C969" t="s">
        <v>74</v>
      </c>
      <c r="D969" t="s">
        <v>74</v>
      </c>
      <c r="E969" t="s">
        <v>74</v>
      </c>
      <c r="F969" t="s">
        <v>8373</v>
      </c>
      <c r="G969" t="s">
        <v>74</v>
      </c>
      <c r="H969" t="s">
        <v>74</v>
      </c>
      <c r="I969" t="s">
        <v>8374</v>
      </c>
      <c r="J969" t="s">
        <v>8375</v>
      </c>
      <c r="K969" t="s">
        <v>74</v>
      </c>
      <c r="L969" t="s">
        <v>74</v>
      </c>
      <c r="M969" t="s">
        <v>74</v>
      </c>
      <c r="N969" t="s">
        <v>74</v>
      </c>
      <c r="O969" t="s">
        <v>74</v>
      </c>
      <c r="P969" t="s">
        <v>74</v>
      </c>
      <c r="Q969" t="s">
        <v>74</v>
      </c>
      <c r="R969" t="s">
        <v>74</v>
      </c>
      <c r="S969" t="s">
        <v>74</v>
      </c>
      <c r="T969" t="s">
        <v>74</v>
      </c>
      <c r="U969" t="s">
        <v>74</v>
      </c>
      <c r="V969" t="s">
        <v>8376</v>
      </c>
      <c r="W969" t="s">
        <v>74</v>
      </c>
      <c r="X969" t="s">
        <v>74</v>
      </c>
      <c r="Y969" t="s">
        <v>74</v>
      </c>
      <c r="Z969" t="s">
        <v>74</v>
      </c>
      <c r="AA969" t="s">
        <v>8377</v>
      </c>
      <c r="AB969" t="s">
        <v>74</v>
      </c>
      <c r="AC969" t="s">
        <v>74</v>
      </c>
      <c r="AD969" t="s">
        <v>74</v>
      </c>
      <c r="AE969" t="s">
        <v>74</v>
      </c>
      <c r="AF969" t="s">
        <v>74</v>
      </c>
      <c r="AG969" t="s">
        <v>74</v>
      </c>
      <c r="AH969" t="s">
        <v>74</v>
      </c>
      <c r="AI969" t="s">
        <v>74</v>
      </c>
      <c r="AJ969" t="s">
        <v>74</v>
      </c>
      <c r="AK969" t="s">
        <v>74</v>
      </c>
      <c r="AL969" t="s">
        <v>74</v>
      </c>
      <c r="AM969" t="s">
        <v>74</v>
      </c>
      <c r="AN969" t="s">
        <v>74</v>
      </c>
      <c r="AO969" t="s">
        <v>8378</v>
      </c>
      <c r="AP969" t="s">
        <v>8379</v>
      </c>
      <c r="AQ969" t="s">
        <v>74</v>
      </c>
      <c r="AR969" t="s">
        <v>74</v>
      </c>
      <c r="AS969" t="s">
        <v>74</v>
      </c>
      <c r="AT969" t="s">
        <v>1026</v>
      </c>
      <c r="AU969">
        <v>2008</v>
      </c>
      <c r="AV969">
        <v>16</v>
      </c>
      <c r="AW969">
        <v>2</v>
      </c>
      <c r="AX969" t="s">
        <v>74</v>
      </c>
      <c r="AY969" t="s">
        <v>74</v>
      </c>
      <c r="AZ969" t="s">
        <v>74</v>
      </c>
      <c r="BA969" t="s">
        <v>74</v>
      </c>
      <c r="BB969">
        <v>134</v>
      </c>
      <c r="BC969">
        <v>138</v>
      </c>
      <c r="BD969" t="s">
        <v>74</v>
      </c>
      <c r="BE969" t="s">
        <v>8380</v>
      </c>
      <c r="BF969" t="str">
        <f>HYPERLINK("http://dx.doi.org/10.1007/BF03218842","http://dx.doi.org/10.1007/BF03218842")</f>
        <v>http://dx.doi.org/10.1007/BF03218842</v>
      </c>
      <c r="BG969" t="s">
        <v>74</v>
      </c>
      <c r="BH969" t="s">
        <v>74</v>
      </c>
      <c r="BI969" t="s">
        <v>74</v>
      </c>
      <c r="BJ969" t="s">
        <v>74</v>
      </c>
      <c r="BK969" t="s">
        <v>74</v>
      </c>
      <c r="BL969" t="s">
        <v>74</v>
      </c>
      <c r="BM969" t="s">
        <v>74</v>
      </c>
      <c r="BN969" t="s">
        <v>74</v>
      </c>
      <c r="BO969" t="s">
        <v>74</v>
      </c>
      <c r="BP969" t="s">
        <v>74</v>
      </c>
      <c r="BQ969" t="s">
        <v>74</v>
      </c>
      <c r="BR969" t="s">
        <v>74</v>
      </c>
      <c r="BS969" t="s">
        <v>8381</v>
      </c>
      <c r="BT969" t="str">
        <f>HYPERLINK("https%3A%2F%2Fwww.webofscience.com%2Fwos%2Fwoscc%2Ffull-record%2FWOS:000253947100007","View Full Record in Web of Science")</f>
        <v>View Full Record in Web of Science</v>
      </c>
    </row>
    <row r="970" spans="1:72" x14ac:dyDescent="0.2">
      <c r="A970" t="s">
        <v>72</v>
      </c>
      <c r="B970" t="s">
        <v>8261</v>
      </c>
      <c r="C970" t="s">
        <v>74</v>
      </c>
      <c r="D970" t="s">
        <v>74</v>
      </c>
      <c r="E970" t="s">
        <v>74</v>
      </c>
      <c r="F970" t="s">
        <v>8262</v>
      </c>
      <c r="G970" t="s">
        <v>74</v>
      </c>
      <c r="H970" t="s">
        <v>74</v>
      </c>
      <c r="I970" t="s">
        <v>8382</v>
      </c>
      <c r="J970" t="s">
        <v>8273</v>
      </c>
      <c r="K970" t="s">
        <v>74</v>
      </c>
      <c r="L970" t="s">
        <v>74</v>
      </c>
      <c r="M970" t="s">
        <v>74</v>
      </c>
      <c r="N970" t="s">
        <v>74</v>
      </c>
      <c r="O970" t="s">
        <v>8383</v>
      </c>
      <c r="P970" t="s">
        <v>8384</v>
      </c>
      <c r="Q970" t="s">
        <v>8385</v>
      </c>
      <c r="R970" t="s">
        <v>74</v>
      </c>
      <c r="S970" t="s">
        <v>74</v>
      </c>
      <c r="T970" t="s">
        <v>74</v>
      </c>
      <c r="U970" t="s">
        <v>74</v>
      </c>
      <c r="V970" t="s">
        <v>8386</v>
      </c>
      <c r="W970" t="s">
        <v>74</v>
      </c>
      <c r="X970" t="s">
        <v>74</v>
      </c>
      <c r="Y970" t="s">
        <v>74</v>
      </c>
      <c r="Z970" t="s">
        <v>74</v>
      </c>
      <c r="AA970" t="s">
        <v>74</v>
      </c>
      <c r="AB970" t="s">
        <v>74</v>
      </c>
      <c r="AC970" t="s">
        <v>74</v>
      </c>
      <c r="AD970" t="s">
        <v>74</v>
      </c>
      <c r="AE970" t="s">
        <v>74</v>
      </c>
      <c r="AF970" t="s">
        <v>74</v>
      </c>
      <c r="AG970" t="s">
        <v>74</v>
      </c>
      <c r="AH970" t="s">
        <v>74</v>
      </c>
      <c r="AI970" t="s">
        <v>74</v>
      </c>
      <c r="AJ970" t="s">
        <v>74</v>
      </c>
      <c r="AK970" t="s">
        <v>74</v>
      </c>
      <c r="AL970" t="s">
        <v>74</v>
      </c>
      <c r="AM970" t="s">
        <v>74</v>
      </c>
      <c r="AN970" t="s">
        <v>74</v>
      </c>
      <c r="AO970" t="s">
        <v>8277</v>
      </c>
      <c r="AP970" t="s">
        <v>8387</v>
      </c>
      <c r="AQ970" t="s">
        <v>74</v>
      </c>
      <c r="AR970" t="s">
        <v>74</v>
      </c>
      <c r="AS970" t="s">
        <v>74</v>
      </c>
      <c r="AT970" t="s">
        <v>1420</v>
      </c>
      <c r="AU970">
        <v>2008</v>
      </c>
      <c r="AV970">
        <v>354</v>
      </c>
      <c r="AW970" t="s">
        <v>8388</v>
      </c>
      <c r="AX970" t="s">
        <v>74</v>
      </c>
      <c r="AY970" t="s">
        <v>74</v>
      </c>
      <c r="AZ970" t="s">
        <v>74</v>
      </c>
      <c r="BA970" t="s">
        <v>74</v>
      </c>
      <c r="BB970">
        <v>374</v>
      </c>
      <c r="BC970">
        <v>379</v>
      </c>
      <c r="BD970" t="s">
        <v>74</v>
      </c>
      <c r="BE970" t="s">
        <v>8389</v>
      </c>
      <c r="BF970" t="str">
        <f>HYPERLINK("http://dx.doi.org/10.1016/j.jnoncrysol.2007.07.046","http://dx.doi.org/10.1016/j.jnoncrysol.2007.07.046")</f>
        <v>http://dx.doi.org/10.1016/j.jnoncrysol.2007.07.046</v>
      </c>
      <c r="BG970" t="s">
        <v>74</v>
      </c>
      <c r="BH970" t="s">
        <v>74</v>
      </c>
      <c r="BI970" t="s">
        <v>74</v>
      </c>
      <c r="BJ970" t="s">
        <v>74</v>
      </c>
      <c r="BK970" t="s">
        <v>74</v>
      </c>
      <c r="BL970" t="s">
        <v>74</v>
      </c>
      <c r="BM970" t="s">
        <v>74</v>
      </c>
      <c r="BN970" t="s">
        <v>74</v>
      </c>
      <c r="BO970" t="s">
        <v>74</v>
      </c>
      <c r="BP970" t="s">
        <v>74</v>
      </c>
      <c r="BQ970" t="s">
        <v>74</v>
      </c>
      <c r="BR970" t="s">
        <v>74</v>
      </c>
      <c r="BS970" t="s">
        <v>8390</v>
      </c>
      <c r="BT970" t="str">
        <f>HYPERLINK("https%3A%2F%2Fwww.webofscience.com%2Fwos%2Fwoscc%2Ffull-record%2FWOS:000252860800052","View Full Record in Web of Science")</f>
        <v>View Full Record in Web of Science</v>
      </c>
    </row>
    <row r="971" spans="1:72" x14ac:dyDescent="0.2">
      <c r="A971" t="s">
        <v>72</v>
      </c>
      <c r="B971" t="s">
        <v>8391</v>
      </c>
      <c r="C971" t="s">
        <v>74</v>
      </c>
      <c r="D971" t="s">
        <v>74</v>
      </c>
      <c r="E971" t="s">
        <v>74</v>
      </c>
      <c r="F971" t="s">
        <v>8392</v>
      </c>
      <c r="G971" t="s">
        <v>74</v>
      </c>
      <c r="H971" t="s">
        <v>74</v>
      </c>
      <c r="I971" t="s">
        <v>8393</v>
      </c>
      <c r="J971" t="s">
        <v>1256</v>
      </c>
      <c r="K971" t="s">
        <v>74</v>
      </c>
      <c r="L971" t="s">
        <v>74</v>
      </c>
      <c r="M971" t="s">
        <v>74</v>
      </c>
      <c r="N971" t="s">
        <v>74</v>
      </c>
      <c r="O971" t="s">
        <v>8394</v>
      </c>
      <c r="P971" t="s">
        <v>8395</v>
      </c>
      <c r="Q971" t="s">
        <v>8396</v>
      </c>
      <c r="R971" t="s">
        <v>74</v>
      </c>
      <c r="S971" t="s">
        <v>74</v>
      </c>
      <c r="T971" t="s">
        <v>74</v>
      </c>
      <c r="U971" t="s">
        <v>74</v>
      </c>
      <c r="V971" t="s">
        <v>8397</v>
      </c>
      <c r="W971" t="s">
        <v>74</v>
      </c>
      <c r="X971" t="s">
        <v>74</v>
      </c>
      <c r="Y971" t="s">
        <v>74</v>
      </c>
      <c r="Z971" t="s">
        <v>74</v>
      </c>
      <c r="AA971" t="s">
        <v>8398</v>
      </c>
      <c r="AB971" t="s">
        <v>8399</v>
      </c>
      <c r="AC971" t="s">
        <v>74</v>
      </c>
      <c r="AD971" t="s">
        <v>74</v>
      </c>
      <c r="AE971" t="s">
        <v>74</v>
      </c>
      <c r="AF971" t="s">
        <v>74</v>
      </c>
      <c r="AG971" t="s">
        <v>74</v>
      </c>
      <c r="AH971" t="s">
        <v>74</v>
      </c>
      <c r="AI971" t="s">
        <v>74</v>
      </c>
      <c r="AJ971" t="s">
        <v>74</v>
      </c>
      <c r="AK971" t="s">
        <v>74</v>
      </c>
      <c r="AL971" t="s">
        <v>74</v>
      </c>
      <c r="AM971" t="s">
        <v>74</v>
      </c>
      <c r="AN971" t="s">
        <v>74</v>
      </c>
      <c r="AO971" t="s">
        <v>1258</v>
      </c>
      <c r="AP971" t="s">
        <v>1259</v>
      </c>
      <c r="AQ971" t="s">
        <v>74</v>
      </c>
      <c r="AR971" t="s">
        <v>74</v>
      </c>
      <c r="AS971" t="s">
        <v>74</v>
      </c>
      <c r="AT971" t="s">
        <v>1175</v>
      </c>
      <c r="AU971">
        <v>2007</v>
      </c>
      <c r="AV971">
        <v>53</v>
      </c>
      <c r="AW971">
        <v>4</v>
      </c>
      <c r="AX971" t="s">
        <v>74</v>
      </c>
      <c r="AY971" t="s">
        <v>74</v>
      </c>
      <c r="AZ971" t="s">
        <v>2280</v>
      </c>
      <c r="BA971" t="s">
        <v>74</v>
      </c>
      <c r="BB971">
        <v>1481</v>
      </c>
      <c r="BC971">
        <v>1489</v>
      </c>
      <c r="BD971" t="s">
        <v>74</v>
      </c>
      <c r="BE971" t="s">
        <v>8400</v>
      </c>
      <c r="BF971" t="str">
        <f>HYPERLINK("http://dx.doi.org/10.1016/j.electacta.2007.02.046","http://dx.doi.org/10.1016/j.electacta.2007.02.046")</f>
        <v>http://dx.doi.org/10.1016/j.electacta.2007.02.046</v>
      </c>
      <c r="BG971" t="s">
        <v>74</v>
      </c>
      <c r="BH971" t="s">
        <v>74</v>
      </c>
      <c r="BI971" t="s">
        <v>74</v>
      </c>
      <c r="BJ971" t="s">
        <v>74</v>
      </c>
      <c r="BK971" t="s">
        <v>74</v>
      </c>
      <c r="BL971" t="s">
        <v>74</v>
      </c>
      <c r="BM971" t="s">
        <v>74</v>
      </c>
      <c r="BN971" t="s">
        <v>74</v>
      </c>
      <c r="BO971" t="s">
        <v>74</v>
      </c>
      <c r="BP971" t="s">
        <v>74</v>
      </c>
      <c r="BQ971" t="s">
        <v>74</v>
      </c>
      <c r="BR971" t="s">
        <v>74</v>
      </c>
      <c r="BS971" t="s">
        <v>8401</v>
      </c>
      <c r="BT971" t="str">
        <f>HYPERLINK("https%3A%2F%2Fwww.webofscience.com%2Fwos%2Fwoscc%2Ffull-record%2FWOS:000251759900015","View Full Record in Web of Science")</f>
        <v>View Full Record in Web of Science</v>
      </c>
    </row>
    <row r="972" spans="1:72" x14ac:dyDescent="0.2">
      <c r="A972" t="s">
        <v>72</v>
      </c>
      <c r="B972" t="s">
        <v>8402</v>
      </c>
      <c r="C972" t="s">
        <v>74</v>
      </c>
      <c r="D972" t="s">
        <v>74</v>
      </c>
      <c r="E972" t="s">
        <v>74</v>
      </c>
      <c r="F972" t="s">
        <v>8403</v>
      </c>
      <c r="G972" t="s">
        <v>74</v>
      </c>
      <c r="H972" t="s">
        <v>74</v>
      </c>
      <c r="I972" t="s">
        <v>8404</v>
      </c>
      <c r="J972" t="s">
        <v>1256</v>
      </c>
      <c r="K972" t="s">
        <v>74</v>
      </c>
      <c r="L972" t="s">
        <v>74</v>
      </c>
      <c r="M972" t="s">
        <v>74</v>
      </c>
      <c r="N972" t="s">
        <v>74</v>
      </c>
      <c r="O972" t="s">
        <v>74</v>
      </c>
      <c r="P972" t="s">
        <v>74</v>
      </c>
      <c r="Q972" t="s">
        <v>74</v>
      </c>
      <c r="R972" t="s">
        <v>74</v>
      </c>
      <c r="S972" t="s">
        <v>74</v>
      </c>
      <c r="T972" t="s">
        <v>74</v>
      </c>
      <c r="U972" t="s">
        <v>74</v>
      </c>
      <c r="V972" t="s">
        <v>8405</v>
      </c>
      <c r="W972" t="s">
        <v>74</v>
      </c>
      <c r="X972" t="s">
        <v>74</v>
      </c>
      <c r="Y972" t="s">
        <v>74</v>
      </c>
      <c r="Z972" t="s">
        <v>74</v>
      </c>
      <c r="AA972" t="s">
        <v>7782</v>
      </c>
      <c r="AB972" t="s">
        <v>7783</v>
      </c>
      <c r="AC972" t="s">
        <v>74</v>
      </c>
      <c r="AD972" t="s">
        <v>74</v>
      </c>
      <c r="AE972" t="s">
        <v>74</v>
      </c>
      <c r="AF972" t="s">
        <v>74</v>
      </c>
      <c r="AG972" t="s">
        <v>74</v>
      </c>
      <c r="AH972" t="s">
        <v>74</v>
      </c>
      <c r="AI972" t="s">
        <v>74</v>
      </c>
      <c r="AJ972" t="s">
        <v>74</v>
      </c>
      <c r="AK972" t="s">
        <v>74</v>
      </c>
      <c r="AL972" t="s">
        <v>74</v>
      </c>
      <c r="AM972" t="s">
        <v>74</v>
      </c>
      <c r="AN972" t="s">
        <v>74</v>
      </c>
      <c r="AO972" t="s">
        <v>1258</v>
      </c>
      <c r="AP972" t="s">
        <v>1259</v>
      </c>
      <c r="AQ972" t="s">
        <v>74</v>
      </c>
      <c r="AR972" t="s">
        <v>74</v>
      </c>
      <c r="AS972" t="s">
        <v>74</v>
      </c>
      <c r="AT972" t="s">
        <v>2571</v>
      </c>
      <c r="AU972">
        <v>2007</v>
      </c>
      <c r="AV972">
        <v>53</v>
      </c>
      <c r="AW972">
        <v>2</v>
      </c>
      <c r="AX972" t="s">
        <v>74</v>
      </c>
      <c r="AY972" t="s">
        <v>74</v>
      </c>
      <c r="AZ972" t="s">
        <v>74</v>
      </c>
      <c r="BA972" t="s">
        <v>74</v>
      </c>
      <c r="BB972">
        <v>990</v>
      </c>
      <c r="BC972">
        <v>997</v>
      </c>
      <c r="BD972" t="s">
        <v>74</v>
      </c>
      <c r="BE972" t="s">
        <v>8406</v>
      </c>
      <c r="BF972" t="str">
        <f>HYPERLINK("http://dx.doi.org/10.1016/j.electacta.2007.08.013","http://dx.doi.org/10.1016/j.electacta.2007.08.013")</f>
        <v>http://dx.doi.org/10.1016/j.electacta.2007.08.013</v>
      </c>
      <c r="BG972" t="s">
        <v>74</v>
      </c>
      <c r="BH972" t="s">
        <v>74</v>
      </c>
      <c r="BI972" t="s">
        <v>74</v>
      </c>
      <c r="BJ972" t="s">
        <v>74</v>
      </c>
      <c r="BK972" t="s">
        <v>74</v>
      </c>
      <c r="BL972" t="s">
        <v>74</v>
      </c>
      <c r="BM972" t="s">
        <v>74</v>
      </c>
      <c r="BN972" t="s">
        <v>74</v>
      </c>
      <c r="BO972" t="s">
        <v>74</v>
      </c>
      <c r="BP972" t="s">
        <v>74</v>
      </c>
      <c r="BQ972" t="s">
        <v>74</v>
      </c>
      <c r="BR972" t="s">
        <v>74</v>
      </c>
      <c r="BS972" t="s">
        <v>8407</v>
      </c>
      <c r="BT972" t="str">
        <f>HYPERLINK("https%3A%2F%2Fwww.webofscience.com%2Fwos%2Fwoscc%2Ffull-record%2FWOS:000251480900096","View Full Record in Web of Science")</f>
        <v>View Full Record in Web of Science</v>
      </c>
    </row>
    <row r="973" spans="1:72" x14ac:dyDescent="0.2">
      <c r="A973" t="s">
        <v>72</v>
      </c>
      <c r="B973" t="s">
        <v>8408</v>
      </c>
      <c r="C973" t="s">
        <v>74</v>
      </c>
      <c r="D973" t="s">
        <v>74</v>
      </c>
      <c r="E973" t="s">
        <v>74</v>
      </c>
      <c r="F973" t="s">
        <v>8409</v>
      </c>
      <c r="G973" t="s">
        <v>74</v>
      </c>
      <c r="H973" t="s">
        <v>74</v>
      </c>
      <c r="I973" t="s">
        <v>8410</v>
      </c>
      <c r="J973" t="s">
        <v>98</v>
      </c>
      <c r="K973" t="s">
        <v>74</v>
      </c>
      <c r="L973" t="s">
        <v>74</v>
      </c>
      <c r="M973" t="s">
        <v>74</v>
      </c>
      <c r="N973" t="s">
        <v>74</v>
      </c>
      <c r="O973" t="s">
        <v>74</v>
      </c>
      <c r="P973" t="s">
        <v>74</v>
      </c>
      <c r="Q973" t="s">
        <v>74</v>
      </c>
      <c r="R973" t="s">
        <v>74</v>
      </c>
      <c r="S973" t="s">
        <v>74</v>
      </c>
      <c r="T973" t="s">
        <v>74</v>
      </c>
      <c r="U973" t="s">
        <v>74</v>
      </c>
      <c r="V973" t="s">
        <v>8411</v>
      </c>
      <c r="W973" t="s">
        <v>74</v>
      </c>
      <c r="X973" t="s">
        <v>74</v>
      </c>
      <c r="Y973" t="s">
        <v>74</v>
      </c>
      <c r="Z973" t="s">
        <v>74</v>
      </c>
      <c r="AA973" t="s">
        <v>7782</v>
      </c>
      <c r="AB973" t="s">
        <v>7783</v>
      </c>
      <c r="AC973" t="s">
        <v>74</v>
      </c>
      <c r="AD973" t="s">
        <v>74</v>
      </c>
      <c r="AE973" t="s">
        <v>74</v>
      </c>
      <c r="AF973" t="s">
        <v>74</v>
      </c>
      <c r="AG973" t="s">
        <v>74</v>
      </c>
      <c r="AH973" t="s">
        <v>74</v>
      </c>
      <c r="AI973" t="s">
        <v>74</v>
      </c>
      <c r="AJ973" t="s">
        <v>74</v>
      </c>
      <c r="AK973" t="s">
        <v>74</v>
      </c>
      <c r="AL973" t="s">
        <v>74</v>
      </c>
      <c r="AM973" t="s">
        <v>74</v>
      </c>
      <c r="AN973" t="s">
        <v>74</v>
      </c>
      <c r="AO973" t="s">
        <v>101</v>
      </c>
      <c r="AP973" t="s">
        <v>102</v>
      </c>
      <c r="AQ973" t="s">
        <v>74</v>
      </c>
      <c r="AR973" t="s">
        <v>74</v>
      </c>
      <c r="AS973" t="s">
        <v>74</v>
      </c>
      <c r="AT973" t="s">
        <v>4558</v>
      </c>
      <c r="AU973">
        <v>2007</v>
      </c>
      <c r="AV973">
        <v>171</v>
      </c>
      <c r="AW973">
        <v>2</v>
      </c>
      <c r="AX973" t="s">
        <v>74</v>
      </c>
      <c r="AY973" t="s">
        <v>74</v>
      </c>
      <c r="AZ973" t="s">
        <v>74</v>
      </c>
      <c r="BA973" t="s">
        <v>74</v>
      </c>
      <c r="BB973">
        <v>944</v>
      </c>
      <c r="BC973">
        <v>947</v>
      </c>
      <c r="BD973" t="s">
        <v>74</v>
      </c>
      <c r="BE973" t="s">
        <v>8412</v>
      </c>
      <c r="BF973" t="str">
        <f>HYPERLINK("http://dx.doi.org/10.1016/j.jpowsour.2007.05.100","http://dx.doi.org/10.1016/j.jpowsour.2007.05.100")</f>
        <v>http://dx.doi.org/10.1016/j.jpowsour.2007.05.100</v>
      </c>
      <c r="BG973" t="s">
        <v>74</v>
      </c>
      <c r="BH973" t="s">
        <v>74</v>
      </c>
      <c r="BI973" t="s">
        <v>74</v>
      </c>
      <c r="BJ973" t="s">
        <v>74</v>
      </c>
      <c r="BK973" t="s">
        <v>74</v>
      </c>
      <c r="BL973" t="s">
        <v>74</v>
      </c>
      <c r="BM973" t="s">
        <v>74</v>
      </c>
      <c r="BN973" t="s">
        <v>74</v>
      </c>
      <c r="BO973" t="s">
        <v>74</v>
      </c>
      <c r="BP973" t="s">
        <v>74</v>
      </c>
      <c r="BQ973" t="s">
        <v>74</v>
      </c>
      <c r="BR973" t="s">
        <v>74</v>
      </c>
      <c r="BS973" t="s">
        <v>8413</v>
      </c>
      <c r="BT973" t="str">
        <f>HYPERLINK("https%3A%2F%2Fwww.webofscience.com%2Fwos%2Fwoscc%2Ffull-record%2FWOS:000250066900090","View Full Record in Web of Science")</f>
        <v>View Full Record in Web of Science</v>
      </c>
    </row>
    <row r="974" spans="1:72" x14ac:dyDescent="0.2">
      <c r="A974" t="s">
        <v>72</v>
      </c>
      <c r="B974" t="s">
        <v>8330</v>
      </c>
      <c r="C974" t="s">
        <v>74</v>
      </c>
      <c r="D974" t="s">
        <v>74</v>
      </c>
      <c r="E974" t="s">
        <v>74</v>
      </c>
      <c r="F974" t="s">
        <v>8331</v>
      </c>
      <c r="G974" t="s">
        <v>74</v>
      </c>
      <c r="H974" t="s">
        <v>74</v>
      </c>
      <c r="I974" t="s">
        <v>8414</v>
      </c>
      <c r="J974" t="s">
        <v>1051</v>
      </c>
      <c r="K974" t="s">
        <v>74</v>
      </c>
      <c r="L974" t="s">
        <v>74</v>
      </c>
      <c r="M974" t="s">
        <v>74</v>
      </c>
      <c r="N974" t="s">
        <v>74</v>
      </c>
      <c r="O974" t="s">
        <v>74</v>
      </c>
      <c r="P974" t="s">
        <v>74</v>
      </c>
      <c r="Q974" t="s">
        <v>74</v>
      </c>
      <c r="R974" t="s">
        <v>74</v>
      </c>
      <c r="S974" t="s">
        <v>74</v>
      </c>
      <c r="T974" t="s">
        <v>74</v>
      </c>
      <c r="U974" t="s">
        <v>74</v>
      </c>
      <c r="V974" t="s">
        <v>8415</v>
      </c>
      <c r="W974" t="s">
        <v>74</v>
      </c>
      <c r="X974" t="s">
        <v>74</v>
      </c>
      <c r="Y974" t="s">
        <v>74</v>
      </c>
      <c r="Z974" t="s">
        <v>74</v>
      </c>
      <c r="AA974" t="s">
        <v>8175</v>
      </c>
      <c r="AB974" t="s">
        <v>8176</v>
      </c>
      <c r="AC974" t="s">
        <v>74</v>
      </c>
      <c r="AD974" t="s">
        <v>74</v>
      </c>
      <c r="AE974" t="s">
        <v>74</v>
      </c>
      <c r="AF974" t="s">
        <v>74</v>
      </c>
      <c r="AG974" t="s">
        <v>74</v>
      </c>
      <c r="AH974" t="s">
        <v>74</v>
      </c>
      <c r="AI974" t="s">
        <v>74</v>
      </c>
      <c r="AJ974" t="s">
        <v>74</v>
      </c>
      <c r="AK974" t="s">
        <v>74</v>
      </c>
      <c r="AL974" t="s">
        <v>74</v>
      </c>
      <c r="AM974" t="s">
        <v>74</v>
      </c>
      <c r="AN974" t="s">
        <v>74</v>
      </c>
      <c r="AO974" t="s">
        <v>1054</v>
      </c>
      <c r="AP974" t="s">
        <v>74</v>
      </c>
      <c r="AQ974" t="s">
        <v>74</v>
      </c>
      <c r="AR974" t="s">
        <v>74</v>
      </c>
      <c r="AS974" t="s">
        <v>74</v>
      </c>
      <c r="AT974" t="s">
        <v>670</v>
      </c>
      <c r="AU974">
        <v>2007</v>
      </c>
      <c r="AV974">
        <v>9</v>
      </c>
      <c r="AW974">
        <v>4</v>
      </c>
      <c r="AX974" t="s">
        <v>74</v>
      </c>
      <c r="AY974" t="s">
        <v>74</v>
      </c>
      <c r="AZ974" t="s">
        <v>74</v>
      </c>
      <c r="BA974" t="s">
        <v>74</v>
      </c>
      <c r="BB974">
        <v>703</v>
      </c>
      <c r="BC974">
        <v>707</v>
      </c>
      <c r="BD974" t="s">
        <v>74</v>
      </c>
      <c r="BE974" t="s">
        <v>8416</v>
      </c>
      <c r="BF974" t="str">
        <f>HYPERLINK("http://dx.doi.org/10.1016/j.elecom.2006.11.002","http://dx.doi.org/10.1016/j.elecom.2006.11.002")</f>
        <v>http://dx.doi.org/10.1016/j.elecom.2006.11.002</v>
      </c>
      <c r="BG974" t="s">
        <v>74</v>
      </c>
      <c r="BH974" t="s">
        <v>74</v>
      </c>
      <c r="BI974" t="s">
        <v>74</v>
      </c>
      <c r="BJ974" t="s">
        <v>74</v>
      </c>
      <c r="BK974" t="s">
        <v>74</v>
      </c>
      <c r="BL974" t="s">
        <v>74</v>
      </c>
      <c r="BM974" t="s">
        <v>74</v>
      </c>
      <c r="BN974" t="s">
        <v>74</v>
      </c>
      <c r="BO974" t="s">
        <v>74</v>
      </c>
      <c r="BP974" t="s">
        <v>74</v>
      </c>
      <c r="BQ974" t="s">
        <v>74</v>
      </c>
      <c r="BR974" t="s">
        <v>74</v>
      </c>
      <c r="BS974" t="s">
        <v>8417</v>
      </c>
      <c r="BT974" t="str">
        <f>HYPERLINK("https%3A%2F%2Fwww.webofscience.com%2Fwos%2Fwoscc%2Ffull-record%2FWOS:000246053700033","View Full Record in Web of Science")</f>
        <v>View Full Record in Web of Science</v>
      </c>
    </row>
    <row r="975" spans="1:72" x14ac:dyDescent="0.2">
      <c r="A975" t="s">
        <v>72</v>
      </c>
      <c r="B975" t="s">
        <v>8418</v>
      </c>
      <c r="C975" t="s">
        <v>74</v>
      </c>
      <c r="D975" t="s">
        <v>74</v>
      </c>
      <c r="E975" t="s">
        <v>74</v>
      </c>
      <c r="F975" t="s">
        <v>8419</v>
      </c>
      <c r="G975" t="s">
        <v>74</v>
      </c>
      <c r="H975" t="s">
        <v>74</v>
      </c>
      <c r="I975" t="s">
        <v>8420</v>
      </c>
      <c r="J975" t="s">
        <v>98</v>
      </c>
      <c r="K975" t="s">
        <v>74</v>
      </c>
      <c r="L975" t="s">
        <v>74</v>
      </c>
      <c r="M975" t="s">
        <v>74</v>
      </c>
      <c r="N975" t="s">
        <v>74</v>
      </c>
      <c r="O975" t="s">
        <v>8421</v>
      </c>
      <c r="P975" t="s">
        <v>8422</v>
      </c>
      <c r="Q975" t="s">
        <v>8423</v>
      </c>
      <c r="R975" t="s">
        <v>8424</v>
      </c>
      <c r="S975" t="s">
        <v>74</v>
      </c>
      <c r="T975" t="s">
        <v>74</v>
      </c>
      <c r="U975" t="s">
        <v>74</v>
      </c>
      <c r="V975" t="s">
        <v>8425</v>
      </c>
      <c r="W975" t="s">
        <v>74</v>
      </c>
      <c r="X975" t="s">
        <v>74</v>
      </c>
      <c r="Y975" t="s">
        <v>74</v>
      </c>
      <c r="Z975" t="s">
        <v>74</v>
      </c>
      <c r="AA975" t="s">
        <v>74</v>
      </c>
      <c r="AB975" t="s">
        <v>74</v>
      </c>
      <c r="AC975" t="s">
        <v>74</v>
      </c>
      <c r="AD975" t="s">
        <v>74</v>
      </c>
      <c r="AE975" t="s">
        <v>74</v>
      </c>
      <c r="AF975" t="s">
        <v>74</v>
      </c>
      <c r="AG975" t="s">
        <v>74</v>
      </c>
      <c r="AH975" t="s">
        <v>74</v>
      </c>
      <c r="AI975" t="s">
        <v>74</v>
      </c>
      <c r="AJ975" t="s">
        <v>74</v>
      </c>
      <c r="AK975" t="s">
        <v>74</v>
      </c>
      <c r="AL975" t="s">
        <v>74</v>
      </c>
      <c r="AM975" t="s">
        <v>74</v>
      </c>
      <c r="AN975" t="s">
        <v>74</v>
      </c>
      <c r="AO975" t="s">
        <v>101</v>
      </c>
      <c r="AP975" t="s">
        <v>102</v>
      </c>
      <c r="AQ975" t="s">
        <v>74</v>
      </c>
      <c r="AR975" t="s">
        <v>74</v>
      </c>
      <c r="AS975" t="s">
        <v>74</v>
      </c>
      <c r="AT975" t="s">
        <v>839</v>
      </c>
      <c r="AU975">
        <v>2007</v>
      </c>
      <c r="AV975">
        <v>165</v>
      </c>
      <c r="AW975">
        <v>2</v>
      </c>
      <c r="AX975" t="s">
        <v>74</v>
      </c>
      <c r="AY975" t="s">
        <v>74</v>
      </c>
      <c r="AZ975" t="s">
        <v>74</v>
      </c>
      <c r="BA975" t="s">
        <v>74</v>
      </c>
      <c r="BB975">
        <v>630</v>
      </c>
      <c r="BC975">
        <v>634</v>
      </c>
      <c r="BD975" t="s">
        <v>74</v>
      </c>
      <c r="BE975" t="s">
        <v>8426</v>
      </c>
      <c r="BF975" t="str">
        <f>HYPERLINK("http://dx.doi.org/10.1016/j.jpowsour.2006.10.037","http://dx.doi.org/10.1016/j.jpowsour.2006.10.037")</f>
        <v>http://dx.doi.org/10.1016/j.jpowsour.2006.10.037</v>
      </c>
      <c r="BG975" t="s">
        <v>74</v>
      </c>
      <c r="BH975" t="s">
        <v>74</v>
      </c>
      <c r="BI975" t="s">
        <v>74</v>
      </c>
      <c r="BJ975" t="s">
        <v>74</v>
      </c>
      <c r="BK975" t="s">
        <v>74</v>
      </c>
      <c r="BL975" t="s">
        <v>74</v>
      </c>
      <c r="BM975" t="s">
        <v>74</v>
      </c>
      <c r="BN975" t="s">
        <v>74</v>
      </c>
      <c r="BO975" t="s">
        <v>74</v>
      </c>
      <c r="BP975" t="s">
        <v>74</v>
      </c>
      <c r="BQ975" t="s">
        <v>74</v>
      </c>
      <c r="BR975" t="s">
        <v>74</v>
      </c>
      <c r="BS975" t="s">
        <v>8427</v>
      </c>
      <c r="BT975" t="str">
        <f>HYPERLINK("https%3A%2F%2Fwww.webofscience.com%2Fwos%2Fwoscc%2Ffull-record%2FWOS:000245369100019","View Full Record in Web of Science")</f>
        <v>View Full Record in Web of Science</v>
      </c>
    </row>
    <row r="976" spans="1:72" x14ac:dyDescent="0.2">
      <c r="A976" t="s">
        <v>72</v>
      </c>
      <c r="B976" t="s">
        <v>8428</v>
      </c>
      <c r="C976" t="s">
        <v>74</v>
      </c>
      <c r="D976" t="s">
        <v>74</v>
      </c>
      <c r="E976" t="s">
        <v>74</v>
      </c>
      <c r="F976" t="s">
        <v>8429</v>
      </c>
      <c r="G976" t="s">
        <v>74</v>
      </c>
      <c r="H976" t="s">
        <v>74</v>
      </c>
      <c r="I976" t="s">
        <v>8430</v>
      </c>
      <c r="J976" t="s">
        <v>665</v>
      </c>
      <c r="K976" t="s">
        <v>74</v>
      </c>
      <c r="L976" t="s">
        <v>74</v>
      </c>
      <c r="M976" t="s">
        <v>74</v>
      </c>
      <c r="N976" t="s">
        <v>74</v>
      </c>
      <c r="O976" t="s">
        <v>74</v>
      </c>
      <c r="P976" t="s">
        <v>74</v>
      </c>
      <c r="Q976" t="s">
        <v>74</v>
      </c>
      <c r="R976" t="s">
        <v>74</v>
      </c>
      <c r="S976" t="s">
        <v>74</v>
      </c>
      <c r="T976" t="s">
        <v>74</v>
      </c>
      <c r="U976" t="s">
        <v>74</v>
      </c>
      <c r="V976" t="s">
        <v>8431</v>
      </c>
      <c r="W976" t="s">
        <v>74</v>
      </c>
      <c r="X976" t="s">
        <v>74</v>
      </c>
      <c r="Y976" t="s">
        <v>74</v>
      </c>
      <c r="Z976" t="s">
        <v>74</v>
      </c>
      <c r="AA976" t="s">
        <v>74</v>
      </c>
      <c r="AB976" t="s">
        <v>74</v>
      </c>
      <c r="AC976" t="s">
        <v>74</v>
      </c>
      <c r="AD976" t="s">
        <v>74</v>
      </c>
      <c r="AE976" t="s">
        <v>74</v>
      </c>
      <c r="AF976" t="s">
        <v>74</v>
      </c>
      <c r="AG976" t="s">
        <v>74</v>
      </c>
      <c r="AH976" t="s">
        <v>74</v>
      </c>
      <c r="AI976" t="s">
        <v>74</v>
      </c>
      <c r="AJ976" t="s">
        <v>74</v>
      </c>
      <c r="AK976" t="s">
        <v>74</v>
      </c>
      <c r="AL976" t="s">
        <v>74</v>
      </c>
      <c r="AM976" t="s">
        <v>74</v>
      </c>
      <c r="AN976" t="s">
        <v>74</v>
      </c>
      <c r="AO976" t="s">
        <v>668</v>
      </c>
      <c r="AP976" t="s">
        <v>74</v>
      </c>
      <c r="AQ976" t="s">
        <v>74</v>
      </c>
      <c r="AR976" t="s">
        <v>74</v>
      </c>
      <c r="AS976" t="s">
        <v>74</v>
      </c>
      <c r="AT976" t="s">
        <v>954</v>
      </c>
      <c r="AU976">
        <v>2007</v>
      </c>
      <c r="AV976">
        <v>178</v>
      </c>
      <c r="AW976" t="s">
        <v>8432</v>
      </c>
      <c r="AX976" t="s">
        <v>74</v>
      </c>
      <c r="AY976" t="s">
        <v>74</v>
      </c>
      <c r="AZ976" t="s">
        <v>74</v>
      </c>
      <c r="BA976" t="s">
        <v>74</v>
      </c>
      <c r="BB976">
        <v>375</v>
      </c>
      <c r="BC976">
        <v>379</v>
      </c>
      <c r="BD976" t="s">
        <v>74</v>
      </c>
      <c r="BE976" t="s">
        <v>8433</v>
      </c>
      <c r="BF976" t="str">
        <f>HYPERLINK("http://dx.doi.org/10.1016/j.ssi.2007.01.011","http://dx.doi.org/10.1016/j.ssi.2007.01.011")</f>
        <v>http://dx.doi.org/10.1016/j.ssi.2007.01.011</v>
      </c>
      <c r="BG976" t="s">
        <v>74</v>
      </c>
      <c r="BH976" t="s">
        <v>74</v>
      </c>
      <c r="BI976" t="s">
        <v>74</v>
      </c>
      <c r="BJ976" t="s">
        <v>74</v>
      </c>
      <c r="BK976" t="s">
        <v>74</v>
      </c>
      <c r="BL976" t="s">
        <v>74</v>
      </c>
      <c r="BM976" t="s">
        <v>74</v>
      </c>
      <c r="BN976" t="s">
        <v>74</v>
      </c>
      <c r="BO976" t="s">
        <v>74</v>
      </c>
      <c r="BP976" t="s">
        <v>74</v>
      </c>
      <c r="BQ976" t="s">
        <v>74</v>
      </c>
      <c r="BR976" t="s">
        <v>74</v>
      </c>
      <c r="BS976" t="s">
        <v>8434</v>
      </c>
      <c r="BT976" t="str">
        <f>HYPERLINK("https%3A%2F%2Fwww.webofscience.com%2Fwos%2Fwoscc%2Ffull-record%2FWOS:000245846600009","View Full Record in Web of Science")</f>
        <v>View Full Record in Web of Science</v>
      </c>
    </row>
    <row r="977" spans="1:72" x14ac:dyDescent="0.2">
      <c r="A977" t="s">
        <v>72</v>
      </c>
      <c r="B977" t="s">
        <v>8435</v>
      </c>
      <c r="C977" t="s">
        <v>74</v>
      </c>
      <c r="D977" t="s">
        <v>74</v>
      </c>
      <c r="E977" t="s">
        <v>74</v>
      </c>
      <c r="F977" t="s">
        <v>8436</v>
      </c>
      <c r="G977" t="s">
        <v>74</v>
      </c>
      <c r="H977" t="s">
        <v>74</v>
      </c>
      <c r="I977" t="s">
        <v>8437</v>
      </c>
      <c r="J977" t="s">
        <v>8438</v>
      </c>
      <c r="K977" t="s">
        <v>74</v>
      </c>
      <c r="L977" t="s">
        <v>74</v>
      </c>
      <c r="M977" t="s">
        <v>74</v>
      </c>
      <c r="N977" t="s">
        <v>74</v>
      </c>
      <c r="O977" t="s">
        <v>74</v>
      </c>
      <c r="P977" t="s">
        <v>74</v>
      </c>
      <c r="Q977" t="s">
        <v>74</v>
      </c>
      <c r="R977" t="s">
        <v>74</v>
      </c>
      <c r="S977" t="s">
        <v>74</v>
      </c>
      <c r="T977" t="s">
        <v>74</v>
      </c>
      <c r="U977" t="s">
        <v>74</v>
      </c>
      <c r="V977" t="s">
        <v>8439</v>
      </c>
      <c r="W977" t="s">
        <v>74</v>
      </c>
      <c r="X977" t="s">
        <v>74</v>
      </c>
      <c r="Y977" t="s">
        <v>74</v>
      </c>
      <c r="Z977" t="s">
        <v>74</v>
      </c>
      <c r="AA977" t="s">
        <v>8440</v>
      </c>
      <c r="AB977" t="s">
        <v>8441</v>
      </c>
      <c r="AC977" t="s">
        <v>74</v>
      </c>
      <c r="AD977" t="s">
        <v>74</v>
      </c>
      <c r="AE977" t="s">
        <v>74</v>
      </c>
      <c r="AF977" t="s">
        <v>74</v>
      </c>
      <c r="AG977" t="s">
        <v>74</v>
      </c>
      <c r="AH977" t="s">
        <v>74</v>
      </c>
      <c r="AI977" t="s">
        <v>74</v>
      </c>
      <c r="AJ977" t="s">
        <v>74</v>
      </c>
      <c r="AK977" t="s">
        <v>74</v>
      </c>
      <c r="AL977" t="s">
        <v>74</v>
      </c>
      <c r="AM977" t="s">
        <v>74</v>
      </c>
      <c r="AN977" t="s">
        <v>74</v>
      </c>
      <c r="AO977" t="s">
        <v>8442</v>
      </c>
      <c r="AP977" t="s">
        <v>8443</v>
      </c>
      <c r="AQ977" t="s">
        <v>74</v>
      </c>
      <c r="AR977" t="s">
        <v>74</v>
      </c>
      <c r="AS977" t="s">
        <v>74</v>
      </c>
      <c r="AT977" t="s">
        <v>1026</v>
      </c>
      <c r="AU977">
        <v>2007</v>
      </c>
      <c r="AV977">
        <v>48</v>
      </c>
      <c r="AW977">
        <v>1</v>
      </c>
      <c r="AX977" t="s">
        <v>74</v>
      </c>
      <c r="AY977" t="s">
        <v>74</v>
      </c>
      <c r="AZ977" t="s">
        <v>74</v>
      </c>
      <c r="BA977" t="s">
        <v>74</v>
      </c>
      <c r="BB977">
        <v>6</v>
      </c>
      <c r="BC977">
        <v>12</v>
      </c>
      <c r="BD977" t="s">
        <v>74</v>
      </c>
      <c r="BE977" t="s">
        <v>74</v>
      </c>
      <c r="BF977" t="s">
        <v>74</v>
      </c>
      <c r="BG977" t="s">
        <v>74</v>
      </c>
      <c r="BH977" t="s">
        <v>74</v>
      </c>
      <c r="BI977" t="s">
        <v>74</v>
      </c>
      <c r="BJ977" t="s">
        <v>74</v>
      </c>
      <c r="BK977" t="s">
        <v>74</v>
      </c>
      <c r="BL977" t="s">
        <v>74</v>
      </c>
      <c r="BM977" t="s">
        <v>74</v>
      </c>
      <c r="BN977" t="s">
        <v>74</v>
      </c>
      <c r="BO977" t="s">
        <v>74</v>
      </c>
      <c r="BP977" t="s">
        <v>74</v>
      </c>
      <c r="BQ977" t="s">
        <v>74</v>
      </c>
      <c r="BR977" t="s">
        <v>74</v>
      </c>
      <c r="BS977" t="s">
        <v>8444</v>
      </c>
      <c r="BT977" t="str">
        <f>HYPERLINK("https%3A%2F%2Fwww.webofscience.com%2Fwos%2Fwoscc%2Ffull-record%2FWOS:000246295600002","View Full Record in Web of Science")</f>
        <v>View Full Record in Web of Science</v>
      </c>
    </row>
    <row r="978" spans="1:72" x14ac:dyDescent="0.2">
      <c r="A978" t="s">
        <v>72</v>
      </c>
      <c r="B978" t="s">
        <v>8445</v>
      </c>
      <c r="C978" t="s">
        <v>74</v>
      </c>
      <c r="D978" t="s">
        <v>74</v>
      </c>
      <c r="E978" t="s">
        <v>74</v>
      </c>
      <c r="F978" t="s">
        <v>8446</v>
      </c>
      <c r="G978" t="s">
        <v>74</v>
      </c>
      <c r="H978" t="s">
        <v>74</v>
      </c>
      <c r="I978" t="s">
        <v>8447</v>
      </c>
      <c r="J978" t="s">
        <v>665</v>
      </c>
      <c r="K978" t="s">
        <v>74</v>
      </c>
      <c r="L978" t="s">
        <v>74</v>
      </c>
      <c r="M978" t="s">
        <v>74</v>
      </c>
      <c r="N978" t="s">
        <v>74</v>
      </c>
      <c r="O978" t="s">
        <v>74</v>
      </c>
      <c r="P978" t="s">
        <v>74</v>
      </c>
      <c r="Q978" t="s">
        <v>74</v>
      </c>
      <c r="R978" t="s">
        <v>74</v>
      </c>
      <c r="S978" t="s">
        <v>74</v>
      </c>
      <c r="T978" t="s">
        <v>74</v>
      </c>
      <c r="U978" t="s">
        <v>74</v>
      </c>
      <c r="V978" t="s">
        <v>8448</v>
      </c>
      <c r="W978" t="s">
        <v>74</v>
      </c>
      <c r="X978" t="s">
        <v>74</v>
      </c>
      <c r="Y978" t="s">
        <v>74</v>
      </c>
      <c r="Z978" t="s">
        <v>74</v>
      </c>
      <c r="AA978" t="s">
        <v>74</v>
      </c>
      <c r="AB978" t="s">
        <v>74</v>
      </c>
      <c r="AC978" t="s">
        <v>74</v>
      </c>
      <c r="AD978" t="s">
        <v>74</v>
      </c>
      <c r="AE978" t="s">
        <v>74</v>
      </c>
      <c r="AF978" t="s">
        <v>74</v>
      </c>
      <c r="AG978" t="s">
        <v>74</v>
      </c>
      <c r="AH978" t="s">
        <v>74</v>
      </c>
      <c r="AI978" t="s">
        <v>74</v>
      </c>
      <c r="AJ978" t="s">
        <v>74</v>
      </c>
      <c r="AK978" t="s">
        <v>74</v>
      </c>
      <c r="AL978" t="s">
        <v>74</v>
      </c>
      <c r="AM978" t="s">
        <v>74</v>
      </c>
      <c r="AN978" t="s">
        <v>74</v>
      </c>
      <c r="AO978" t="s">
        <v>668</v>
      </c>
      <c r="AP978" t="s">
        <v>74</v>
      </c>
      <c r="AQ978" t="s">
        <v>74</v>
      </c>
      <c r="AR978" t="s">
        <v>74</v>
      </c>
      <c r="AS978" t="s">
        <v>74</v>
      </c>
      <c r="AT978" t="s">
        <v>2359</v>
      </c>
      <c r="AU978">
        <v>2007</v>
      </c>
      <c r="AV978">
        <v>178</v>
      </c>
      <c r="AW978" t="s">
        <v>8449</v>
      </c>
      <c r="AX978" t="s">
        <v>74</v>
      </c>
      <c r="AY978" t="s">
        <v>74</v>
      </c>
      <c r="AZ978" t="s">
        <v>74</v>
      </c>
      <c r="BA978" t="s">
        <v>74</v>
      </c>
      <c r="BB978">
        <v>119</v>
      </c>
      <c r="BC978">
        <v>123</v>
      </c>
      <c r="BD978" t="s">
        <v>74</v>
      </c>
      <c r="BE978" t="s">
        <v>8450</v>
      </c>
      <c r="BF978" t="str">
        <f>HYPERLINK("http://dx.doi.org/10.1016/j.ssi.2006.11.005","http://dx.doi.org/10.1016/j.ssi.2006.11.005")</f>
        <v>http://dx.doi.org/10.1016/j.ssi.2006.11.005</v>
      </c>
      <c r="BG978" t="s">
        <v>74</v>
      </c>
      <c r="BH978" t="s">
        <v>74</v>
      </c>
      <c r="BI978" t="s">
        <v>74</v>
      </c>
      <c r="BJ978" t="s">
        <v>74</v>
      </c>
      <c r="BK978" t="s">
        <v>74</v>
      </c>
      <c r="BL978" t="s">
        <v>74</v>
      </c>
      <c r="BM978" t="s">
        <v>74</v>
      </c>
      <c r="BN978" t="s">
        <v>74</v>
      </c>
      <c r="BO978" t="s">
        <v>74</v>
      </c>
      <c r="BP978" t="s">
        <v>74</v>
      </c>
      <c r="BQ978" t="s">
        <v>74</v>
      </c>
      <c r="BR978" t="s">
        <v>74</v>
      </c>
      <c r="BS978" t="s">
        <v>8451</v>
      </c>
      <c r="BT978" t="str">
        <f>HYPERLINK("https%3A%2F%2Fwww.webofscience.com%2Fwos%2Fwoscc%2Ffull-record%2FWOS:000244410000015","View Full Record in Web of Science")</f>
        <v>View Full Record in Web of Science</v>
      </c>
    </row>
    <row r="979" spans="1:72" x14ac:dyDescent="0.2">
      <c r="A979" t="s">
        <v>72</v>
      </c>
      <c r="B979" t="s">
        <v>8452</v>
      </c>
      <c r="C979" t="s">
        <v>74</v>
      </c>
      <c r="D979" t="s">
        <v>74</v>
      </c>
      <c r="E979" t="s">
        <v>74</v>
      </c>
      <c r="F979" t="s">
        <v>8453</v>
      </c>
      <c r="G979" t="s">
        <v>74</v>
      </c>
      <c r="H979" t="s">
        <v>74</v>
      </c>
      <c r="I979" t="s">
        <v>8454</v>
      </c>
      <c r="J979" t="s">
        <v>8118</v>
      </c>
      <c r="K979" t="s">
        <v>74</v>
      </c>
      <c r="L979" t="s">
        <v>74</v>
      </c>
      <c r="M979" t="s">
        <v>74</v>
      </c>
      <c r="N979" t="s">
        <v>74</v>
      </c>
      <c r="O979" t="s">
        <v>74</v>
      </c>
      <c r="P979" t="s">
        <v>74</v>
      </c>
      <c r="Q979" t="s">
        <v>74</v>
      </c>
      <c r="R979" t="s">
        <v>74</v>
      </c>
      <c r="S979" t="s">
        <v>74</v>
      </c>
      <c r="T979" t="s">
        <v>74</v>
      </c>
      <c r="U979" t="s">
        <v>74</v>
      </c>
      <c r="V979" t="s">
        <v>8455</v>
      </c>
      <c r="W979" t="s">
        <v>74</v>
      </c>
      <c r="X979" t="s">
        <v>74</v>
      </c>
      <c r="Y979" t="s">
        <v>74</v>
      </c>
      <c r="Z979" t="s">
        <v>74</v>
      </c>
      <c r="AA979" t="s">
        <v>8456</v>
      </c>
      <c r="AB979" t="s">
        <v>8176</v>
      </c>
      <c r="AC979" t="s">
        <v>74</v>
      </c>
      <c r="AD979" t="s">
        <v>74</v>
      </c>
      <c r="AE979" t="s">
        <v>74</v>
      </c>
      <c r="AF979" t="s">
        <v>74</v>
      </c>
      <c r="AG979" t="s">
        <v>74</v>
      </c>
      <c r="AH979" t="s">
        <v>74</v>
      </c>
      <c r="AI979" t="s">
        <v>74</v>
      </c>
      <c r="AJ979" t="s">
        <v>74</v>
      </c>
      <c r="AK979" t="s">
        <v>74</v>
      </c>
      <c r="AL979" t="s">
        <v>74</v>
      </c>
      <c r="AM979" t="s">
        <v>74</v>
      </c>
      <c r="AN979" t="s">
        <v>74</v>
      </c>
      <c r="AO979" t="s">
        <v>8122</v>
      </c>
      <c r="AP979" t="s">
        <v>74</v>
      </c>
      <c r="AQ979" t="s">
        <v>74</v>
      </c>
      <c r="AR979" t="s">
        <v>74</v>
      </c>
      <c r="AS979" t="s">
        <v>74</v>
      </c>
      <c r="AT979" t="s">
        <v>74</v>
      </c>
      <c r="AU979">
        <v>2007</v>
      </c>
      <c r="AV979">
        <v>10</v>
      </c>
      <c r="AW979">
        <v>3</v>
      </c>
      <c r="AX979" t="s">
        <v>74</v>
      </c>
      <c r="AY979" t="s">
        <v>74</v>
      </c>
      <c r="AZ979" t="s">
        <v>74</v>
      </c>
      <c r="BA979" t="s">
        <v>74</v>
      </c>
      <c r="BB979" t="s">
        <v>8457</v>
      </c>
      <c r="BC979" t="s">
        <v>8458</v>
      </c>
      <c r="BD979" t="s">
        <v>74</v>
      </c>
      <c r="BE979" t="s">
        <v>8459</v>
      </c>
      <c r="BF979" t="str">
        <f>HYPERLINK("http://dx.doi.org/10.1149/1.2409743","http://dx.doi.org/10.1149/1.2409743")</f>
        <v>http://dx.doi.org/10.1149/1.2409743</v>
      </c>
      <c r="BG979" t="s">
        <v>74</v>
      </c>
      <c r="BH979" t="s">
        <v>74</v>
      </c>
      <c r="BI979" t="s">
        <v>74</v>
      </c>
      <c r="BJ979" t="s">
        <v>74</v>
      </c>
      <c r="BK979" t="s">
        <v>74</v>
      </c>
      <c r="BL979" t="s">
        <v>74</v>
      </c>
      <c r="BM979" t="s">
        <v>74</v>
      </c>
      <c r="BN979" t="s">
        <v>74</v>
      </c>
      <c r="BO979" t="s">
        <v>74</v>
      </c>
      <c r="BP979" t="s">
        <v>74</v>
      </c>
      <c r="BQ979" t="s">
        <v>74</v>
      </c>
      <c r="BR979" t="s">
        <v>74</v>
      </c>
      <c r="BS979" t="s">
        <v>8460</v>
      </c>
      <c r="BT979" t="str">
        <f>HYPERLINK("https%3A%2F%2Fwww.webofscience.com%2Fwos%2Fwoscc%2Ffull-record%2FWOS:000243583700001","View Full Record in Web of Science")</f>
        <v>View Full Record in Web of Science</v>
      </c>
    </row>
    <row r="980" spans="1:72" x14ac:dyDescent="0.2">
      <c r="A980" t="s">
        <v>72</v>
      </c>
      <c r="B980" t="s">
        <v>8461</v>
      </c>
      <c r="C980" t="s">
        <v>74</v>
      </c>
      <c r="D980" t="s">
        <v>74</v>
      </c>
      <c r="E980" t="s">
        <v>74</v>
      </c>
      <c r="F980" t="s">
        <v>8462</v>
      </c>
      <c r="G980" t="s">
        <v>74</v>
      </c>
      <c r="H980" t="s">
        <v>74</v>
      </c>
      <c r="I980" t="s">
        <v>8463</v>
      </c>
      <c r="J980" t="s">
        <v>8014</v>
      </c>
      <c r="K980" t="s">
        <v>74</v>
      </c>
      <c r="L980" t="s">
        <v>74</v>
      </c>
      <c r="M980" t="s">
        <v>74</v>
      </c>
      <c r="N980" t="s">
        <v>74</v>
      </c>
      <c r="O980" t="s">
        <v>74</v>
      </c>
      <c r="P980" t="s">
        <v>74</v>
      </c>
      <c r="Q980" t="s">
        <v>74</v>
      </c>
      <c r="R980" t="s">
        <v>74</v>
      </c>
      <c r="S980" t="s">
        <v>74</v>
      </c>
      <c r="T980" t="s">
        <v>74</v>
      </c>
      <c r="U980" t="s">
        <v>74</v>
      </c>
      <c r="V980" t="s">
        <v>8464</v>
      </c>
      <c r="W980" t="s">
        <v>74</v>
      </c>
      <c r="X980" t="s">
        <v>74</v>
      </c>
      <c r="Y980" t="s">
        <v>74</v>
      </c>
      <c r="Z980" t="s">
        <v>74</v>
      </c>
      <c r="AA980" t="s">
        <v>7748</v>
      </c>
      <c r="AB980" t="s">
        <v>7749</v>
      </c>
      <c r="AC980" t="s">
        <v>74</v>
      </c>
      <c r="AD980" t="s">
        <v>74</v>
      </c>
      <c r="AE980" t="s">
        <v>74</v>
      </c>
      <c r="AF980" t="s">
        <v>74</v>
      </c>
      <c r="AG980" t="s">
        <v>74</v>
      </c>
      <c r="AH980" t="s">
        <v>74</v>
      </c>
      <c r="AI980" t="s">
        <v>74</v>
      </c>
      <c r="AJ980" t="s">
        <v>74</v>
      </c>
      <c r="AK980" t="s">
        <v>74</v>
      </c>
      <c r="AL980" t="s">
        <v>74</v>
      </c>
      <c r="AM980" t="s">
        <v>74</v>
      </c>
      <c r="AN980" t="s">
        <v>74</v>
      </c>
      <c r="AO980" t="s">
        <v>8018</v>
      </c>
      <c r="AP980" t="s">
        <v>8019</v>
      </c>
      <c r="AQ980" t="s">
        <v>74</v>
      </c>
      <c r="AR980" t="s">
        <v>74</v>
      </c>
      <c r="AS980" t="s">
        <v>74</v>
      </c>
      <c r="AT980" t="s">
        <v>92</v>
      </c>
      <c r="AU980">
        <v>2006</v>
      </c>
      <c r="AV980">
        <v>36</v>
      </c>
      <c r="AW980">
        <v>11</v>
      </c>
      <c r="AX980" t="s">
        <v>74</v>
      </c>
      <c r="AY980" t="s">
        <v>74</v>
      </c>
      <c r="AZ980" t="s">
        <v>74</v>
      </c>
      <c r="BA980" t="s">
        <v>74</v>
      </c>
      <c r="BB980">
        <v>1199</v>
      </c>
      <c r="BC980">
        <v>1206</v>
      </c>
      <c r="BD980" t="s">
        <v>74</v>
      </c>
      <c r="BE980" t="s">
        <v>8465</v>
      </c>
      <c r="BF980" t="str">
        <f>HYPERLINK("http://dx.doi.org/10.1007/s10800-006-9175-2","http://dx.doi.org/10.1007/s10800-006-9175-2")</f>
        <v>http://dx.doi.org/10.1007/s10800-006-9175-2</v>
      </c>
      <c r="BG980" t="s">
        <v>74</v>
      </c>
      <c r="BH980" t="s">
        <v>74</v>
      </c>
      <c r="BI980" t="s">
        <v>74</v>
      </c>
      <c r="BJ980" t="s">
        <v>74</v>
      </c>
      <c r="BK980" t="s">
        <v>74</v>
      </c>
      <c r="BL980" t="s">
        <v>74</v>
      </c>
      <c r="BM980" t="s">
        <v>74</v>
      </c>
      <c r="BN980" t="s">
        <v>74</v>
      </c>
      <c r="BO980" t="s">
        <v>74</v>
      </c>
      <c r="BP980" t="s">
        <v>74</v>
      </c>
      <c r="BQ980" t="s">
        <v>74</v>
      </c>
      <c r="BR980" t="s">
        <v>74</v>
      </c>
      <c r="BS980" t="s">
        <v>8466</v>
      </c>
      <c r="BT980" t="str">
        <f>HYPERLINK("https%3A%2F%2Fwww.webofscience.com%2Fwos%2Fwoscc%2Ffull-record%2FWOS:000240854100004","View Full Record in Web of Science")</f>
        <v>View Full Record in Web of Science</v>
      </c>
    </row>
    <row r="981" spans="1:72" x14ac:dyDescent="0.2">
      <c r="A981" t="s">
        <v>72</v>
      </c>
      <c r="B981" t="s">
        <v>8467</v>
      </c>
      <c r="C981" t="s">
        <v>74</v>
      </c>
      <c r="D981" t="s">
        <v>74</v>
      </c>
      <c r="E981" t="s">
        <v>74</v>
      </c>
      <c r="F981" t="s">
        <v>8468</v>
      </c>
      <c r="G981" t="s">
        <v>74</v>
      </c>
      <c r="H981" t="s">
        <v>74</v>
      </c>
      <c r="I981" t="s">
        <v>8469</v>
      </c>
      <c r="J981" t="s">
        <v>665</v>
      </c>
      <c r="K981" t="s">
        <v>74</v>
      </c>
      <c r="L981" t="s">
        <v>74</v>
      </c>
      <c r="M981" t="s">
        <v>74</v>
      </c>
      <c r="N981" t="s">
        <v>74</v>
      </c>
      <c r="O981" t="s">
        <v>8470</v>
      </c>
      <c r="P981">
        <v>2005</v>
      </c>
      <c r="Q981" t="s">
        <v>8471</v>
      </c>
      <c r="R981" t="s">
        <v>74</v>
      </c>
      <c r="S981" t="s">
        <v>74</v>
      </c>
      <c r="T981" t="s">
        <v>74</v>
      </c>
      <c r="U981" t="s">
        <v>74</v>
      </c>
      <c r="V981" t="s">
        <v>8472</v>
      </c>
      <c r="W981" t="s">
        <v>74</v>
      </c>
      <c r="X981" t="s">
        <v>74</v>
      </c>
      <c r="Y981" t="s">
        <v>74</v>
      </c>
      <c r="Z981" t="s">
        <v>74</v>
      </c>
      <c r="AA981" t="s">
        <v>8473</v>
      </c>
      <c r="AB981" t="s">
        <v>8474</v>
      </c>
      <c r="AC981" t="s">
        <v>74</v>
      </c>
      <c r="AD981" t="s">
        <v>74</v>
      </c>
      <c r="AE981" t="s">
        <v>74</v>
      </c>
      <c r="AF981" t="s">
        <v>74</v>
      </c>
      <c r="AG981" t="s">
        <v>74</v>
      </c>
      <c r="AH981" t="s">
        <v>74</v>
      </c>
      <c r="AI981" t="s">
        <v>74</v>
      </c>
      <c r="AJ981" t="s">
        <v>74</v>
      </c>
      <c r="AK981" t="s">
        <v>74</v>
      </c>
      <c r="AL981" t="s">
        <v>74</v>
      </c>
      <c r="AM981" t="s">
        <v>74</v>
      </c>
      <c r="AN981" t="s">
        <v>74</v>
      </c>
      <c r="AO981" t="s">
        <v>668</v>
      </c>
      <c r="AP981" t="s">
        <v>74</v>
      </c>
      <c r="AQ981" t="s">
        <v>74</v>
      </c>
      <c r="AR981" t="s">
        <v>74</v>
      </c>
      <c r="AS981" t="s">
        <v>74</v>
      </c>
      <c r="AT981" t="s">
        <v>5785</v>
      </c>
      <c r="AU981">
        <v>2006</v>
      </c>
      <c r="AV981">
        <v>177</v>
      </c>
      <c r="AW981" t="s">
        <v>8475</v>
      </c>
      <c r="AX981" t="s">
        <v>74</v>
      </c>
      <c r="AY981" t="s">
        <v>74</v>
      </c>
      <c r="AZ981" t="s">
        <v>74</v>
      </c>
      <c r="BA981" t="s">
        <v>74</v>
      </c>
      <c r="BB981">
        <v>2601</v>
      </c>
      <c r="BC981">
        <v>2603</v>
      </c>
      <c r="BD981" t="s">
        <v>74</v>
      </c>
      <c r="BE981" t="s">
        <v>8476</v>
      </c>
      <c r="BF981" t="str">
        <f>HYPERLINK("http://dx.doi.org/10.1016/j.ssi.2006.01.005","http://dx.doi.org/10.1016/j.ssi.2006.01.005")</f>
        <v>http://dx.doi.org/10.1016/j.ssi.2006.01.005</v>
      </c>
      <c r="BG981" t="s">
        <v>74</v>
      </c>
      <c r="BH981" t="s">
        <v>74</v>
      </c>
      <c r="BI981" t="s">
        <v>74</v>
      </c>
      <c r="BJ981" t="s">
        <v>74</v>
      </c>
      <c r="BK981" t="s">
        <v>74</v>
      </c>
      <c r="BL981" t="s">
        <v>74</v>
      </c>
      <c r="BM981" t="s">
        <v>74</v>
      </c>
      <c r="BN981" t="s">
        <v>74</v>
      </c>
      <c r="BO981" t="s">
        <v>74</v>
      </c>
      <c r="BP981" t="s">
        <v>74</v>
      </c>
      <c r="BQ981" t="s">
        <v>74</v>
      </c>
      <c r="BR981" t="s">
        <v>74</v>
      </c>
      <c r="BS981" t="s">
        <v>8477</v>
      </c>
      <c r="BT981" t="str">
        <f>HYPERLINK("https%3A%2F%2Fwww.webofscience.com%2Fwos%2Fwoscc%2Ffull-record%2FWOS:000242611800076","View Full Record in Web of Science")</f>
        <v>View Full Record in Web of Science</v>
      </c>
    </row>
    <row r="982" spans="1:72" x14ac:dyDescent="0.2">
      <c r="A982" t="s">
        <v>72</v>
      </c>
      <c r="B982" t="s">
        <v>8478</v>
      </c>
      <c r="C982" t="s">
        <v>74</v>
      </c>
      <c r="D982" t="s">
        <v>74</v>
      </c>
      <c r="E982" t="s">
        <v>74</v>
      </c>
      <c r="F982" t="s">
        <v>8479</v>
      </c>
      <c r="G982" t="s">
        <v>74</v>
      </c>
      <c r="H982" t="s">
        <v>74</v>
      </c>
      <c r="I982" t="s">
        <v>8480</v>
      </c>
      <c r="J982" t="s">
        <v>3822</v>
      </c>
      <c r="K982" t="s">
        <v>74</v>
      </c>
      <c r="L982" t="s">
        <v>74</v>
      </c>
      <c r="M982" t="s">
        <v>74</v>
      </c>
      <c r="N982" t="s">
        <v>74</v>
      </c>
      <c r="O982" t="s">
        <v>8481</v>
      </c>
      <c r="P982" t="s">
        <v>8482</v>
      </c>
      <c r="Q982" t="s">
        <v>8483</v>
      </c>
      <c r="R982" t="s">
        <v>74</v>
      </c>
      <c r="S982" t="s">
        <v>74</v>
      </c>
      <c r="T982" t="s">
        <v>74</v>
      </c>
      <c r="U982" t="s">
        <v>74</v>
      </c>
      <c r="V982" t="s">
        <v>8484</v>
      </c>
      <c r="W982" t="s">
        <v>74</v>
      </c>
      <c r="X982" t="s">
        <v>74</v>
      </c>
      <c r="Y982" t="s">
        <v>74</v>
      </c>
      <c r="Z982" t="s">
        <v>74</v>
      </c>
      <c r="AA982" t="s">
        <v>8485</v>
      </c>
      <c r="AB982" t="s">
        <v>8486</v>
      </c>
      <c r="AC982" t="s">
        <v>74</v>
      </c>
      <c r="AD982" t="s">
        <v>74</v>
      </c>
      <c r="AE982" t="s">
        <v>74</v>
      </c>
      <c r="AF982" t="s">
        <v>74</v>
      </c>
      <c r="AG982" t="s">
        <v>74</v>
      </c>
      <c r="AH982" t="s">
        <v>74</v>
      </c>
      <c r="AI982" t="s">
        <v>74</v>
      </c>
      <c r="AJ982" t="s">
        <v>74</v>
      </c>
      <c r="AK982" t="s">
        <v>74</v>
      </c>
      <c r="AL982" t="s">
        <v>74</v>
      </c>
      <c r="AM982" t="s">
        <v>74</v>
      </c>
      <c r="AN982" t="s">
        <v>74</v>
      </c>
      <c r="AO982" t="s">
        <v>3826</v>
      </c>
      <c r="AP982" t="s">
        <v>3827</v>
      </c>
      <c r="AQ982" t="s">
        <v>74</v>
      </c>
      <c r="AR982" t="s">
        <v>74</v>
      </c>
      <c r="AS982" t="s">
        <v>74</v>
      </c>
      <c r="AT982" t="s">
        <v>113</v>
      </c>
      <c r="AU982">
        <v>2006</v>
      </c>
      <c r="AV982">
        <v>44</v>
      </c>
      <c r="AW982">
        <v>12</v>
      </c>
      <c r="AX982" t="s">
        <v>74</v>
      </c>
      <c r="AY982" t="s">
        <v>74</v>
      </c>
      <c r="AZ982" t="s">
        <v>74</v>
      </c>
      <c r="BA982" t="s">
        <v>74</v>
      </c>
      <c r="BB982">
        <v>2543</v>
      </c>
      <c r="BC982">
        <v>2548</v>
      </c>
      <c r="BD982" t="s">
        <v>74</v>
      </c>
      <c r="BE982" t="s">
        <v>8487</v>
      </c>
      <c r="BF982" t="str">
        <f>HYPERLINK("http://dx.doi.org/10.1016/j.carbon.2006.05.013","http://dx.doi.org/10.1016/j.carbon.2006.05.013")</f>
        <v>http://dx.doi.org/10.1016/j.carbon.2006.05.013</v>
      </c>
      <c r="BG982" t="s">
        <v>74</v>
      </c>
      <c r="BH982" t="s">
        <v>74</v>
      </c>
      <c r="BI982" t="s">
        <v>74</v>
      </c>
      <c r="BJ982" t="s">
        <v>74</v>
      </c>
      <c r="BK982" t="s">
        <v>74</v>
      </c>
      <c r="BL982" t="s">
        <v>74</v>
      </c>
      <c r="BM982" t="s">
        <v>74</v>
      </c>
      <c r="BN982" t="s">
        <v>74</v>
      </c>
      <c r="BO982" t="s">
        <v>74</v>
      </c>
      <c r="BP982" t="s">
        <v>74</v>
      </c>
      <c r="BQ982" t="s">
        <v>74</v>
      </c>
      <c r="BR982" t="s">
        <v>74</v>
      </c>
      <c r="BS982" t="s">
        <v>8488</v>
      </c>
      <c r="BT982" t="str">
        <f>HYPERLINK("https%3A%2F%2Fwww.webofscience.com%2Fwos%2Fwoscc%2Ffull-record%2FWOS:000240813000024","View Full Record in Web of Science")</f>
        <v>View Full Record in Web of Science</v>
      </c>
    </row>
    <row r="983" spans="1:72" x14ac:dyDescent="0.2">
      <c r="A983" t="s">
        <v>72</v>
      </c>
      <c r="B983" t="s">
        <v>8489</v>
      </c>
      <c r="C983" t="s">
        <v>74</v>
      </c>
      <c r="D983" t="s">
        <v>74</v>
      </c>
      <c r="E983" t="s">
        <v>74</v>
      </c>
      <c r="F983" t="s">
        <v>8490</v>
      </c>
      <c r="G983" t="s">
        <v>74</v>
      </c>
      <c r="H983" t="s">
        <v>74</v>
      </c>
      <c r="I983" t="s">
        <v>8491</v>
      </c>
      <c r="J983" t="s">
        <v>1256</v>
      </c>
      <c r="K983" t="s">
        <v>74</v>
      </c>
      <c r="L983" t="s">
        <v>74</v>
      </c>
      <c r="M983" t="s">
        <v>74</v>
      </c>
      <c r="N983" t="s">
        <v>74</v>
      </c>
      <c r="O983" t="s">
        <v>74</v>
      </c>
      <c r="P983" t="s">
        <v>74</v>
      </c>
      <c r="Q983" t="s">
        <v>74</v>
      </c>
      <c r="R983" t="s">
        <v>74</v>
      </c>
      <c r="S983" t="s">
        <v>74</v>
      </c>
      <c r="T983" t="s">
        <v>74</v>
      </c>
      <c r="U983" t="s">
        <v>74</v>
      </c>
      <c r="V983" t="s">
        <v>8492</v>
      </c>
      <c r="W983" t="s">
        <v>74</v>
      </c>
      <c r="X983" t="s">
        <v>74</v>
      </c>
      <c r="Y983" t="s">
        <v>74</v>
      </c>
      <c r="Z983" t="s">
        <v>74</v>
      </c>
      <c r="AA983" t="s">
        <v>8493</v>
      </c>
      <c r="AB983" t="s">
        <v>74</v>
      </c>
      <c r="AC983" t="s">
        <v>74</v>
      </c>
      <c r="AD983" t="s">
        <v>74</v>
      </c>
      <c r="AE983" t="s">
        <v>74</v>
      </c>
      <c r="AF983" t="s">
        <v>74</v>
      </c>
      <c r="AG983" t="s">
        <v>74</v>
      </c>
      <c r="AH983" t="s">
        <v>74</v>
      </c>
      <c r="AI983" t="s">
        <v>74</v>
      </c>
      <c r="AJ983" t="s">
        <v>74</v>
      </c>
      <c r="AK983" t="s">
        <v>74</v>
      </c>
      <c r="AL983" t="s">
        <v>74</v>
      </c>
      <c r="AM983" t="s">
        <v>74</v>
      </c>
      <c r="AN983" t="s">
        <v>74</v>
      </c>
      <c r="AO983" t="s">
        <v>1258</v>
      </c>
      <c r="AP983" t="s">
        <v>1259</v>
      </c>
      <c r="AQ983" t="s">
        <v>74</v>
      </c>
      <c r="AR983" t="s">
        <v>74</v>
      </c>
      <c r="AS983" t="s">
        <v>74</v>
      </c>
      <c r="AT983" t="s">
        <v>165</v>
      </c>
      <c r="AU983">
        <v>2006</v>
      </c>
      <c r="AV983">
        <v>51</v>
      </c>
      <c r="AW983">
        <v>26</v>
      </c>
      <c r="AX983" t="s">
        <v>74</v>
      </c>
      <c r="AY983" t="s">
        <v>74</v>
      </c>
      <c r="AZ983" t="s">
        <v>74</v>
      </c>
      <c r="BA983" t="s">
        <v>74</v>
      </c>
      <c r="BB983">
        <v>5731</v>
      </c>
      <c r="BC983">
        <v>5737</v>
      </c>
      <c r="BD983" t="s">
        <v>74</v>
      </c>
      <c r="BE983" t="s">
        <v>8494</v>
      </c>
      <c r="BF983" t="str">
        <f>HYPERLINK("http://dx.doi.org/10.1016/j.electacta.2006.03.023","http://dx.doi.org/10.1016/j.electacta.2006.03.023")</f>
        <v>http://dx.doi.org/10.1016/j.electacta.2006.03.023</v>
      </c>
      <c r="BG983" t="s">
        <v>74</v>
      </c>
      <c r="BH983" t="s">
        <v>74</v>
      </c>
      <c r="BI983" t="s">
        <v>74</v>
      </c>
      <c r="BJ983" t="s">
        <v>74</v>
      </c>
      <c r="BK983" t="s">
        <v>74</v>
      </c>
      <c r="BL983" t="s">
        <v>74</v>
      </c>
      <c r="BM983" t="s">
        <v>74</v>
      </c>
      <c r="BN983" t="s">
        <v>74</v>
      </c>
      <c r="BO983" t="s">
        <v>74</v>
      </c>
      <c r="BP983" t="s">
        <v>74</v>
      </c>
      <c r="BQ983" t="s">
        <v>74</v>
      </c>
      <c r="BR983" t="s">
        <v>74</v>
      </c>
      <c r="BS983" t="s">
        <v>8495</v>
      </c>
      <c r="BT983" t="str">
        <f>HYPERLINK("https%3A%2F%2Fwww.webofscience.com%2Fwos%2Fwoscc%2Ffull-record%2FWOS:000240167400021","View Full Record in Web of Science")</f>
        <v>View Full Record in Web of Science</v>
      </c>
    </row>
    <row r="984" spans="1:72" x14ac:dyDescent="0.2">
      <c r="A984" t="s">
        <v>72</v>
      </c>
      <c r="B984" t="s">
        <v>8496</v>
      </c>
      <c r="C984" t="s">
        <v>74</v>
      </c>
      <c r="D984" t="s">
        <v>74</v>
      </c>
      <c r="E984" t="s">
        <v>74</v>
      </c>
      <c r="F984" t="s">
        <v>8497</v>
      </c>
      <c r="G984" t="s">
        <v>74</v>
      </c>
      <c r="H984" t="s">
        <v>74</v>
      </c>
      <c r="I984" t="s">
        <v>8498</v>
      </c>
      <c r="J984" t="s">
        <v>1256</v>
      </c>
      <c r="K984" t="s">
        <v>74</v>
      </c>
      <c r="L984" t="s">
        <v>74</v>
      </c>
      <c r="M984" t="s">
        <v>74</v>
      </c>
      <c r="N984" t="s">
        <v>74</v>
      </c>
      <c r="O984" t="s">
        <v>74</v>
      </c>
      <c r="P984" t="s">
        <v>74</v>
      </c>
      <c r="Q984" t="s">
        <v>74</v>
      </c>
      <c r="R984" t="s">
        <v>74</v>
      </c>
      <c r="S984" t="s">
        <v>74</v>
      </c>
      <c r="T984" t="s">
        <v>74</v>
      </c>
      <c r="U984" t="s">
        <v>74</v>
      </c>
      <c r="V984" t="s">
        <v>8499</v>
      </c>
      <c r="W984" t="s">
        <v>74</v>
      </c>
      <c r="X984" t="s">
        <v>74</v>
      </c>
      <c r="Y984" t="s">
        <v>74</v>
      </c>
      <c r="Z984" t="s">
        <v>74</v>
      </c>
      <c r="AA984" t="s">
        <v>74</v>
      </c>
      <c r="AB984" t="s">
        <v>74</v>
      </c>
      <c r="AC984" t="s">
        <v>74</v>
      </c>
      <c r="AD984" t="s">
        <v>74</v>
      </c>
      <c r="AE984" t="s">
        <v>74</v>
      </c>
      <c r="AF984" t="s">
        <v>74</v>
      </c>
      <c r="AG984" t="s">
        <v>74</v>
      </c>
      <c r="AH984" t="s">
        <v>74</v>
      </c>
      <c r="AI984" t="s">
        <v>74</v>
      </c>
      <c r="AJ984" t="s">
        <v>74</v>
      </c>
      <c r="AK984" t="s">
        <v>74</v>
      </c>
      <c r="AL984" t="s">
        <v>74</v>
      </c>
      <c r="AM984" t="s">
        <v>74</v>
      </c>
      <c r="AN984" t="s">
        <v>74</v>
      </c>
      <c r="AO984" t="s">
        <v>1258</v>
      </c>
      <c r="AP984" t="s">
        <v>1259</v>
      </c>
      <c r="AQ984" t="s">
        <v>74</v>
      </c>
      <c r="AR984" t="s">
        <v>74</v>
      </c>
      <c r="AS984" t="s">
        <v>74</v>
      </c>
      <c r="AT984" t="s">
        <v>4051</v>
      </c>
      <c r="AU984">
        <v>2006</v>
      </c>
      <c r="AV984">
        <v>51</v>
      </c>
      <c r="AW984">
        <v>18</v>
      </c>
      <c r="AX984" t="s">
        <v>74</v>
      </c>
      <c r="AY984" t="s">
        <v>74</v>
      </c>
      <c r="AZ984" t="s">
        <v>74</v>
      </c>
      <c r="BA984" t="s">
        <v>74</v>
      </c>
      <c r="BB984">
        <v>3645</v>
      </c>
      <c r="BC984">
        <v>3651</v>
      </c>
      <c r="BD984" t="s">
        <v>74</v>
      </c>
      <c r="BE984" t="s">
        <v>8500</v>
      </c>
      <c r="BF984" t="str">
        <f>HYPERLINK("http://dx.doi.org/10.1016/j.electacta.2005.10.018","http://dx.doi.org/10.1016/j.electacta.2005.10.018")</f>
        <v>http://dx.doi.org/10.1016/j.electacta.2005.10.018</v>
      </c>
      <c r="BG984" t="s">
        <v>74</v>
      </c>
      <c r="BH984" t="s">
        <v>74</v>
      </c>
      <c r="BI984" t="s">
        <v>74</v>
      </c>
      <c r="BJ984" t="s">
        <v>74</v>
      </c>
      <c r="BK984" t="s">
        <v>74</v>
      </c>
      <c r="BL984" t="s">
        <v>74</v>
      </c>
      <c r="BM984" t="s">
        <v>74</v>
      </c>
      <c r="BN984" t="s">
        <v>74</v>
      </c>
      <c r="BO984" t="s">
        <v>74</v>
      </c>
      <c r="BP984" t="s">
        <v>74</v>
      </c>
      <c r="BQ984" t="s">
        <v>74</v>
      </c>
      <c r="BR984" t="s">
        <v>74</v>
      </c>
      <c r="BS984" t="s">
        <v>8501</v>
      </c>
      <c r="BT984" t="str">
        <f>HYPERLINK("https%3A%2F%2Fwww.webofscience.com%2Fwos%2Fwoscc%2Ffull-record%2FWOS:000237647300005","View Full Record in Web of Science")</f>
        <v>View Full Record in Web of Science</v>
      </c>
    </row>
    <row r="985" spans="1:72" x14ac:dyDescent="0.2">
      <c r="A985" t="s">
        <v>72</v>
      </c>
      <c r="B985" t="s">
        <v>8502</v>
      </c>
      <c r="C985" t="s">
        <v>74</v>
      </c>
      <c r="D985" t="s">
        <v>74</v>
      </c>
      <c r="E985" t="s">
        <v>74</v>
      </c>
      <c r="F985" t="s">
        <v>8502</v>
      </c>
      <c r="G985" t="s">
        <v>74</v>
      </c>
      <c r="H985" t="s">
        <v>74</v>
      </c>
      <c r="I985" t="s">
        <v>8503</v>
      </c>
      <c r="J985" t="s">
        <v>665</v>
      </c>
      <c r="K985" t="s">
        <v>74</v>
      </c>
      <c r="L985" t="s">
        <v>74</v>
      </c>
      <c r="M985" t="s">
        <v>74</v>
      </c>
      <c r="N985" t="s">
        <v>74</v>
      </c>
      <c r="O985" t="s">
        <v>74</v>
      </c>
      <c r="P985" t="s">
        <v>74</v>
      </c>
      <c r="Q985" t="s">
        <v>74</v>
      </c>
      <c r="R985" t="s">
        <v>74</v>
      </c>
      <c r="S985" t="s">
        <v>74</v>
      </c>
      <c r="T985" t="s">
        <v>74</v>
      </c>
      <c r="U985" t="s">
        <v>74</v>
      </c>
      <c r="V985" t="s">
        <v>8504</v>
      </c>
      <c r="W985" t="s">
        <v>74</v>
      </c>
      <c r="X985" t="s">
        <v>74</v>
      </c>
      <c r="Y985" t="s">
        <v>74</v>
      </c>
      <c r="Z985" t="s">
        <v>74</v>
      </c>
      <c r="AA985" t="s">
        <v>8199</v>
      </c>
      <c r="AB985" t="s">
        <v>8200</v>
      </c>
      <c r="AC985" t="s">
        <v>74</v>
      </c>
      <c r="AD985" t="s">
        <v>74</v>
      </c>
      <c r="AE985" t="s">
        <v>74</v>
      </c>
      <c r="AF985" t="s">
        <v>74</v>
      </c>
      <c r="AG985" t="s">
        <v>74</v>
      </c>
      <c r="AH985" t="s">
        <v>74</v>
      </c>
      <c r="AI985" t="s">
        <v>74</v>
      </c>
      <c r="AJ985" t="s">
        <v>74</v>
      </c>
      <c r="AK985" t="s">
        <v>74</v>
      </c>
      <c r="AL985" t="s">
        <v>74</v>
      </c>
      <c r="AM985" t="s">
        <v>74</v>
      </c>
      <c r="AN985" t="s">
        <v>74</v>
      </c>
      <c r="AO985" t="s">
        <v>668</v>
      </c>
      <c r="AP985" t="s">
        <v>74</v>
      </c>
      <c r="AQ985" t="s">
        <v>74</v>
      </c>
      <c r="AR985" t="s">
        <v>74</v>
      </c>
      <c r="AS985" t="s">
        <v>74</v>
      </c>
      <c r="AT985" t="s">
        <v>2359</v>
      </c>
      <c r="AU985">
        <v>2006</v>
      </c>
      <c r="AV985">
        <v>177</v>
      </c>
      <c r="AW985" t="s">
        <v>8505</v>
      </c>
      <c r="AX985" t="s">
        <v>74</v>
      </c>
      <c r="AY985" t="s">
        <v>74</v>
      </c>
      <c r="AZ985" t="s">
        <v>74</v>
      </c>
      <c r="BA985" t="s">
        <v>74</v>
      </c>
      <c r="BB985">
        <v>299</v>
      </c>
      <c r="BC985">
        <v>303</v>
      </c>
      <c r="BD985" t="s">
        <v>74</v>
      </c>
      <c r="BE985" t="s">
        <v>8506</v>
      </c>
      <c r="BF985" t="str">
        <f>HYPERLINK("http://dx.doi.org/10.1016/j.ssi.2005.10.022","http://dx.doi.org/10.1016/j.ssi.2005.10.022")</f>
        <v>http://dx.doi.org/10.1016/j.ssi.2005.10.022</v>
      </c>
      <c r="BG985" t="s">
        <v>74</v>
      </c>
      <c r="BH985" t="s">
        <v>74</v>
      </c>
      <c r="BI985" t="s">
        <v>74</v>
      </c>
      <c r="BJ985" t="s">
        <v>74</v>
      </c>
      <c r="BK985" t="s">
        <v>74</v>
      </c>
      <c r="BL985" t="s">
        <v>74</v>
      </c>
      <c r="BM985" t="s">
        <v>74</v>
      </c>
      <c r="BN985" t="s">
        <v>74</v>
      </c>
      <c r="BO985" t="s">
        <v>74</v>
      </c>
      <c r="BP985" t="s">
        <v>74</v>
      </c>
      <c r="BQ985" t="s">
        <v>74</v>
      </c>
      <c r="BR985" t="s">
        <v>74</v>
      </c>
      <c r="BS985" t="s">
        <v>8507</v>
      </c>
      <c r="BT985" t="str">
        <f>HYPERLINK("https%3A%2F%2Fwww.webofscience.com%2Fwos%2Fwoscc%2Ffull-record%2FWOS:000235540500015","View Full Record in Web of Science")</f>
        <v>View Full Record in Web of Science</v>
      </c>
    </row>
    <row r="986" spans="1:72" x14ac:dyDescent="0.2">
      <c r="A986" t="s">
        <v>72</v>
      </c>
      <c r="B986" t="s">
        <v>8508</v>
      </c>
      <c r="C986" t="s">
        <v>74</v>
      </c>
      <c r="D986" t="s">
        <v>74</v>
      </c>
      <c r="E986" t="s">
        <v>74</v>
      </c>
      <c r="F986" t="s">
        <v>8508</v>
      </c>
      <c r="G986" t="s">
        <v>74</v>
      </c>
      <c r="H986" t="s">
        <v>74</v>
      </c>
      <c r="I986" t="s">
        <v>8509</v>
      </c>
      <c r="J986" t="s">
        <v>4888</v>
      </c>
      <c r="K986" t="s">
        <v>74</v>
      </c>
      <c r="L986" t="s">
        <v>74</v>
      </c>
      <c r="M986" t="s">
        <v>74</v>
      </c>
      <c r="N986" t="s">
        <v>74</v>
      </c>
      <c r="O986" t="s">
        <v>74</v>
      </c>
      <c r="P986" t="s">
        <v>74</v>
      </c>
      <c r="Q986" t="s">
        <v>74</v>
      </c>
      <c r="R986" t="s">
        <v>74</v>
      </c>
      <c r="S986" t="s">
        <v>74</v>
      </c>
      <c r="T986" t="s">
        <v>74</v>
      </c>
      <c r="U986" t="s">
        <v>74</v>
      </c>
      <c r="V986" t="s">
        <v>8510</v>
      </c>
      <c r="W986" t="s">
        <v>74</v>
      </c>
      <c r="X986" t="s">
        <v>74</v>
      </c>
      <c r="Y986" t="s">
        <v>74</v>
      </c>
      <c r="Z986" t="s">
        <v>74</v>
      </c>
      <c r="AA986" t="s">
        <v>74</v>
      </c>
      <c r="AB986" t="s">
        <v>74</v>
      </c>
      <c r="AC986" t="s">
        <v>74</v>
      </c>
      <c r="AD986" t="s">
        <v>74</v>
      </c>
      <c r="AE986" t="s">
        <v>74</v>
      </c>
      <c r="AF986" t="s">
        <v>74</v>
      </c>
      <c r="AG986" t="s">
        <v>74</v>
      </c>
      <c r="AH986" t="s">
        <v>74</v>
      </c>
      <c r="AI986" t="s">
        <v>74</v>
      </c>
      <c r="AJ986" t="s">
        <v>74</v>
      </c>
      <c r="AK986" t="s">
        <v>74</v>
      </c>
      <c r="AL986" t="s">
        <v>74</v>
      </c>
      <c r="AM986" t="s">
        <v>74</v>
      </c>
      <c r="AN986" t="s">
        <v>74</v>
      </c>
      <c r="AO986" t="s">
        <v>4892</v>
      </c>
      <c r="AP986" t="s">
        <v>4893</v>
      </c>
      <c r="AQ986" t="s">
        <v>74</v>
      </c>
      <c r="AR986" t="s">
        <v>74</v>
      </c>
      <c r="AS986" t="s">
        <v>74</v>
      </c>
      <c r="AT986" t="s">
        <v>368</v>
      </c>
      <c r="AU986">
        <v>2005</v>
      </c>
      <c r="AV986">
        <v>8</v>
      </c>
      <c r="AW986">
        <v>3</v>
      </c>
      <c r="AX986" t="s">
        <v>74</v>
      </c>
      <c r="AY986" t="s">
        <v>74</v>
      </c>
      <c r="AZ986" t="s">
        <v>74</v>
      </c>
      <c r="BA986" t="s">
        <v>74</v>
      </c>
      <c r="BB986">
        <v>203</v>
      </c>
      <c r="BC986">
        <v>207</v>
      </c>
      <c r="BD986" t="s">
        <v>74</v>
      </c>
      <c r="BE986" t="s">
        <v>74</v>
      </c>
      <c r="BF986" t="s">
        <v>74</v>
      </c>
      <c r="BG986" t="s">
        <v>74</v>
      </c>
      <c r="BH986" t="s">
        <v>74</v>
      </c>
      <c r="BI986" t="s">
        <v>74</v>
      </c>
      <c r="BJ986" t="s">
        <v>74</v>
      </c>
      <c r="BK986" t="s">
        <v>74</v>
      </c>
      <c r="BL986" t="s">
        <v>74</v>
      </c>
      <c r="BM986" t="s">
        <v>74</v>
      </c>
      <c r="BN986" t="s">
        <v>74</v>
      </c>
      <c r="BO986" t="s">
        <v>74</v>
      </c>
      <c r="BP986" t="s">
        <v>74</v>
      </c>
      <c r="BQ986" t="s">
        <v>74</v>
      </c>
      <c r="BR986" t="s">
        <v>74</v>
      </c>
      <c r="BS986" t="s">
        <v>8511</v>
      </c>
      <c r="BT986" t="str">
        <f>HYPERLINK("https%3A%2F%2Fwww.webofscience.com%2Fwos%2Fwoscc%2Ffull-record%2FWOS:000232617100006","View Full Record in Web of Science")</f>
        <v>View Full Record in Web of Science</v>
      </c>
    </row>
    <row r="987" spans="1:72" x14ac:dyDescent="0.2">
      <c r="A987" t="s">
        <v>3747</v>
      </c>
      <c r="B987" t="s">
        <v>8496</v>
      </c>
      <c r="C987" t="s">
        <v>74</v>
      </c>
      <c r="D987" t="s">
        <v>8512</v>
      </c>
      <c r="E987" t="s">
        <v>74</v>
      </c>
      <c r="F987" t="s">
        <v>8496</v>
      </c>
      <c r="G987" t="s">
        <v>74</v>
      </c>
      <c r="H987" t="s">
        <v>74</v>
      </c>
      <c r="I987" t="s">
        <v>8513</v>
      </c>
      <c r="J987" t="s">
        <v>8514</v>
      </c>
      <c r="K987" t="s">
        <v>8515</v>
      </c>
      <c r="L987" t="s">
        <v>74</v>
      </c>
      <c r="M987" t="s">
        <v>74</v>
      </c>
      <c r="N987" t="s">
        <v>74</v>
      </c>
      <c r="O987" t="s">
        <v>8516</v>
      </c>
      <c r="P987" t="s">
        <v>8517</v>
      </c>
      <c r="Q987" t="s">
        <v>8344</v>
      </c>
      <c r="R987" t="s">
        <v>8518</v>
      </c>
      <c r="S987" t="s">
        <v>74</v>
      </c>
      <c r="T987" t="s">
        <v>74</v>
      </c>
      <c r="U987" t="s">
        <v>74</v>
      </c>
      <c r="V987" t="s">
        <v>8519</v>
      </c>
      <c r="W987" t="s">
        <v>74</v>
      </c>
      <c r="X987" t="s">
        <v>74</v>
      </c>
      <c r="Y987" t="s">
        <v>74</v>
      </c>
      <c r="Z987" t="s">
        <v>74</v>
      </c>
      <c r="AA987" t="s">
        <v>74</v>
      </c>
      <c r="AB987" t="s">
        <v>74</v>
      </c>
      <c r="AC987" t="s">
        <v>74</v>
      </c>
      <c r="AD987" t="s">
        <v>74</v>
      </c>
      <c r="AE987" t="s">
        <v>74</v>
      </c>
      <c r="AF987" t="s">
        <v>74</v>
      </c>
      <c r="AG987" t="s">
        <v>74</v>
      </c>
      <c r="AH987" t="s">
        <v>74</v>
      </c>
      <c r="AI987" t="s">
        <v>74</v>
      </c>
      <c r="AJ987" t="s">
        <v>74</v>
      </c>
      <c r="AK987" t="s">
        <v>74</v>
      </c>
      <c r="AL987" t="s">
        <v>74</v>
      </c>
      <c r="AM987" t="s">
        <v>74</v>
      </c>
      <c r="AN987" t="s">
        <v>74</v>
      </c>
      <c r="AO987" t="s">
        <v>8520</v>
      </c>
      <c r="AP987" t="s">
        <v>74</v>
      </c>
      <c r="AQ987" t="s">
        <v>8521</v>
      </c>
      <c r="AR987" t="s">
        <v>74</v>
      </c>
      <c r="AS987" t="s">
        <v>74</v>
      </c>
      <c r="AT987" t="s">
        <v>74</v>
      </c>
      <c r="AU987">
        <v>2005</v>
      </c>
      <c r="AV987" t="s">
        <v>8522</v>
      </c>
      <c r="AW987" t="s">
        <v>74</v>
      </c>
      <c r="AX987" t="s">
        <v>8449</v>
      </c>
      <c r="AY987" t="s">
        <v>74</v>
      </c>
      <c r="AZ987" t="s">
        <v>74</v>
      </c>
      <c r="BA987" t="s">
        <v>74</v>
      </c>
      <c r="BB987">
        <v>671</v>
      </c>
      <c r="BC987">
        <v>675</v>
      </c>
      <c r="BD987" t="s">
        <v>74</v>
      </c>
      <c r="BE987" t="s">
        <v>8523</v>
      </c>
      <c r="BF987" t="str">
        <f>HYPERLINK("http://dx.doi.org/10.4028/www.scientific.net/KEM.280-283.671","http://dx.doi.org/10.4028/www.scientific.net/KEM.280-283.671")</f>
        <v>http://dx.doi.org/10.4028/www.scientific.net/KEM.280-283.671</v>
      </c>
      <c r="BG987" t="s">
        <v>74</v>
      </c>
      <c r="BH987" t="s">
        <v>74</v>
      </c>
      <c r="BI987" t="s">
        <v>74</v>
      </c>
      <c r="BJ987" t="s">
        <v>74</v>
      </c>
      <c r="BK987" t="s">
        <v>74</v>
      </c>
      <c r="BL987" t="s">
        <v>74</v>
      </c>
      <c r="BM987" t="s">
        <v>74</v>
      </c>
      <c r="BN987" t="s">
        <v>74</v>
      </c>
      <c r="BO987" t="s">
        <v>74</v>
      </c>
      <c r="BP987" t="s">
        <v>74</v>
      </c>
      <c r="BQ987" t="s">
        <v>74</v>
      </c>
      <c r="BR987" t="s">
        <v>74</v>
      </c>
      <c r="BS987" t="s">
        <v>8524</v>
      </c>
      <c r="BT987" t="str">
        <f>HYPERLINK("https%3A%2F%2Fwww.webofscience.com%2Fwos%2Fwoscc%2Ffull-record%2FWOS:000227051400166","View Full Record in Web of Science")</f>
        <v>View Full Record in Web of Science</v>
      </c>
    </row>
    <row r="988" spans="1:72" x14ac:dyDescent="0.2">
      <c r="A988" t="s">
        <v>72</v>
      </c>
      <c r="B988" t="s">
        <v>8525</v>
      </c>
      <c r="C988" t="s">
        <v>74</v>
      </c>
      <c r="D988" t="s">
        <v>74</v>
      </c>
      <c r="E988" t="s">
        <v>74</v>
      </c>
      <c r="F988" t="s">
        <v>8525</v>
      </c>
      <c r="G988" t="s">
        <v>74</v>
      </c>
      <c r="H988" t="s">
        <v>74</v>
      </c>
      <c r="I988" t="s">
        <v>8526</v>
      </c>
      <c r="J988" t="s">
        <v>5138</v>
      </c>
      <c r="K988" t="s">
        <v>74</v>
      </c>
      <c r="L988" t="s">
        <v>74</v>
      </c>
      <c r="M988" t="s">
        <v>74</v>
      </c>
      <c r="N988" t="s">
        <v>74</v>
      </c>
      <c r="O988" t="s">
        <v>8527</v>
      </c>
      <c r="P988" t="s">
        <v>8528</v>
      </c>
      <c r="Q988" t="s">
        <v>8529</v>
      </c>
      <c r="R988" t="s">
        <v>7774</v>
      </c>
      <c r="S988" t="s">
        <v>74</v>
      </c>
      <c r="T988" t="s">
        <v>74</v>
      </c>
      <c r="U988" t="s">
        <v>74</v>
      </c>
      <c r="V988" t="s">
        <v>8530</v>
      </c>
      <c r="W988" t="s">
        <v>74</v>
      </c>
      <c r="X988" t="s">
        <v>74</v>
      </c>
      <c r="Y988" t="s">
        <v>74</v>
      </c>
      <c r="Z988" t="s">
        <v>74</v>
      </c>
      <c r="AA988" t="s">
        <v>8531</v>
      </c>
      <c r="AB988" t="s">
        <v>8532</v>
      </c>
      <c r="AC988" t="s">
        <v>74</v>
      </c>
      <c r="AD988" t="s">
        <v>74</v>
      </c>
      <c r="AE988" t="s">
        <v>74</v>
      </c>
      <c r="AF988" t="s">
        <v>74</v>
      </c>
      <c r="AG988" t="s">
        <v>74</v>
      </c>
      <c r="AH988" t="s">
        <v>74</v>
      </c>
      <c r="AI988" t="s">
        <v>74</v>
      </c>
      <c r="AJ988" t="s">
        <v>74</v>
      </c>
      <c r="AK988" t="s">
        <v>74</v>
      </c>
      <c r="AL988" t="s">
        <v>74</v>
      </c>
      <c r="AM988" t="s">
        <v>74</v>
      </c>
      <c r="AN988" t="s">
        <v>74</v>
      </c>
      <c r="AO988" t="s">
        <v>5142</v>
      </c>
      <c r="AP988" t="s">
        <v>74</v>
      </c>
      <c r="AQ988" t="s">
        <v>74</v>
      </c>
      <c r="AR988" t="s">
        <v>74</v>
      </c>
      <c r="AS988" t="s">
        <v>74</v>
      </c>
      <c r="AT988" t="s">
        <v>629</v>
      </c>
      <c r="AU988">
        <v>2004</v>
      </c>
      <c r="AV988">
        <v>125</v>
      </c>
      <c r="AW988">
        <v>8</v>
      </c>
      <c r="AX988" t="s">
        <v>74</v>
      </c>
      <c r="AY988" t="s">
        <v>74</v>
      </c>
      <c r="AZ988" t="s">
        <v>74</v>
      </c>
      <c r="BA988" t="s">
        <v>74</v>
      </c>
      <c r="BB988">
        <v>1205</v>
      </c>
      <c r="BC988">
        <v>1209</v>
      </c>
      <c r="BD988" t="s">
        <v>74</v>
      </c>
      <c r="BE988" t="s">
        <v>8533</v>
      </c>
      <c r="BF988" t="str">
        <f>HYPERLINK("http://dx.doi.org/10.1016/j.jfluchem.2004.05.008","http://dx.doi.org/10.1016/j.jfluchem.2004.05.008")</f>
        <v>http://dx.doi.org/10.1016/j.jfluchem.2004.05.008</v>
      </c>
      <c r="BG988" t="s">
        <v>74</v>
      </c>
      <c r="BH988" t="s">
        <v>74</v>
      </c>
      <c r="BI988" t="s">
        <v>74</v>
      </c>
      <c r="BJ988" t="s">
        <v>74</v>
      </c>
      <c r="BK988" t="s">
        <v>74</v>
      </c>
      <c r="BL988" t="s">
        <v>74</v>
      </c>
      <c r="BM988" t="s">
        <v>74</v>
      </c>
      <c r="BN988" t="s">
        <v>74</v>
      </c>
      <c r="BO988" t="s">
        <v>74</v>
      </c>
      <c r="BP988" t="s">
        <v>74</v>
      </c>
      <c r="BQ988" t="s">
        <v>74</v>
      </c>
      <c r="BR988" t="s">
        <v>74</v>
      </c>
      <c r="BS988" t="s">
        <v>8534</v>
      </c>
      <c r="BT988" t="str">
        <f>HYPERLINK("https%3A%2F%2Fwww.webofscience.com%2Fwos%2Fwoscc%2Ffull-record%2FWOS:000223685400004","View Full Record in Web of Science")</f>
        <v>View Full Record in Web of Science</v>
      </c>
    </row>
    <row r="989" spans="1:72" x14ac:dyDescent="0.2">
      <c r="A989" t="s">
        <v>72</v>
      </c>
      <c r="B989" t="s">
        <v>8535</v>
      </c>
      <c r="C989" t="s">
        <v>74</v>
      </c>
      <c r="D989" t="s">
        <v>74</v>
      </c>
      <c r="E989" t="s">
        <v>74</v>
      </c>
      <c r="F989" t="s">
        <v>8535</v>
      </c>
      <c r="G989" t="s">
        <v>74</v>
      </c>
      <c r="H989" t="s">
        <v>74</v>
      </c>
      <c r="I989" t="s">
        <v>8536</v>
      </c>
      <c r="J989" t="s">
        <v>1256</v>
      </c>
      <c r="K989" t="s">
        <v>74</v>
      </c>
      <c r="L989" t="s">
        <v>74</v>
      </c>
      <c r="M989" t="s">
        <v>74</v>
      </c>
      <c r="N989" t="s">
        <v>74</v>
      </c>
      <c r="O989" t="s">
        <v>74</v>
      </c>
      <c r="P989" t="s">
        <v>74</v>
      </c>
      <c r="Q989" t="s">
        <v>74</v>
      </c>
      <c r="R989" t="s">
        <v>74</v>
      </c>
      <c r="S989" t="s">
        <v>74</v>
      </c>
      <c r="T989" t="s">
        <v>74</v>
      </c>
      <c r="U989" t="s">
        <v>74</v>
      </c>
      <c r="V989" t="s">
        <v>8537</v>
      </c>
      <c r="W989" t="s">
        <v>74</v>
      </c>
      <c r="X989" t="s">
        <v>74</v>
      </c>
      <c r="Y989" t="s">
        <v>74</v>
      </c>
      <c r="Z989" t="s">
        <v>74</v>
      </c>
      <c r="AA989" t="s">
        <v>74</v>
      </c>
      <c r="AB989" t="s">
        <v>74</v>
      </c>
      <c r="AC989" t="s">
        <v>74</v>
      </c>
      <c r="AD989" t="s">
        <v>74</v>
      </c>
      <c r="AE989" t="s">
        <v>74</v>
      </c>
      <c r="AF989" t="s">
        <v>74</v>
      </c>
      <c r="AG989" t="s">
        <v>74</v>
      </c>
      <c r="AH989" t="s">
        <v>74</v>
      </c>
      <c r="AI989" t="s">
        <v>74</v>
      </c>
      <c r="AJ989" t="s">
        <v>74</v>
      </c>
      <c r="AK989" t="s">
        <v>74</v>
      </c>
      <c r="AL989" t="s">
        <v>74</v>
      </c>
      <c r="AM989" t="s">
        <v>74</v>
      </c>
      <c r="AN989" t="s">
        <v>74</v>
      </c>
      <c r="AO989" t="s">
        <v>1258</v>
      </c>
      <c r="AP989" t="s">
        <v>1259</v>
      </c>
      <c r="AQ989" t="s">
        <v>74</v>
      </c>
      <c r="AR989" t="s">
        <v>74</v>
      </c>
      <c r="AS989" t="s">
        <v>74</v>
      </c>
      <c r="AT989" t="s">
        <v>2071</v>
      </c>
      <c r="AU989">
        <v>2004</v>
      </c>
      <c r="AV989">
        <v>49</v>
      </c>
      <c r="AW989">
        <v>16</v>
      </c>
      <c r="AX989" t="s">
        <v>74</v>
      </c>
      <c r="AY989" t="s">
        <v>74</v>
      </c>
      <c r="AZ989" t="s">
        <v>74</v>
      </c>
      <c r="BA989" t="s">
        <v>74</v>
      </c>
      <c r="BB989">
        <v>2591</v>
      </c>
      <c r="BC989">
        <v>2599</v>
      </c>
      <c r="BD989" t="s">
        <v>74</v>
      </c>
      <c r="BE989" t="s">
        <v>8538</v>
      </c>
      <c r="BF989" t="str">
        <f>HYPERLINK("http://dx.doi.org/10.1016/j.electacta.2004.02.010","http://dx.doi.org/10.1016/j.electacta.2004.02.010")</f>
        <v>http://dx.doi.org/10.1016/j.electacta.2004.02.010</v>
      </c>
      <c r="BG989" t="s">
        <v>74</v>
      </c>
      <c r="BH989" t="s">
        <v>74</v>
      </c>
      <c r="BI989" t="s">
        <v>74</v>
      </c>
      <c r="BJ989" t="s">
        <v>74</v>
      </c>
      <c r="BK989" t="s">
        <v>74</v>
      </c>
      <c r="BL989" t="s">
        <v>74</v>
      </c>
      <c r="BM989" t="s">
        <v>74</v>
      </c>
      <c r="BN989" t="s">
        <v>74</v>
      </c>
      <c r="BO989" t="s">
        <v>74</v>
      </c>
      <c r="BP989" t="s">
        <v>74</v>
      </c>
      <c r="BQ989" t="s">
        <v>74</v>
      </c>
      <c r="BR989" t="s">
        <v>74</v>
      </c>
      <c r="BS989" t="s">
        <v>8539</v>
      </c>
      <c r="BT989" t="str">
        <f>HYPERLINK("https%3A%2F%2Fwww.webofscience.com%2Fwos%2Fwoscc%2Ffull-record%2FWOS:000221076700007","View Full Record in Web of Science")</f>
        <v>View Full Record in Web of Science</v>
      </c>
    </row>
    <row r="990" spans="1:72" x14ac:dyDescent="0.2">
      <c r="A990" t="s">
        <v>72</v>
      </c>
      <c r="B990" t="s">
        <v>8540</v>
      </c>
      <c r="C990" t="s">
        <v>74</v>
      </c>
      <c r="D990" t="s">
        <v>74</v>
      </c>
      <c r="E990" t="s">
        <v>74</v>
      </c>
      <c r="F990" t="s">
        <v>8540</v>
      </c>
      <c r="G990" t="s">
        <v>74</v>
      </c>
      <c r="H990" t="s">
        <v>74</v>
      </c>
      <c r="I990" t="s">
        <v>8541</v>
      </c>
      <c r="J990" t="s">
        <v>8542</v>
      </c>
      <c r="K990" t="s">
        <v>74</v>
      </c>
      <c r="L990" t="s">
        <v>74</v>
      </c>
      <c r="M990" t="s">
        <v>74</v>
      </c>
      <c r="N990" t="s">
        <v>74</v>
      </c>
      <c r="O990" t="s">
        <v>74</v>
      </c>
      <c r="P990" t="s">
        <v>74</v>
      </c>
      <c r="Q990" t="s">
        <v>74</v>
      </c>
      <c r="R990" t="s">
        <v>74</v>
      </c>
      <c r="S990" t="s">
        <v>74</v>
      </c>
      <c r="T990" t="s">
        <v>74</v>
      </c>
      <c r="U990" t="s">
        <v>74</v>
      </c>
      <c r="V990" t="s">
        <v>8543</v>
      </c>
      <c r="W990" t="s">
        <v>74</v>
      </c>
      <c r="X990" t="s">
        <v>74</v>
      </c>
      <c r="Y990" t="s">
        <v>74</v>
      </c>
      <c r="Z990" t="s">
        <v>74</v>
      </c>
      <c r="AA990" t="s">
        <v>8544</v>
      </c>
      <c r="AB990" t="s">
        <v>8545</v>
      </c>
      <c r="AC990" t="s">
        <v>74</v>
      </c>
      <c r="AD990" t="s">
        <v>74</v>
      </c>
      <c r="AE990" t="s">
        <v>74</v>
      </c>
      <c r="AF990" t="s">
        <v>74</v>
      </c>
      <c r="AG990" t="s">
        <v>74</v>
      </c>
      <c r="AH990" t="s">
        <v>74</v>
      </c>
      <c r="AI990" t="s">
        <v>74</v>
      </c>
      <c r="AJ990" t="s">
        <v>74</v>
      </c>
      <c r="AK990" t="s">
        <v>74</v>
      </c>
      <c r="AL990" t="s">
        <v>74</v>
      </c>
      <c r="AM990" t="s">
        <v>74</v>
      </c>
      <c r="AN990" t="s">
        <v>74</v>
      </c>
      <c r="AO990" t="s">
        <v>8546</v>
      </c>
      <c r="AP990" t="s">
        <v>8547</v>
      </c>
      <c r="AQ990" t="s">
        <v>74</v>
      </c>
      <c r="AR990" t="s">
        <v>74</v>
      </c>
      <c r="AS990" t="s">
        <v>74</v>
      </c>
      <c r="AT990" t="s">
        <v>4246</v>
      </c>
      <c r="AU990">
        <v>2004</v>
      </c>
      <c r="AV990">
        <v>33</v>
      </c>
      <c r="AW990">
        <v>4</v>
      </c>
      <c r="AX990" t="s">
        <v>74</v>
      </c>
      <c r="AY990" t="s">
        <v>74</v>
      </c>
      <c r="AZ990" t="s">
        <v>74</v>
      </c>
      <c r="BA990" t="s">
        <v>74</v>
      </c>
      <c r="BB990">
        <v>396</v>
      </c>
      <c r="BC990">
        <v>397</v>
      </c>
      <c r="BD990" t="s">
        <v>74</v>
      </c>
      <c r="BE990" t="s">
        <v>8548</v>
      </c>
      <c r="BF990" t="str">
        <f>HYPERLINK("http://dx.doi.org/10.1246/cl.2004.396","http://dx.doi.org/10.1246/cl.2004.396")</f>
        <v>http://dx.doi.org/10.1246/cl.2004.396</v>
      </c>
      <c r="BG990" t="s">
        <v>74</v>
      </c>
      <c r="BH990" t="s">
        <v>74</v>
      </c>
      <c r="BI990" t="s">
        <v>74</v>
      </c>
      <c r="BJ990" t="s">
        <v>74</v>
      </c>
      <c r="BK990" t="s">
        <v>74</v>
      </c>
      <c r="BL990" t="s">
        <v>74</v>
      </c>
      <c r="BM990" t="s">
        <v>74</v>
      </c>
      <c r="BN990" t="s">
        <v>74</v>
      </c>
      <c r="BO990" t="s">
        <v>74</v>
      </c>
      <c r="BP990" t="s">
        <v>74</v>
      </c>
      <c r="BQ990" t="s">
        <v>74</v>
      </c>
      <c r="BR990" t="s">
        <v>74</v>
      </c>
      <c r="BS990" t="s">
        <v>8549</v>
      </c>
      <c r="BT990" t="str">
        <f>HYPERLINK("https%3A%2F%2Fwww.webofscience.com%2Fwos%2Fwoscc%2Ffull-record%2FWOS:000220913500016","View Full Record in Web of Science")</f>
        <v>View Full Record in Web of Science</v>
      </c>
    </row>
    <row r="991" spans="1:72" x14ac:dyDescent="0.2">
      <c r="A991" t="s">
        <v>72</v>
      </c>
      <c r="B991" t="s">
        <v>8550</v>
      </c>
      <c r="C991" t="s">
        <v>74</v>
      </c>
      <c r="D991" t="s">
        <v>74</v>
      </c>
      <c r="E991" t="s">
        <v>74</v>
      </c>
      <c r="F991" t="s">
        <v>8550</v>
      </c>
      <c r="G991" t="s">
        <v>74</v>
      </c>
      <c r="H991" t="s">
        <v>74</v>
      </c>
      <c r="I991" t="s">
        <v>8551</v>
      </c>
      <c r="J991" t="s">
        <v>1293</v>
      </c>
      <c r="K991" t="s">
        <v>74</v>
      </c>
      <c r="L991" t="s">
        <v>74</v>
      </c>
      <c r="M991" t="s">
        <v>74</v>
      </c>
      <c r="N991" t="s">
        <v>74</v>
      </c>
      <c r="O991" t="s">
        <v>74</v>
      </c>
      <c r="P991" t="s">
        <v>74</v>
      </c>
      <c r="Q991" t="s">
        <v>74</v>
      </c>
      <c r="R991" t="s">
        <v>74</v>
      </c>
      <c r="S991" t="s">
        <v>74</v>
      </c>
      <c r="T991" t="s">
        <v>74</v>
      </c>
      <c r="U991" t="s">
        <v>74</v>
      </c>
      <c r="V991" t="s">
        <v>8552</v>
      </c>
      <c r="W991" t="s">
        <v>74</v>
      </c>
      <c r="X991" t="s">
        <v>74</v>
      </c>
      <c r="Y991" t="s">
        <v>74</v>
      </c>
      <c r="Z991" t="s">
        <v>74</v>
      </c>
      <c r="AA991" t="s">
        <v>74</v>
      </c>
      <c r="AB991" t="s">
        <v>74</v>
      </c>
      <c r="AC991" t="s">
        <v>74</v>
      </c>
      <c r="AD991" t="s">
        <v>74</v>
      </c>
      <c r="AE991" t="s">
        <v>74</v>
      </c>
      <c r="AF991" t="s">
        <v>74</v>
      </c>
      <c r="AG991" t="s">
        <v>74</v>
      </c>
      <c r="AH991" t="s">
        <v>74</v>
      </c>
      <c r="AI991" t="s">
        <v>74</v>
      </c>
      <c r="AJ991" t="s">
        <v>74</v>
      </c>
      <c r="AK991" t="s">
        <v>74</v>
      </c>
      <c r="AL991" t="s">
        <v>74</v>
      </c>
      <c r="AM991" t="s">
        <v>74</v>
      </c>
      <c r="AN991" t="s">
        <v>74</v>
      </c>
      <c r="AO991" t="s">
        <v>1297</v>
      </c>
      <c r="AP991" t="s">
        <v>1298</v>
      </c>
      <c r="AQ991" t="s">
        <v>74</v>
      </c>
      <c r="AR991" t="s">
        <v>74</v>
      </c>
      <c r="AS991" t="s">
        <v>74</v>
      </c>
      <c r="AT991" t="s">
        <v>74</v>
      </c>
      <c r="AU991">
        <v>2004</v>
      </c>
      <c r="AV991">
        <v>151</v>
      </c>
      <c r="AW991">
        <v>9</v>
      </c>
      <c r="AX991" t="s">
        <v>74</v>
      </c>
      <c r="AY991" t="s">
        <v>74</v>
      </c>
      <c r="AZ991" t="s">
        <v>74</v>
      </c>
      <c r="BA991" t="s">
        <v>74</v>
      </c>
      <c r="BB991" t="s">
        <v>8553</v>
      </c>
      <c r="BC991" t="s">
        <v>8554</v>
      </c>
      <c r="BD991" t="s">
        <v>74</v>
      </c>
      <c r="BE991" t="s">
        <v>8555</v>
      </c>
      <c r="BF991" t="str">
        <f>HYPERLINK("http://dx.doi.org/10.1149/1.1779407","http://dx.doi.org/10.1149/1.1779407")</f>
        <v>http://dx.doi.org/10.1149/1.1779407</v>
      </c>
      <c r="BG991" t="s">
        <v>74</v>
      </c>
      <c r="BH991" t="s">
        <v>74</v>
      </c>
      <c r="BI991" t="s">
        <v>74</v>
      </c>
      <c r="BJ991" t="s">
        <v>74</v>
      </c>
      <c r="BK991" t="s">
        <v>74</v>
      </c>
      <c r="BL991" t="s">
        <v>74</v>
      </c>
      <c r="BM991" t="s">
        <v>74</v>
      </c>
      <c r="BN991" t="s">
        <v>74</v>
      </c>
      <c r="BO991" t="s">
        <v>74</v>
      </c>
      <c r="BP991" t="s">
        <v>74</v>
      </c>
      <c r="BQ991" t="s">
        <v>74</v>
      </c>
      <c r="BR991" t="s">
        <v>74</v>
      </c>
      <c r="BS991" t="s">
        <v>8556</v>
      </c>
      <c r="BT991" t="str">
        <f>HYPERLINK("https%3A%2F%2Fwww.webofscience.com%2Fwos%2Fwoscc%2Ffull-record%2FWOS:000223622000020","View Full Record in Web of Science")</f>
        <v>View Full Record in Web of Science</v>
      </c>
    </row>
    <row r="992" spans="1:72" x14ac:dyDescent="0.2">
      <c r="A992" t="s">
        <v>72</v>
      </c>
      <c r="B992" t="s">
        <v>8557</v>
      </c>
      <c r="C992" t="s">
        <v>74</v>
      </c>
      <c r="D992" t="s">
        <v>74</v>
      </c>
      <c r="E992" t="s">
        <v>74</v>
      </c>
      <c r="F992" t="s">
        <v>8557</v>
      </c>
      <c r="G992" t="s">
        <v>74</v>
      </c>
      <c r="H992" t="s">
        <v>74</v>
      </c>
      <c r="I992" t="s">
        <v>8558</v>
      </c>
      <c r="J992" t="s">
        <v>6972</v>
      </c>
      <c r="K992" t="s">
        <v>74</v>
      </c>
      <c r="L992" t="s">
        <v>74</v>
      </c>
      <c r="M992" t="s">
        <v>74</v>
      </c>
      <c r="N992" t="s">
        <v>74</v>
      </c>
      <c r="O992" t="s">
        <v>74</v>
      </c>
      <c r="P992" t="s">
        <v>74</v>
      </c>
      <c r="Q992" t="s">
        <v>74</v>
      </c>
      <c r="R992" t="s">
        <v>74</v>
      </c>
      <c r="S992" t="s">
        <v>74</v>
      </c>
      <c r="T992" t="s">
        <v>74</v>
      </c>
      <c r="U992" t="s">
        <v>74</v>
      </c>
      <c r="V992" t="s">
        <v>8559</v>
      </c>
      <c r="W992" t="s">
        <v>74</v>
      </c>
      <c r="X992" t="s">
        <v>74</v>
      </c>
      <c r="Y992" t="s">
        <v>74</v>
      </c>
      <c r="Z992" t="s">
        <v>74</v>
      </c>
      <c r="AA992" t="s">
        <v>8560</v>
      </c>
      <c r="AB992" t="s">
        <v>8561</v>
      </c>
      <c r="AC992" t="s">
        <v>74</v>
      </c>
      <c r="AD992" t="s">
        <v>74</v>
      </c>
      <c r="AE992" t="s">
        <v>74</v>
      </c>
      <c r="AF992" t="s">
        <v>74</v>
      </c>
      <c r="AG992" t="s">
        <v>74</v>
      </c>
      <c r="AH992" t="s">
        <v>74</v>
      </c>
      <c r="AI992" t="s">
        <v>74</v>
      </c>
      <c r="AJ992" t="s">
        <v>74</v>
      </c>
      <c r="AK992" t="s">
        <v>74</v>
      </c>
      <c r="AL992" t="s">
        <v>74</v>
      </c>
      <c r="AM992" t="s">
        <v>74</v>
      </c>
      <c r="AN992" t="s">
        <v>74</v>
      </c>
      <c r="AO992" t="s">
        <v>6975</v>
      </c>
      <c r="AP992" t="s">
        <v>6976</v>
      </c>
      <c r="AQ992" t="s">
        <v>74</v>
      </c>
      <c r="AR992" t="s">
        <v>74</v>
      </c>
      <c r="AS992" t="s">
        <v>74</v>
      </c>
      <c r="AT992" t="s">
        <v>74</v>
      </c>
      <c r="AU992">
        <v>2004</v>
      </c>
      <c r="AV992">
        <v>630</v>
      </c>
      <c r="AW992">
        <v>5</v>
      </c>
      <c r="AX992" t="s">
        <v>74</v>
      </c>
      <c r="AY992" t="s">
        <v>74</v>
      </c>
      <c r="AZ992" t="s">
        <v>74</v>
      </c>
      <c r="BA992" t="s">
        <v>74</v>
      </c>
      <c r="BB992">
        <v>655</v>
      </c>
      <c r="BC992">
        <v>662</v>
      </c>
      <c r="BD992" t="s">
        <v>74</v>
      </c>
      <c r="BE992" t="s">
        <v>8562</v>
      </c>
      <c r="BF992" t="str">
        <f>HYPERLINK("http://dx.doi.org/10.1002/zaac.200400002","http://dx.doi.org/10.1002/zaac.200400002")</f>
        <v>http://dx.doi.org/10.1002/zaac.200400002</v>
      </c>
      <c r="BG992" t="s">
        <v>74</v>
      </c>
      <c r="BH992" t="s">
        <v>74</v>
      </c>
      <c r="BI992" t="s">
        <v>74</v>
      </c>
      <c r="BJ992" t="s">
        <v>74</v>
      </c>
      <c r="BK992" t="s">
        <v>74</v>
      </c>
      <c r="BL992" t="s">
        <v>74</v>
      </c>
      <c r="BM992" t="s">
        <v>74</v>
      </c>
      <c r="BN992" t="s">
        <v>74</v>
      </c>
      <c r="BO992" t="s">
        <v>74</v>
      </c>
      <c r="BP992" t="s">
        <v>74</v>
      </c>
      <c r="BQ992" t="s">
        <v>74</v>
      </c>
      <c r="BR992" t="s">
        <v>74</v>
      </c>
      <c r="BS992" t="s">
        <v>8563</v>
      </c>
      <c r="BT992" t="str">
        <f>HYPERLINK("https%3A%2F%2Fwww.webofscience.com%2Fwos%2Fwoscc%2Ffull-record%2FWOS:000221884100008","View Full Record in Web of Science")</f>
        <v>View Full Record in Web of Science</v>
      </c>
    </row>
    <row r="993" spans="1:72" x14ac:dyDescent="0.2">
      <c r="A993" t="s">
        <v>72</v>
      </c>
      <c r="B993" t="s">
        <v>8564</v>
      </c>
      <c r="C993" t="s">
        <v>74</v>
      </c>
      <c r="D993" t="s">
        <v>74</v>
      </c>
      <c r="E993" t="s">
        <v>74</v>
      </c>
      <c r="F993" t="s">
        <v>8564</v>
      </c>
      <c r="G993" t="s">
        <v>74</v>
      </c>
      <c r="H993" t="s">
        <v>74</v>
      </c>
      <c r="I993" t="s">
        <v>8565</v>
      </c>
      <c r="J993" t="s">
        <v>1293</v>
      </c>
      <c r="K993" t="s">
        <v>74</v>
      </c>
      <c r="L993" t="s">
        <v>74</v>
      </c>
      <c r="M993" t="s">
        <v>74</v>
      </c>
      <c r="N993" t="s">
        <v>74</v>
      </c>
      <c r="O993" t="s">
        <v>74</v>
      </c>
      <c r="P993" t="s">
        <v>74</v>
      </c>
      <c r="Q993" t="s">
        <v>74</v>
      </c>
      <c r="R993" t="s">
        <v>74</v>
      </c>
      <c r="S993" t="s">
        <v>74</v>
      </c>
      <c r="T993" t="s">
        <v>74</v>
      </c>
      <c r="U993" t="s">
        <v>74</v>
      </c>
      <c r="V993" t="s">
        <v>8566</v>
      </c>
      <c r="W993" t="s">
        <v>74</v>
      </c>
      <c r="X993" t="s">
        <v>74</v>
      </c>
      <c r="Y993" t="s">
        <v>74</v>
      </c>
      <c r="Z993" t="s">
        <v>74</v>
      </c>
      <c r="AA993" t="s">
        <v>8567</v>
      </c>
      <c r="AB993" t="s">
        <v>8568</v>
      </c>
      <c r="AC993" t="s">
        <v>74</v>
      </c>
      <c r="AD993" t="s">
        <v>74</v>
      </c>
      <c r="AE993" t="s">
        <v>74</v>
      </c>
      <c r="AF993" t="s">
        <v>74</v>
      </c>
      <c r="AG993" t="s">
        <v>74</v>
      </c>
      <c r="AH993" t="s">
        <v>74</v>
      </c>
      <c r="AI993" t="s">
        <v>74</v>
      </c>
      <c r="AJ993" t="s">
        <v>74</v>
      </c>
      <c r="AK993" t="s">
        <v>74</v>
      </c>
      <c r="AL993" t="s">
        <v>74</v>
      </c>
      <c r="AM993" t="s">
        <v>74</v>
      </c>
      <c r="AN993" t="s">
        <v>74</v>
      </c>
      <c r="AO993" t="s">
        <v>1297</v>
      </c>
      <c r="AP993" t="s">
        <v>1298</v>
      </c>
      <c r="AQ993" t="s">
        <v>74</v>
      </c>
      <c r="AR993" t="s">
        <v>74</v>
      </c>
      <c r="AS993" t="s">
        <v>74</v>
      </c>
      <c r="AT993" t="s">
        <v>74</v>
      </c>
      <c r="AU993">
        <v>2004</v>
      </c>
      <c r="AV993">
        <v>151</v>
      </c>
      <c r="AW993">
        <v>4</v>
      </c>
      <c r="AX993" t="s">
        <v>74</v>
      </c>
      <c r="AY993" t="s">
        <v>74</v>
      </c>
      <c r="AZ993" t="s">
        <v>74</v>
      </c>
      <c r="BA993" t="s">
        <v>74</v>
      </c>
      <c r="BB993" t="s">
        <v>8569</v>
      </c>
      <c r="BC993" t="s">
        <v>8570</v>
      </c>
      <c r="BD993" t="s">
        <v>74</v>
      </c>
      <c r="BE993" t="s">
        <v>8571</v>
      </c>
      <c r="BF993" t="str">
        <f>HYPERLINK("http://dx.doi.org/10.1149/1.1651528","http://dx.doi.org/10.1149/1.1651528")</f>
        <v>http://dx.doi.org/10.1149/1.1651528</v>
      </c>
      <c r="BG993" t="s">
        <v>74</v>
      </c>
      <c r="BH993" t="s">
        <v>74</v>
      </c>
      <c r="BI993" t="s">
        <v>74</v>
      </c>
      <c r="BJ993" t="s">
        <v>74</v>
      </c>
      <c r="BK993" t="s">
        <v>74</v>
      </c>
      <c r="BL993" t="s">
        <v>74</v>
      </c>
      <c r="BM993" t="s">
        <v>74</v>
      </c>
      <c r="BN993" t="s">
        <v>74</v>
      </c>
      <c r="BO993" t="s">
        <v>74</v>
      </c>
      <c r="BP993" t="s">
        <v>74</v>
      </c>
      <c r="BQ993" t="s">
        <v>74</v>
      </c>
      <c r="BR993" t="s">
        <v>74</v>
      </c>
      <c r="BS993" t="s">
        <v>8572</v>
      </c>
      <c r="BT993" t="str">
        <f>HYPERLINK("https%3A%2F%2Fwww.webofscience.com%2Fwos%2Fwoscc%2Ffull-record%2FWOS:000220560700021","View Full Record in Web of Science")</f>
        <v>View Full Record in Web of Science</v>
      </c>
    </row>
    <row r="994" spans="1:72" x14ac:dyDescent="0.2">
      <c r="A994" t="s">
        <v>72</v>
      </c>
      <c r="B994" t="s">
        <v>8573</v>
      </c>
      <c r="C994" t="s">
        <v>74</v>
      </c>
      <c r="D994" t="s">
        <v>74</v>
      </c>
      <c r="E994" t="s">
        <v>74</v>
      </c>
      <c r="F994" t="s">
        <v>8573</v>
      </c>
      <c r="G994" t="s">
        <v>74</v>
      </c>
      <c r="H994" t="s">
        <v>74</v>
      </c>
      <c r="I994" t="s">
        <v>8574</v>
      </c>
      <c r="J994" t="s">
        <v>2969</v>
      </c>
      <c r="K994" t="s">
        <v>74</v>
      </c>
      <c r="L994" t="s">
        <v>74</v>
      </c>
      <c r="M994" t="s">
        <v>74</v>
      </c>
      <c r="N994" t="s">
        <v>74</v>
      </c>
      <c r="O994" t="s">
        <v>8575</v>
      </c>
      <c r="P994" t="s">
        <v>8576</v>
      </c>
      <c r="Q994" t="s">
        <v>8577</v>
      </c>
      <c r="R994" t="s">
        <v>74</v>
      </c>
      <c r="S994" t="s">
        <v>74</v>
      </c>
      <c r="T994" t="s">
        <v>74</v>
      </c>
      <c r="U994" t="s">
        <v>74</v>
      </c>
      <c r="V994" t="s">
        <v>8578</v>
      </c>
      <c r="W994" t="s">
        <v>74</v>
      </c>
      <c r="X994" t="s">
        <v>74</v>
      </c>
      <c r="Y994" t="s">
        <v>74</v>
      </c>
      <c r="Z994" t="s">
        <v>74</v>
      </c>
      <c r="AA994" t="s">
        <v>8579</v>
      </c>
      <c r="AB994" t="s">
        <v>8580</v>
      </c>
      <c r="AC994" t="s">
        <v>74</v>
      </c>
      <c r="AD994" t="s">
        <v>74</v>
      </c>
      <c r="AE994" t="s">
        <v>74</v>
      </c>
      <c r="AF994" t="s">
        <v>74</v>
      </c>
      <c r="AG994" t="s">
        <v>74</v>
      </c>
      <c r="AH994" t="s">
        <v>74</v>
      </c>
      <c r="AI994" t="s">
        <v>74</v>
      </c>
      <c r="AJ994" t="s">
        <v>74</v>
      </c>
      <c r="AK994" t="s">
        <v>74</v>
      </c>
      <c r="AL994" t="s">
        <v>74</v>
      </c>
      <c r="AM994" t="s">
        <v>74</v>
      </c>
      <c r="AN994" t="s">
        <v>74</v>
      </c>
      <c r="AO994" t="s">
        <v>2972</v>
      </c>
      <c r="AP994" t="s">
        <v>74</v>
      </c>
      <c r="AQ994" t="s">
        <v>74</v>
      </c>
      <c r="AR994" t="s">
        <v>74</v>
      </c>
      <c r="AS994" t="s">
        <v>74</v>
      </c>
      <c r="AT994" t="s">
        <v>1318</v>
      </c>
      <c r="AU994">
        <v>2003</v>
      </c>
      <c r="AV994">
        <v>8</v>
      </c>
      <c r="AW994">
        <v>1</v>
      </c>
      <c r="AX994" t="s">
        <v>74</v>
      </c>
      <c r="AY994" t="s">
        <v>74</v>
      </c>
      <c r="AZ994" t="s">
        <v>74</v>
      </c>
      <c r="BA994" t="s">
        <v>74</v>
      </c>
      <c r="BB994">
        <v>55</v>
      </c>
      <c r="BC994">
        <v>58</v>
      </c>
      <c r="BD994" t="s">
        <v>74</v>
      </c>
      <c r="BE994" t="s">
        <v>8581</v>
      </c>
      <c r="BF994" t="str">
        <f>HYPERLINK("http://dx.doi.org/10.1007/s10008-003-0400-1","http://dx.doi.org/10.1007/s10008-003-0400-1")</f>
        <v>http://dx.doi.org/10.1007/s10008-003-0400-1</v>
      </c>
      <c r="BG994" t="s">
        <v>74</v>
      </c>
      <c r="BH994" t="s">
        <v>74</v>
      </c>
      <c r="BI994" t="s">
        <v>74</v>
      </c>
      <c r="BJ994" t="s">
        <v>74</v>
      </c>
      <c r="BK994" t="s">
        <v>74</v>
      </c>
      <c r="BL994" t="s">
        <v>74</v>
      </c>
      <c r="BM994" t="s">
        <v>74</v>
      </c>
      <c r="BN994" t="s">
        <v>74</v>
      </c>
      <c r="BO994" t="s">
        <v>74</v>
      </c>
      <c r="BP994" t="s">
        <v>74</v>
      </c>
      <c r="BQ994" t="s">
        <v>74</v>
      </c>
      <c r="BR994" t="s">
        <v>74</v>
      </c>
      <c r="BS994" t="s">
        <v>8582</v>
      </c>
      <c r="BT994" t="str">
        <f>HYPERLINK("https%3A%2F%2Fwww.webofscience.com%2Fwos%2Fwoscc%2Ffull-record%2FWOS:000187186000016","View Full Record in Web of Science")</f>
        <v>View Full Record in Web of Science</v>
      </c>
    </row>
    <row r="995" spans="1:72" x14ac:dyDescent="0.2">
      <c r="A995" t="s">
        <v>72</v>
      </c>
      <c r="B995" t="s">
        <v>8583</v>
      </c>
      <c r="C995" t="s">
        <v>74</v>
      </c>
      <c r="D995" t="s">
        <v>74</v>
      </c>
      <c r="E995" t="s">
        <v>74</v>
      </c>
      <c r="F995" t="s">
        <v>8583</v>
      </c>
      <c r="G995" t="s">
        <v>74</v>
      </c>
      <c r="H995" t="s">
        <v>74</v>
      </c>
      <c r="I995" t="s">
        <v>8584</v>
      </c>
      <c r="J995" t="s">
        <v>6277</v>
      </c>
      <c r="K995" t="s">
        <v>74</v>
      </c>
      <c r="L995" t="s">
        <v>74</v>
      </c>
      <c r="M995" t="s">
        <v>74</v>
      </c>
      <c r="N995" t="s">
        <v>74</v>
      </c>
      <c r="O995" t="s">
        <v>74</v>
      </c>
      <c r="P995" t="s">
        <v>74</v>
      </c>
      <c r="Q995" t="s">
        <v>74</v>
      </c>
      <c r="R995" t="s">
        <v>74</v>
      </c>
      <c r="S995" t="s">
        <v>74</v>
      </c>
      <c r="T995" t="s">
        <v>74</v>
      </c>
      <c r="U995" t="s">
        <v>74</v>
      </c>
      <c r="V995" t="s">
        <v>8585</v>
      </c>
      <c r="W995" t="s">
        <v>74</v>
      </c>
      <c r="X995" t="s">
        <v>74</v>
      </c>
      <c r="Y995" t="s">
        <v>74</v>
      </c>
      <c r="Z995" t="s">
        <v>74</v>
      </c>
      <c r="AA995" t="s">
        <v>8531</v>
      </c>
      <c r="AB995" t="s">
        <v>8200</v>
      </c>
      <c r="AC995" t="s">
        <v>74</v>
      </c>
      <c r="AD995" t="s">
        <v>74</v>
      </c>
      <c r="AE995" t="s">
        <v>74</v>
      </c>
      <c r="AF995" t="s">
        <v>74</v>
      </c>
      <c r="AG995" t="s">
        <v>74</v>
      </c>
      <c r="AH995" t="s">
        <v>74</v>
      </c>
      <c r="AI995" t="s">
        <v>74</v>
      </c>
      <c r="AJ995" t="s">
        <v>74</v>
      </c>
      <c r="AK995" t="s">
        <v>74</v>
      </c>
      <c r="AL995" t="s">
        <v>74</v>
      </c>
      <c r="AM995" t="s">
        <v>74</v>
      </c>
      <c r="AN995" t="s">
        <v>74</v>
      </c>
      <c r="AO995" t="s">
        <v>6280</v>
      </c>
      <c r="AP995" t="s">
        <v>74</v>
      </c>
      <c r="AQ995" t="s">
        <v>74</v>
      </c>
      <c r="AR995" t="s">
        <v>74</v>
      </c>
      <c r="AS995" t="s">
        <v>74</v>
      </c>
      <c r="AT995" t="s">
        <v>1318</v>
      </c>
      <c r="AU995">
        <v>2003</v>
      </c>
      <c r="AV995">
        <v>71</v>
      </c>
      <c r="AW995">
        <v>12</v>
      </c>
      <c r="AX995" t="s">
        <v>74</v>
      </c>
      <c r="AY995" t="s">
        <v>74</v>
      </c>
      <c r="AZ995" t="s">
        <v>74</v>
      </c>
      <c r="BA995" t="s">
        <v>74</v>
      </c>
      <c r="BB995">
        <v>1201</v>
      </c>
      <c r="BC995">
        <v>1204</v>
      </c>
      <c r="BD995" t="s">
        <v>74</v>
      </c>
      <c r="BE995" t="s">
        <v>8586</v>
      </c>
      <c r="BF995" t="str">
        <f>HYPERLINK("http://dx.doi.org/10.5796/electrochemistry.71.1201","http://dx.doi.org/10.5796/electrochemistry.71.1201")</f>
        <v>http://dx.doi.org/10.5796/electrochemistry.71.1201</v>
      </c>
      <c r="BG995" t="s">
        <v>74</v>
      </c>
      <c r="BH995" t="s">
        <v>74</v>
      </c>
      <c r="BI995" t="s">
        <v>74</v>
      </c>
      <c r="BJ995" t="s">
        <v>74</v>
      </c>
      <c r="BK995" t="s">
        <v>74</v>
      </c>
      <c r="BL995" t="s">
        <v>74</v>
      </c>
      <c r="BM995" t="s">
        <v>74</v>
      </c>
      <c r="BN995" t="s">
        <v>74</v>
      </c>
      <c r="BO995" t="s">
        <v>74</v>
      </c>
      <c r="BP995" t="s">
        <v>74</v>
      </c>
      <c r="BQ995" t="s">
        <v>74</v>
      </c>
      <c r="BR995" t="s">
        <v>74</v>
      </c>
      <c r="BS995" t="s">
        <v>8587</v>
      </c>
      <c r="BT995" t="str">
        <f>HYPERLINK("https%3A%2F%2Fwww.webofscience.com%2Fwos%2Fwoscc%2Ffull-record%2FWOS:000187246700059","View Full Record in Web of Science")</f>
        <v>View Full Record in Web of Science</v>
      </c>
    </row>
    <row r="996" spans="1:72" x14ac:dyDescent="0.2">
      <c r="A996" t="s">
        <v>72</v>
      </c>
      <c r="B996" t="s">
        <v>8588</v>
      </c>
      <c r="C996" t="s">
        <v>74</v>
      </c>
      <c r="D996" t="s">
        <v>74</v>
      </c>
      <c r="E996" t="s">
        <v>74</v>
      </c>
      <c r="F996" t="s">
        <v>8588</v>
      </c>
      <c r="G996" t="s">
        <v>74</v>
      </c>
      <c r="H996" t="s">
        <v>74</v>
      </c>
      <c r="I996" t="s">
        <v>8589</v>
      </c>
      <c r="J996" t="s">
        <v>8118</v>
      </c>
      <c r="K996" t="s">
        <v>74</v>
      </c>
      <c r="L996" t="s">
        <v>74</v>
      </c>
      <c r="M996" t="s">
        <v>74</v>
      </c>
      <c r="N996" t="s">
        <v>74</v>
      </c>
      <c r="O996" t="s">
        <v>74</v>
      </c>
      <c r="P996" t="s">
        <v>74</v>
      </c>
      <c r="Q996" t="s">
        <v>74</v>
      </c>
      <c r="R996" t="s">
        <v>74</v>
      </c>
      <c r="S996" t="s">
        <v>74</v>
      </c>
      <c r="T996" t="s">
        <v>74</v>
      </c>
      <c r="U996" t="s">
        <v>74</v>
      </c>
      <c r="V996" t="s">
        <v>8590</v>
      </c>
      <c r="W996" t="s">
        <v>74</v>
      </c>
      <c r="X996" t="s">
        <v>74</v>
      </c>
      <c r="Y996" t="s">
        <v>74</v>
      </c>
      <c r="Z996" t="s">
        <v>74</v>
      </c>
      <c r="AA996" t="s">
        <v>8591</v>
      </c>
      <c r="AB996" t="s">
        <v>74</v>
      </c>
      <c r="AC996" t="s">
        <v>74</v>
      </c>
      <c r="AD996" t="s">
        <v>74</v>
      </c>
      <c r="AE996" t="s">
        <v>74</v>
      </c>
      <c r="AF996" t="s">
        <v>74</v>
      </c>
      <c r="AG996" t="s">
        <v>74</v>
      </c>
      <c r="AH996" t="s">
        <v>74</v>
      </c>
      <c r="AI996" t="s">
        <v>74</v>
      </c>
      <c r="AJ996" t="s">
        <v>74</v>
      </c>
      <c r="AK996" t="s">
        <v>74</v>
      </c>
      <c r="AL996" t="s">
        <v>74</v>
      </c>
      <c r="AM996" t="s">
        <v>74</v>
      </c>
      <c r="AN996" t="s">
        <v>74</v>
      </c>
      <c r="AO996" t="s">
        <v>8122</v>
      </c>
      <c r="AP996" t="s">
        <v>74</v>
      </c>
      <c r="AQ996" t="s">
        <v>74</v>
      </c>
      <c r="AR996" t="s">
        <v>74</v>
      </c>
      <c r="AS996" t="s">
        <v>74</v>
      </c>
      <c r="AT996" t="s">
        <v>1972</v>
      </c>
      <c r="AU996">
        <v>2003</v>
      </c>
      <c r="AV996">
        <v>6</v>
      </c>
      <c r="AW996">
        <v>6</v>
      </c>
      <c r="AX996" t="s">
        <v>74</v>
      </c>
      <c r="AY996" t="s">
        <v>74</v>
      </c>
      <c r="AZ996" t="s">
        <v>74</v>
      </c>
      <c r="BA996" t="s">
        <v>74</v>
      </c>
      <c r="BB996" t="s">
        <v>8592</v>
      </c>
      <c r="BC996" t="s">
        <v>8593</v>
      </c>
      <c r="BD996" t="s">
        <v>74</v>
      </c>
      <c r="BE996" t="s">
        <v>8594</v>
      </c>
      <c r="BF996" t="str">
        <f>HYPERLINK("http://dx.doi.org/10.1149/1.1568831","http://dx.doi.org/10.1149/1.1568831")</f>
        <v>http://dx.doi.org/10.1149/1.1568831</v>
      </c>
      <c r="BG996" t="s">
        <v>74</v>
      </c>
      <c r="BH996" t="s">
        <v>74</v>
      </c>
      <c r="BI996" t="s">
        <v>74</v>
      </c>
      <c r="BJ996" t="s">
        <v>74</v>
      </c>
      <c r="BK996" t="s">
        <v>74</v>
      </c>
      <c r="BL996" t="s">
        <v>74</v>
      </c>
      <c r="BM996" t="s">
        <v>74</v>
      </c>
      <c r="BN996" t="s">
        <v>74</v>
      </c>
      <c r="BO996" t="s">
        <v>74</v>
      </c>
      <c r="BP996" t="s">
        <v>74</v>
      </c>
      <c r="BQ996" t="s">
        <v>74</v>
      </c>
      <c r="BR996" t="s">
        <v>74</v>
      </c>
      <c r="BS996" t="s">
        <v>8595</v>
      </c>
      <c r="BT996" t="str">
        <f>HYPERLINK("https%3A%2F%2Fwww.webofscience.com%2Fwos%2Fwoscc%2Ffull-record%2FWOS:000182269700005","View Full Record in Web of Science")</f>
        <v>View Full Record in Web of Science</v>
      </c>
    </row>
    <row r="997" spans="1:72" x14ac:dyDescent="0.2">
      <c r="A997" t="s">
        <v>72</v>
      </c>
      <c r="B997" t="s">
        <v>8596</v>
      </c>
      <c r="C997" t="s">
        <v>74</v>
      </c>
      <c r="D997" t="s">
        <v>74</v>
      </c>
      <c r="E997" t="s">
        <v>74</v>
      </c>
      <c r="F997" t="s">
        <v>8596</v>
      </c>
      <c r="G997" t="s">
        <v>74</v>
      </c>
      <c r="H997" t="s">
        <v>74</v>
      </c>
      <c r="I997" t="s">
        <v>8597</v>
      </c>
      <c r="J997" t="s">
        <v>98</v>
      </c>
      <c r="K997" t="s">
        <v>74</v>
      </c>
      <c r="L997" t="s">
        <v>74</v>
      </c>
      <c r="M997" t="s">
        <v>74</v>
      </c>
      <c r="N997" t="s">
        <v>74</v>
      </c>
      <c r="O997" t="s">
        <v>74</v>
      </c>
      <c r="P997" t="s">
        <v>74</v>
      </c>
      <c r="Q997" t="s">
        <v>74</v>
      </c>
      <c r="R997" t="s">
        <v>74</v>
      </c>
      <c r="S997" t="s">
        <v>74</v>
      </c>
      <c r="T997" t="s">
        <v>74</v>
      </c>
      <c r="U997" t="s">
        <v>74</v>
      </c>
      <c r="V997" t="s">
        <v>8598</v>
      </c>
      <c r="W997" t="s">
        <v>74</v>
      </c>
      <c r="X997" t="s">
        <v>74</v>
      </c>
      <c r="Y997" t="s">
        <v>74</v>
      </c>
      <c r="Z997" t="s">
        <v>74</v>
      </c>
      <c r="AA997" t="s">
        <v>8599</v>
      </c>
      <c r="AB997" t="s">
        <v>8600</v>
      </c>
      <c r="AC997" t="s">
        <v>74</v>
      </c>
      <c r="AD997" t="s">
        <v>74</v>
      </c>
      <c r="AE997" t="s">
        <v>74</v>
      </c>
      <c r="AF997" t="s">
        <v>74</v>
      </c>
      <c r="AG997" t="s">
        <v>74</v>
      </c>
      <c r="AH997" t="s">
        <v>74</v>
      </c>
      <c r="AI997" t="s">
        <v>74</v>
      </c>
      <c r="AJ997" t="s">
        <v>74</v>
      </c>
      <c r="AK997" t="s">
        <v>74</v>
      </c>
      <c r="AL997" t="s">
        <v>74</v>
      </c>
      <c r="AM997" t="s">
        <v>74</v>
      </c>
      <c r="AN997" t="s">
        <v>74</v>
      </c>
      <c r="AO997" t="s">
        <v>101</v>
      </c>
      <c r="AP997" t="s">
        <v>102</v>
      </c>
      <c r="AQ997" t="s">
        <v>74</v>
      </c>
      <c r="AR997" t="s">
        <v>74</v>
      </c>
      <c r="AS997" t="s">
        <v>74</v>
      </c>
      <c r="AT997" t="s">
        <v>717</v>
      </c>
      <c r="AU997">
        <v>2003</v>
      </c>
      <c r="AV997">
        <v>117</v>
      </c>
      <c r="AW997" t="s">
        <v>8449</v>
      </c>
      <c r="AX997" t="s">
        <v>74</v>
      </c>
      <c r="AY997" t="s">
        <v>74</v>
      </c>
      <c r="AZ997" t="s">
        <v>74</v>
      </c>
      <c r="BA997" t="s">
        <v>74</v>
      </c>
      <c r="BB997">
        <v>143</v>
      </c>
      <c r="BC997">
        <v>147</v>
      </c>
      <c r="BD997" t="s">
        <v>74</v>
      </c>
      <c r="BE997" t="s">
        <v>8601</v>
      </c>
      <c r="BF997" t="str">
        <f>HYPERLINK("http://dx.doi.org/10.1016/S0378-7753(03)00110-1","http://dx.doi.org/10.1016/S0378-7753(03)00110-1")</f>
        <v>http://dx.doi.org/10.1016/S0378-7753(03)00110-1</v>
      </c>
      <c r="BG997" t="s">
        <v>74</v>
      </c>
      <c r="BH997" t="s">
        <v>74</v>
      </c>
      <c r="BI997" t="s">
        <v>74</v>
      </c>
      <c r="BJ997" t="s">
        <v>74</v>
      </c>
      <c r="BK997" t="s">
        <v>74</v>
      </c>
      <c r="BL997" t="s">
        <v>74</v>
      </c>
      <c r="BM997" t="s">
        <v>74</v>
      </c>
      <c r="BN997" t="s">
        <v>74</v>
      </c>
      <c r="BO997" t="s">
        <v>74</v>
      </c>
      <c r="BP997" t="s">
        <v>74</v>
      </c>
      <c r="BQ997" t="s">
        <v>74</v>
      </c>
      <c r="BR997" t="s">
        <v>74</v>
      </c>
      <c r="BS997" t="s">
        <v>8602</v>
      </c>
      <c r="BT997" t="str">
        <f>HYPERLINK("https%3A%2F%2Fwww.webofscience.com%2Fwos%2Fwoscc%2Ffull-record%2FWOS:000183155700020","View Full Record in Web of Science")</f>
        <v>View Full Record in Web of Science</v>
      </c>
    </row>
    <row r="998" spans="1:72" x14ac:dyDescent="0.2">
      <c r="A998" t="s">
        <v>72</v>
      </c>
      <c r="B998" t="s">
        <v>8603</v>
      </c>
      <c r="C998" t="s">
        <v>74</v>
      </c>
      <c r="D998" t="s">
        <v>74</v>
      </c>
      <c r="E998" t="s">
        <v>74</v>
      </c>
      <c r="F998" t="s">
        <v>8603</v>
      </c>
      <c r="G998" t="s">
        <v>74</v>
      </c>
      <c r="H998" t="s">
        <v>74</v>
      </c>
      <c r="I998" t="s">
        <v>8604</v>
      </c>
      <c r="J998" t="s">
        <v>1293</v>
      </c>
      <c r="K998" t="s">
        <v>74</v>
      </c>
      <c r="L998" t="s">
        <v>74</v>
      </c>
      <c r="M998" t="s">
        <v>74</v>
      </c>
      <c r="N998" t="s">
        <v>74</v>
      </c>
      <c r="O998" t="s">
        <v>74</v>
      </c>
      <c r="P998" t="s">
        <v>74</v>
      </c>
      <c r="Q998" t="s">
        <v>74</v>
      </c>
      <c r="R998" t="s">
        <v>74</v>
      </c>
      <c r="S998" t="s">
        <v>74</v>
      </c>
      <c r="T998" t="s">
        <v>74</v>
      </c>
      <c r="U998" t="s">
        <v>74</v>
      </c>
      <c r="V998" t="s">
        <v>8605</v>
      </c>
      <c r="W998" t="s">
        <v>74</v>
      </c>
      <c r="X998" t="s">
        <v>74</v>
      </c>
      <c r="Y998" t="s">
        <v>74</v>
      </c>
      <c r="Z998" t="s">
        <v>74</v>
      </c>
      <c r="AA998" t="s">
        <v>8440</v>
      </c>
      <c r="AB998" t="s">
        <v>8441</v>
      </c>
      <c r="AC998" t="s">
        <v>74</v>
      </c>
      <c r="AD998" t="s">
        <v>74</v>
      </c>
      <c r="AE998" t="s">
        <v>74</v>
      </c>
      <c r="AF998" t="s">
        <v>74</v>
      </c>
      <c r="AG998" t="s">
        <v>74</v>
      </c>
      <c r="AH998" t="s">
        <v>74</v>
      </c>
      <c r="AI998" t="s">
        <v>74</v>
      </c>
      <c r="AJ998" t="s">
        <v>74</v>
      </c>
      <c r="AK998" t="s">
        <v>74</v>
      </c>
      <c r="AL998" t="s">
        <v>74</v>
      </c>
      <c r="AM998" t="s">
        <v>74</v>
      </c>
      <c r="AN998" t="s">
        <v>74</v>
      </c>
      <c r="AO998" t="s">
        <v>1297</v>
      </c>
      <c r="AP998" t="s">
        <v>1298</v>
      </c>
      <c r="AQ998" t="s">
        <v>74</v>
      </c>
      <c r="AR998" t="s">
        <v>74</v>
      </c>
      <c r="AS998" t="s">
        <v>74</v>
      </c>
      <c r="AT998" t="s">
        <v>545</v>
      </c>
      <c r="AU998">
        <v>2003</v>
      </c>
      <c r="AV998">
        <v>150</v>
      </c>
      <c r="AW998">
        <v>5</v>
      </c>
      <c r="AX998" t="s">
        <v>74</v>
      </c>
      <c r="AY998" t="s">
        <v>74</v>
      </c>
      <c r="AZ998" t="s">
        <v>74</v>
      </c>
      <c r="BA998" t="s">
        <v>74</v>
      </c>
      <c r="BB998" t="s">
        <v>8606</v>
      </c>
      <c r="BC998" t="s">
        <v>8607</v>
      </c>
      <c r="BD998" t="s">
        <v>74</v>
      </c>
      <c r="BE998" t="s">
        <v>8608</v>
      </c>
      <c r="BF998" t="str">
        <f>HYPERLINK("http://dx.doi.org/10.1149/1.1565134","http://dx.doi.org/10.1149/1.1565134")</f>
        <v>http://dx.doi.org/10.1149/1.1565134</v>
      </c>
      <c r="BG998" t="s">
        <v>74</v>
      </c>
      <c r="BH998" t="s">
        <v>74</v>
      </c>
      <c r="BI998" t="s">
        <v>74</v>
      </c>
      <c r="BJ998" t="s">
        <v>74</v>
      </c>
      <c r="BK998" t="s">
        <v>74</v>
      </c>
      <c r="BL998" t="s">
        <v>74</v>
      </c>
      <c r="BM998" t="s">
        <v>74</v>
      </c>
      <c r="BN998" t="s">
        <v>74</v>
      </c>
      <c r="BO998" t="s">
        <v>74</v>
      </c>
      <c r="BP998" t="s">
        <v>74</v>
      </c>
      <c r="BQ998" t="s">
        <v>74</v>
      </c>
      <c r="BR998" t="s">
        <v>74</v>
      </c>
      <c r="BS998" t="s">
        <v>8609</v>
      </c>
      <c r="BT998" t="str">
        <f>HYPERLINK("https%3A%2F%2Fwww.webofscience.com%2Fwos%2Fwoscc%2Ffull-record%2FWOS:000182184200006","View Full Record in Web of Science")</f>
        <v>View Full Record in Web of Science</v>
      </c>
    </row>
    <row r="999" spans="1:72" x14ac:dyDescent="0.2">
      <c r="A999" t="s">
        <v>72</v>
      </c>
      <c r="B999" t="s">
        <v>8610</v>
      </c>
      <c r="C999" t="s">
        <v>74</v>
      </c>
      <c r="D999" t="s">
        <v>74</v>
      </c>
      <c r="E999" t="s">
        <v>74</v>
      </c>
      <c r="F999" t="s">
        <v>8610</v>
      </c>
      <c r="G999" t="s">
        <v>74</v>
      </c>
      <c r="H999" t="s">
        <v>74</v>
      </c>
      <c r="I999" t="s">
        <v>8611</v>
      </c>
      <c r="J999" t="s">
        <v>8118</v>
      </c>
      <c r="K999" t="s">
        <v>74</v>
      </c>
      <c r="L999" t="s">
        <v>74</v>
      </c>
      <c r="M999" t="s">
        <v>74</v>
      </c>
      <c r="N999" t="s">
        <v>74</v>
      </c>
      <c r="O999" t="s">
        <v>74</v>
      </c>
      <c r="P999" t="s">
        <v>74</v>
      </c>
      <c r="Q999" t="s">
        <v>74</v>
      </c>
      <c r="R999" t="s">
        <v>74</v>
      </c>
      <c r="S999" t="s">
        <v>74</v>
      </c>
      <c r="T999" t="s">
        <v>74</v>
      </c>
      <c r="U999" t="s">
        <v>74</v>
      </c>
      <c r="V999" t="s">
        <v>8612</v>
      </c>
      <c r="W999" t="s">
        <v>74</v>
      </c>
      <c r="X999" t="s">
        <v>74</v>
      </c>
      <c r="Y999" t="s">
        <v>74</v>
      </c>
      <c r="Z999" t="s">
        <v>74</v>
      </c>
      <c r="AA999" t="s">
        <v>74</v>
      </c>
      <c r="AB999" t="s">
        <v>74</v>
      </c>
      <c r="AC999" t="s">
        <v>74</v>
      </c>
      <c r="AD999" t="s">
        <v>74</v>
      </c>
      <c r="AE999" t="s">
        <v>74</v>
      </c>
      <c r="AF999" t="s">
        <v>74</v>
      </c>
      <c r="AG999" t="s">
        <v>74</v>
      </c>
      <c r="AH999" t="s">
        <v>74</v>
      </c>
      <c r="AI999" t="s">
        <v>74</v>
      </c>
      <c r="AJ999" t="s">
        <v>74</v>
      </c>
      <c r="AK999" t="s">
        <v>74</v>
      </c>
      <c r="AL999" t="s">
        <v>74</v>
      </c>
      <c r="AM999" t="s">
        <v>74</v>
      </c>
      <c r="AN999" t="s">
        <v>74</v>
      </c>
      <c r="AO999" t="s">
        <v>8122</v>
      </c>
      <c r="AP999" t="s">
        <v>8123</v>
      </c>
      <c r="AQ999" t="s">
        <v>74</v>
      </c>
      <c r="AR999" t="s">
        <v>74</v>
      </c>
      <c r="AS999" t="s">
        <v>74</v>
      </c>
      <c r="AT999" t="s">
        <v>1026</v>
      </c>
      <c r="AU999">
        <v>2003</v>
      </c>
      <c r="AV999">
        <v>6</v>
      </c>
      <c r="AW999">
        <v>2</v>
      </c>
      <c r="AX999" t="s">
        <v>74</v>
      </c>
      <c r="AY999" t="s">
        <v>74</v>
      </c>
      <c r="AZ999" t="s">
        <v>74</v>
      </c>
      <c r="BA999" t="s">
        <v>74</v>
      </c>
      <c r="BB999" t="s">
        <v>8613</v>
      </c>
      <c r="BC999" t="s">
        <v>8614</v>
      </c>
      <c r="BD999" t="s">
        <v>74</v>
      </c>
      <c r="BE999" t="s">
        <v>8615</v>
      </c>
      <c r="BF999" t="str">
        <f>HYPERLINK("http://dx.doi.org/10.1149/1.1536475","http://dx.doi.org/10.1149/1.1536475")</f>
        <v>http://dx.doi.org/10.1149/1.1536475</v>
      </c>
      <c r="BG999" t="s">
        <v>74</v>
      </c>
      <c r="BH999" t="s">
        <v>74</v>
      </c>
      <c r="BI999" t="s">
        <v>74</v>
      </c>
      <c r="BJ999" t="s">
        <v>74</v>
      </c>
      <c r="BK999" t="s">
        <v>74</v>
      </c>
      <c r="BL999" t="s">
        <v>74</v>
      </c>
      <c r="BM999" t="s">
        <v>74</v>
      </c>
      <c r="BN999" t="s">
        <v>74</v>
      </c>
      <c r="BO999" t="s">
        <v>74</v>
      </c>
      <c r="BP999" t="s">
        <v>74</v>
      </c>
      <c r="BQ999" t="s">
        <v>74</v>
      </c>
      <c r="BR999" t="s">
        <v>74</v>
      </c>
      <c r="BS999" t="s">
        <v>8616</v>
      </c>
      <c r="BT999" t="str">
        <f>HYPERLINK("https%3A%2F%2Fwww.webofscience.com%2Fwos%2Fwoscc%2Ffull-record%2FWOS:000180249700007","View Full Record in Web of Science")</f>
        <v>View Full Record in Web of Science</v>
      </c>
    </row>
    <row r="1000" spans="1:72" x14ac:dyDescent="0.2">
      <c r="A1000" t="s">
        <v>72</v>
      </c>
      <c r="B1000" t="s">
        <v>8617</v>
      </c>
      <c r="C1000" t="s">
        <v>74</v>
      </c>
      <c r="D1000" t="s">
        <v>74</v>
      </c>
      <c r="E1000" t="s">
        <v>74</v>
      </c>
      <c r="F1000" t="s">
        <v>8617</v>
      </c>
      <c r="G1000" t="s">
        <v>74</v>
      </c>
      <c r="H1000" t="s">
        <v>74</v>
      </c>
      <c r="I1000" t="s">
        <v>8618</v>
      </c>
      <c r="J1000" t="s">
        <v>8619</v>
      </c>
      <c r="K1000" t="s">
        <v>74</v>
      </c>
      <c r="L1000" t="s">
        <v>74</v>
      </c>
      <c r="M1000" t="s">
        <v>74</v>
      </c>
      <c r="N1000" t="s">
        <v>74</v>
      </c>
      <c r="O1000" t="s">
        <v>74</v>
      </c>
      <c r="P1000" t="s">
        <v>74</v>
      </c>
      <c r="Q1000" t="s">
        <v>74</v>
      </c>
      <c r="R1000" t="s">
        <v>74</v>
      </c>
      <c r="S1000" t="s">
        <v>74</v>
      </c>
      <c r="T1000" t="s">
        <v>74</v>
      </c>
      <c r="U1000" t="s">
        <v>74</v>
      </c>
      <c r="V1000" t="s">
        <v>8620</v>
      </c>
      <c r="W1000" t="s">
        <v>74</v>
      </c>
      <c r="X1000" t="s">
        <v>74</v>
      </c>
      <c r="Y1000" t="s">
        <v>74</v>
      </c>
      <c r="Z1000" t="s">
        <v>74</v>
      </c>
      <c r="AA1000" t="s">
        <v>8621</v>
      </c>
      <c r="AB1000" t="s">
        <v>8622</v>
      </c>
      <c r="AC1000" t="s">
        <v>74</v>
      </c>
      <c r="AD1000" t="s">
        <v>74</v>
      </c>
      <c r="AE1000" t="s">
        <v>74</v>
      </c>
      <c r="AF1000" t="s">
        <v>74</v>
      </c>
      <c r="AG1000" t="s">
        <v>74</v>
      </c>
      <c r="AH1000" t="s">
        <v>74</v>
      </c>
      <c r="AI1000" t="s">
        <v>74</v>
      </c>
      <c r="AJ1000" t="s">
        <v>74</v>
      </c>
      <c r="AK1000" t="s">
        <v>74</v>
      </c>
      <c r="AL1000" t="s">
        <v>74</v>
      </c>
      <c r="AM1000" t="s">
        <v>74</v>
      </c>
      <c r="AN1000" t="s">
        <v>74</v>
      </c>
      <c r="AO1000" t="s">
        <v>8623</v>
      </c>
      <c r="AP1000" t="s">
        <v>74</v>
      </c>
      <c r="AQ1000" t="s">
        <v>74</v>
      </c>
      <c r="AR1000" t="s">
        <v>74</v>
      </c>
      <c r="AS1000" t="s">
        <v>74</v>
      </c>
      <c r="AT1000" t="s">
        <v>8624</v>
      </c>
      <c r="AU1000">
        <v>2002</v>
      </c>
      <c r="AV1000">
        <v>365</v>
      </c>
      <c r="AW1000" t="s">
        <v>8505</v>
      </c>
      <c r="AX1000" t="s">
        <v>74</v>
      </c>
      <c r="AY1000" t="s">
        <v>74</v>
      </c>
      <c r="AZ1000" t="s">
        <v>74</v>
      </c>
      <c r="BA1000" t="s">
        <v>74</v>
      </c>
      <c r="BB1000">
        <v>313</v>
      </c>
      <c r="BC1000">
        <v>319</v>
      </c>
      <c r="BD1000" t="s">
        <v>8625</v>
      </c>
      <c r="BE1000" t="s">
        <v>8626</v>
      </c>
      <c r="BF1000" t="str">
        <f>HYPERLINK("http://dx.doi.org/10.1016/S0009-2614(02)01443-4","http://dx.doi.org/10.1016/S0009-2614(02)01443-4")</f>
        <v>http://dx.doi.org/10.1016/S0009-2614(02)01443-4</v>
      </c>
      <c r="BG1000" t="s">
        <v>74</v>
      </c>
      <c r="BH1000" t="s">
        <v>74</v>
      </c>
      <c r="BI1000" t="s">
        <v>74</v>
      </c>
      <c r="BJ1000" t="s">
        <v>74</v>
      </c>
      <c r="BK1000" t="s">
        <v>74</v>
      </c>
      <c r="BL1000" t="s">
        <v>74</v>
      </c>
      <c r="BM1000" t="s">
        <v>74</v>
      </c>
      <c r="BN1000" t="s">
        <v>74</v>
      </c>
      <c r="BO1000" t="s">
        <v>74</v>
      </c>
      <c r="BP1000" t="s">
        <v>74</v>
      </c>
      <c r="BQ1000" t="s">
        <v>74</v>
      </c>
      <c r="BR1000" t="s">
        <v>74</v>
      </c>
      <c r="BS1000" t="s">
        <v>8627</v>
      </c>
      <c r="BT1000" t="str">
        <f>HYPERLINK("https%3A%2F%2Fwww.webofscience.com%2Fwos%2Fwoscc%2Ffull-record%2FWOS:000178872300017","View Full Record in Web of Science")</f>
        <v>View Full Record in Web of Science</v>
      </c>
    </row>
    <row r="1001" spans="1:72" x14ac:dyDescent="0.2">
      <c r="A1001" t="s">
        <v>72</v>
      </c>
      <c r="B1001" t="s">
        <v>8628</v>
      </c>
      <c r="C1001" t="s">
        <v>74</v>
      </c>
      <c r="D1001" t="s">
        <v>74</v>
      </c>
      <c r="E1001" t="s">
        <v>74</v>
      </c>
      <c r="F1001" t="s">
        <v>8628</v>
      </c>
      <c r="G1001" t="s">
        <v>74</v>
      </c>
      <c r="H1001" t="s">
        <v>74</v>
      </c>
      <c r="I1001" t="s">
        <v>8629</v>
      </c>
      <c r="J1001" t="s">
        <v>8118</v>
      </c>
      <c r="K1001" t="s">
        <v>74</v>
      </c>
      <c r="L1001" t="s">
        <v>74</v>
      </c>
      <c r="M1001" t="s">
        <v>74</v>
      </c>
      <c r="N1001" t="s">
        <v>74</v>
      </c>
      <c r="O1001" t="s">
        <v>74</v>
      </c>
      <c r="P1001" t="s">
        <v>74</v>
      </c>
      <c r="Q1001" t="s">
        <v>74</v>
      </c>
      <c r="R1001" t="s">
        <v>74</v>
      </c>
      <c r="S1001" t="s">
        <v>74</v>
      </c>
      <c r="T1001" t="s">
        <v>74</v>
      </c>
      <c r="U1001" t="s">
        <v>74</v>
      </c>
      <c r="V1001" t="s">
        <v>8630</v>
      </c>
      <c r="W1001" t="s">
        <v>74</v>
      </c>
      <c r="X1001" t="s">
        <v>74</v>
      </c>
      <c r="Y1001" t="s">
        <v>74</v>
      </c>
      <c r="Z1001" t="s">
        <v>74</v>
      </c>
      <c r="AA1001" t="s">
        <v>74</v>
      </c>
      <c r="AB1001" t="s">
        <v>74</v>
      </c>
      <c r="AC1001" t="s">
        <v>74</v>
      </c>
      <c r="AD1001" t="s">
        <v>74</v>
      </c>
      <c r="AE1001" t="s">
        <v>74</v>
      </c>
      <c r="AF1001" t="s">
        <v>74</v>
      </c>
      <c r="AG1001" t="s">
        <v>74</v>
      </c>
      <c r="AH1001" t="s">
        <v>74</v>
      </c>
      <c r="AI1001" t="s">
        <v>74</v>
      </c>
      <c r="AJ1001" t="s">
        <v>74</v>
      </c>
      <c r="AK1001" t="s">
        <v>74</v>
      </c>
      <c r="AL1001" t="s">
        <v>74</v>
      </c>
      <c r="AM1001" t="s">
        <v>74</v>
      </c>
      <c r="AN1001" t="s">
        <v>74</v>
      </c>
      <c r="AO1001" t="s">
        <v>8122</v>
      </c>
      <c r="AP1001" t="s">
        <v>8123</v>
      </c>
      <c r="AQ1001" t="s">
        <v>74</v>
      </c>
      <c r="AR1001" t="s">
        <v>74</v>
      </c>
      <c r="AS1001" t="s">
        <v>74</v>
      </c>
      <c r="AT1001" t="s">
        <v>92</v>
      </c>
      <c r="AU1001">
        <v>2002</v>
      </c>
      <c r="AV1001">
        <v>5</v>
      </c>
      <c r="AW1001">
        <v>11</v>
      </c>
      <c r="AX1001" t="s">
        <v>74</v>
      </c>
      <c r="AY1001" t="s">
        <v>74</v>
      </c>
      <c r="AZ1001" t="s">
        <v>74</v>
      </c>
      <c r="BA1001" t="s">
        <v>74</v>
      </c>
      <c r="BB1001" t="s">
        <v>8631</v>
      </c>
      <c r="BC1001" t="s">
        <v>8632</v>
      </c>
      <c r="BD1001" t="s">
        <v>74</v>
      </c>
      <c r="BE1001" t="s">
        <v>8633</v>
      </c>
      <c r="BF1001" t="str">
        <f>HYPERLINK("http://dx.doi.org/10.1149/1.1510321","http://dx.doi.org/10.1149/1.1510321")</f>
        <v>http://dx.doi.org/10.1149/1.1510321</v>
      </c>
      <c r="BG1001" t="s">
        <v>74</v>
      </c>
      <c r="BH1001" t="s">
        <v>74</v>
      </c>
      <c r="BI1001" t="s">
        <v>74</v>
      </c>
      <c r="BJ1001" t="s">
        <v>74</v>
      </c>
      <c r="BK1001" t="s">
        <v>74</v>
      </c>
      <c r="BL1001" t="s">
        <v>74</v>
      </c>
      <c r="BM1001" t="s">
        <v>74</v>
      </c>
      <c r="BN1001" t="s">
        <v>74</v>
      </c>
      <c r="BO1001" t="s">
        <v>74</v>
      </c>
      <c r="BP1001" t="s">
        <v>74</v>
      </c>
      <c r="BQ1001" t="s">
        <v>74</v>
      </c>
      <c r="BR1001" t="s">
        <v>74</v>
      </c>
      <c r="BS1001" t="s">
        <v>8634</v>
      </c>
      <c r="BT1001" t="str">
        <f>HYPERLINK("https%3A%2F%2Fwww.webofscience.com%2Fwos%2Fwoscc%2Ffull-record%2FWOS:000178145200004","View Full Record in Web of Science")</f>
        <v>View Full Record in Web of Science</v>
      </c>
    </row>
    <row r="1002" spans="1:72" x14ac:dyDescent="0.2">
      <c r="A1002" s="1" t="s">
        <v>72</v>
      </c>
      <c r="B1002" s="1" t="s">
        <v>8635</v>
      </c>
      <c r="C1002" s="1" t="s">
        <v>74</v>
      </c>
      <c r="D1002" s="1" t="s">
        <v>74</v>
      </c>
      <c r="E1002" s="1" t="s">
        <v>74</v>
      </c>
      <c r="F1002" s="1" t="s">
        <v>8635</v>
      </c>
      <c r="G1002" s="1" t="s">
        <v>74</v>
      </c>
      <c r="H1002" s="1" t="s">
        <v>74</v>
      </c>
      <c r="I1002" s="1" t="s">
        <v>8636</v>
      </c>
      <c r="J1002" s="1" t="s">
        <v>8118</v>
      </c>
      <c r="K1002" s="1" t="s">
        <v>74</v>
      </c>
      <c r="L1002" s="1" t="s">
        <v>74</v>
      </c>
      <c r="M1002" s="1" t="s">
        <v>74</v>
      </c>
      <c r="N1002" s="1" t="s">
        <v>74</v>
      </c>
      <c r="O1002" s="1" t="s">
        <v>74</v>
      </c>
      <c r="P1002" s="1" t="s">
        <v>74</v>
      </c>
      <c r="Q1002" s="1" t="s">
        <v>74</v>
      </c>
      <c r="R1002" s="1" t="s">
        <v>74</v>
      </c>
      <c r="S1002" s="1" t="s">
        <v>74</v>
      </c>
      <c r="T1002" s="1" t="s">
        <v>74</v>
      </c>
      <c r="U1002" s="1" t="s">
        <v>74</v>
      </c>
      <c r="V1002" s="1" t="s">
        <v>8637</v>
      </c>
      <c r="W1002" s="1" t="s">
        <v>74</v>
      </c>
      <c r="X1002" s="1" t="s">
        <v>74</v>
      </c>
      <c r="Y1002" s="1" t="s">
        <v>74</v>
      </c>
      <c r="Z1002" s="1" t="s">
        <v>74</v>
      </c>
      <c r="AA1002" s="1" t="s">
        <v>74</v>
      </c>
      <c r="AB1002" s="1" t="s">
        <v>74</v>
      </c>
      <c r="AC1002" s="1" t="s">
        <v>74</v>
      </c>
      <c r="AD1002" s="1" t="s">
        <v>74</v>
      </c>
      <c r="AE1002" s="1" t="s">
        <v>74</v>
      </c>
      <c r="AF1002" s="1" t="s">
        <v>74</v>
      </c>
      <c r="AG1002" s="1" t="s">
        <v>74</v>
      </c>
      <c r="AH1002" s="1" t="s">
        <v>74</v>
      </c>
      <c r="AI1002" s="1" t="s">
        <v>74</v>
      </c>
      <c r="AJ1002" s="1" t="s">
        <v>74</v>
      </c>
      <c r="AK1002" s="1" t="s">
        <v>74</v>
      </c>
      <c r="AL1002" s="1" t="s">
        <v>74</v>
      </c>
      <c r="AM1002" s="1" t="s">
        <v>74</v>
      </c>
      <c r="AN1002" s="1" t="s">
        <v>74</v>
      </c>
      <c r="AO1002" s="1" t="s">
        <v>8122</v>
      </c>
      <c r="AP1002" s="1" t="s">
        <v>74</v>
      </c>
      <c r="AQ1002" s="1" t="s">
        <v>74</v>
      </c>
      <c r="AR1002" s="1" t="s">
        <v>74</v>
      </c>
      <c r="AS1002" s="1" t="s">
        <v>74</v>
      </c>
      <c r="AT1002" s="1" t="s">
        <v>155</v>
      </c>
      <c r="AU1002" s="1">
        <v>2002</v>
      </c>
      <c r="AV1002" s="1">
        <v>5</v>
      </c>
      <c r="AW1002" s="1">
        <v>9</v>
      </c>
      <c r="AX1002" s="1" t="s">
        <v>74</v>
      </c>
      <c r="AY1002" s="1" t="s">
        <v>74</v>
      </c>
      <c r="AZ1002" s="1" t="s">
        <v>74</v>
      </c>
      <c r="BA1002" s="1" t="s">
        <v>74</v>
      </c>
      <c r="BB1002" s="1" t="s">
        <v>8638</v>
      </c>
      <c r="BC1002" s="1" t="s">
        <v>8639</v>
      </c>
      <c r="BD1002" s="1" t="s">
        <v>74</v>
      </c>
      <c r="BE1002" s="1" t="s">
        <v>8640</v>
      </c>
      <c r="BF1002" s="1">
        <v>0</v>
      </c>
      <c r="BG1002" s="1" t="s">
        <v>74</v>
      </c>
      <c r="BH1002" s="1" t="s">
        <v>74</v>
      </c>
      <c r="BI1002" s="1" t="s">
        <v>74</v>
      </c>
      <c r="BJ1002" s="1" t="s">
        <v>74</v>
      </c>
      <c r="BK1002" s="1" t="s">
        <v>74</v>
      </c>
      <c r="BL1002" s="1" t="s">
        <v>74</v>
      </c>
      <c r="BM1002" s="1" t="s">
        <v>74</v>
      </c>
      <c r="BN1002" s="1" t="s">
        <v>74</v>
      </c>
      <c r="BO1002" s="1" t="s">
        <v>74</v>
      </c>
      <c r="BP1002" s="1" t="s">
        <v>74</v>
      </c>
      <c r="BQ1002" s="1" t="s">
        <v>74</v>
      </c>
      <c r="BR1002" s="1" t="s">
        <v>74</v>
      </c>
      <c r="BS1002" s="1" t="s">
        <v>8641</v>
      </c>
      <c r="BT1002" s="1">
        <v>0</v>
      </c>
    </row>
    <row r="1003" spans="1:72" x14ac:dyDescent="0.2">
      <c r="A1003" s="1" t="s">
        <v>72</v>
      </c>
      <c r="B1003" s="1" t="s">
        <v>8642</v>
      </c>
      <c r="C1003" s="1" t="s">
        <v>74</v>
      </c>
      <c r="D1003" s="1" t="s">
        <v>74</v>
      </c>
      <c r="E1003" s="1" t="s">
        <v>74</v>
      </c>
      <c r="F1003" s="1" t="s">
        <v>8642</v>
      </c>
      <c r="G1003" s="1" t="s">
        <v>74</v>
      </c>
      <c r="H1003" s="1" t="s">
        <v>74</v>
      </c>
      <c r="I1003" s="1" t="s">
        <v>8643</v>
      </c>
      <c r="J1003" s="1" t="s">
        <v>8118</v>
      </c>
      <c r="K1003" s="1" t="s">
        <v>74</v>
      </c>
      <c r="L1003" s="1" t="s">
        <v>74</v>
      </c>
      <c r="M1003" s="1" t="s">
        <v>74</v>
      </c>
      <c r="N1003" s="1" t="s">
        <v>74</v>
      </c>
      <c r="O1003" s="1" t="s">
        <v>74</v>
      </c>
      <c r="P1003" s="1" t="s">
        <v>74</v>
      </c>
      <c r="Q1003" s="1" t="s">
        <v>74</v>
      </c>
      <c r="R1003" s="1" t="s">
        <v>74</v>
      </c>
      <c r="S1003" s="1" t="s">
        <v>74</v>
      </c>
      <c r="T1003" s="1" t="s">
        <v>74</v>
      </c>
      <c r="U1003" s="1" t="s">
        <v>74</v>
      </c>
      <c r="V1003" s="1" t="s">
        <v>8644</v>
      </c>
      <c r="W1003" s="1" t="s">
        <v>74</v>
      </c>
      <c r="X1003" s="1" t="s">
        <v>74</v>
      </c>
      <c r="Y1003" s="1" t="s">
        <v>74</v>
      </c>
      <c r="Z1003" s="1" t="s">
        <v>74</v>
      </c>
      <c r="AA1003" s="1" t="s">
        <v>8645</v>
      </c>
      <c r="AB1003" s="1" t="s">
        <v>8646</v>
      </c>
      <c r="AC1003" s="1" t="s">
        <v>74</v>
      </c>
      <c r="AD1003" s="1" t="s">
        <v>74</v>
      </c>
      <c r="AE1003" s="1" t="s">
        <v>74</v>
      </c>
      <c r="AF1003" s="1" t="s">
        <v>74</v>
      </c>
      <c r="AG1003" s="1" t="s">
        <v>74</v>
      </c>
      <c r="AH1003" s="1" t="s">
        <v>74</v>
      </c>
      <c r="AI1003" s="1" t="s">
        <v>74</v>
      </c>
      <c r="AJ1003" s="1" t="s">
        <v>74</v>
      </c>
      <c r="AK1003" s="1" t="s">
        <v>74</v>
      </c>
      <c r="AL1003" s="1" t="s">
        <v>74</v>
      </c>
      <c r="AM1003" s="1" t="s">
        <v>74</v>
      </c>
      <c r="AN1003" s="1" t="s">
        <v>74</v>
      </c>
      <c r="AO1003" s="1" t="s">
        <v>8122</v>
      </c>
      <c r="AP1003" s="1" t="s">
        <v>74</v>
      </c>
      <c r="AQ1003" s="1" t="s">
        <v>74</v>
      </c>
      <c r="AR1003" s="1" t="s">
        <v>74</v>
      </c>
      <c r="AS1003" s="1" t="s">
        <v>74</v>
      </c>
      <c r="AT1003" s="1" t="s">
        <v>155</v>
      </c>
      <c r="AU1003" s="1">
        <v>2002</v>
      </c>
      <c r="AV1003" s="1">
        <v>5</v>
      </c>
      <c r="AW1003" s="1">
        <v>9</v>
      </c>
      <c r="AX1003" s="1" t="s">
        <v>74</v>
      </c>
      <c r="AY1003" s="1" t="s">
        <v>74</v>
      </c>
      <c r="AZ1003" s="1" t="s">
        <v>74</v>
      </c>
      <c r="BA1003" s="1" t="s">
        <v>74</v>
      </c>
      <c r="BB1003" s="1" t="s">
        <v>8647</v>
      </c>
      <c r="BC1003" s="1" t="s">
        <v>8648</v>
      </c>
      <c r="BD1003" s="1" t="s">
        <v>74</v>
      </c>
      <c r="BE1003" s="1" t="s">
        <v>8649</v>
      </c>
      <c r="BF1003" s="1">
        <v>0</v>
      </c>
      <c r="BG1003" s="1" t="s">
        <v>74</v>
      </c>
      <c r="BH1003" s="1" t="s">
        <v>74</v>
      </c>
      <c r="BI1003" s="1" t="s">
        <v>74</v>
      </c>
      <c r="BJ1003" s="1" t="s">
        <v>74</v>
      </c>
      <c r="BK1003" s="1" t="s">
        <v>74</v>
      </c>
      <c r="BL1003" s="1" t="s">
        <v>74</v>
      </c>
      <c r="BM1003" s="1" t="s">
        <v>74</v>
      </c>
      <c r="BN1003" s="1" t="s">
        <v>74</v>
      </c>
      <c r="BO1003" s="1" t="s">
        <v>74</v>
      </c>
      <c r="BP1003" s="1" t="s">
        <v>74</v>
      </c>
      <c r="BQ1003" s="1" t="s">
        <v>74</v>
      </c>
      <c r="BR1003" s="1" t="s">
        <v>74</v>
      </c>
      <c r="BS1003" s="1" t="s">
        <v>8650</v>
      </c>
      <c r="BT1003" s="1">
        <v>0</v>
      </c>
    </row>
    <row r="1004" spans="1:72" x14ac:dyDescent="0.2">
      <c r="A1004" s="1" t="s">
        <v>72</v>
      </c>
      <c r="B1004" s="1" t="s">
        <v>8651</v>
      </c>
      <c r="C1004" s="1" t="s">
        <v>74</v>
      </c>
      <c r="D1004" s="1" t="s">
        <v>74</v>
      </c>
      <c r="E1004" s="1" t="s">
        <v>74</v>
      </c>
      <c r="F1004" s="1" t="s">
        <v>8651</v>
      </c>
      <c r="G1004" s="1" t="s">
        <v>74</v>
      </c>
      <c r="H1004" s="1" t="s">
        <v>74</v>
      </c>
      <c r="I1004" s="1" t="s">
        <v>8652</v>
      </c>
      <c r="J1004" s="1" t="s">
        <v>201</v>
      </c>
      <c r="K1004" s="1" t="s">
        <v>74</v>
      </c>
      <c r="L1004" s="1" t="s">
        <v>74</v>
      </c>
      <c r="M1004" s="1" t="s">
        <v>74</v>
      </c>
      <c r="N1004" s="1" t="s">
        <v>74</v>
      </c>
      <c r="O1004" s="1" t="s">
        <v>74</v>
      </c>
      <c r="P1004" s="1" t="s">
        <v>74</v>
      </c>
      <c r="Q1004" s="1" t="s">
        <v>74</v>
      </c>
      <c r="R1004" s="1" t="s">
        <v>74</v>
      </c>
      <c r="S1004" s="1" t="s">
        <v>74</v>
      </c>
      <c r="T1004" s="1" t="s">
        <v>74</v>
      </c>
      <c r="U1004" s="1" t="s">
        <v>74</v>
      </c>
      <c r="V1004" s="1" t="s">
        <v>8653</v>
      </c>
      <c r="W1004" s="1" t="s">
        <v>74</v>
      </c>
      <c r="X1004" s="1" t="s">
        <v>74</v>
      </c>
      <c r="Y1004" s="1" t="s">
        <v>74</v>
      </c>
      <c r="Z1004" s="1" t="s">
        <v>74</v>
      </c>
      <c r="AA1004" s="1" t="s">
        <v>8654</v>
      </c>
      <c r="AB1004" s="1" t="s">
        <v>8655</v>
      </c>
      <c r="AC1004" s="1" t="s">
        <v>74</v>
      </c>
      <c r="AD1004" s="1" t="s">
        <v>74</v>
      </c>
      <c r="AE1004" s="1" t="s">
        <v>74</v>
      </c>
      <c r="AF1004" s="1" t="s">
        <v>74</v>
      </c>
      <c r="AG1004" s="1" t="s">
        <v>74</v>
      </c>
      <c r="AH1004" s="1" t="s">
        <v>74</v>
      </c>
      <c r="AI1004" s="1" t="s">
        <v>74</v>
      </c>
      <c r="AJ1004" s="1" t="s">
        <v>74</v>
      </c>
      <c r="AK1004" s="1" t="s">
        <v>74</v>
      </c>
      <c r="AL1004" s="1" t="s">
        <v>74</v>
      </c>
      <c r="AM1004" s="1" t="s">
        <v>74</v>
      </c>
      <c r="AN1004" s="1" t="s">
        <v>74</v>
      </c>
      <c r="AO1004" s="1" t="s">
        <v>204</v>
      </c>
      <c r="AP1004" s="1" t="s">
        <v>74</v>
      </c>
      <c r="AQ1004" s="1" t="s">
        <v>74</v>
      </c>
      <c r="AR1004" s="1" t="s">
        <v>74</v>
      </c>
      <c r="AS1004" s="1" t="s">
        <v>74</v>
      </c>
      <c r="AT1004" s="1" t="s">
        <v>4989</v>
      </c>
      <c r="AU1004" s="1">
        <v>2002</v>
      </c>
      <c r="AV1004" s="1">
        <v>18</v>
      </c>
      <c r="AW1004" s="1">
        <v>9</v>
      </c>
      <c r="AX1004" s="1" t="s">
        <v>74</v>
      </c>
      <c r="AY1004" s="1" t="s">
        <v>74</v>
      </c>
      <c r="AZ1004" s="1" t="s">
        <v>74</v>
      </c>
      <c r="BA1004" s="1" t="s">
        <v>74</v>
      </c>
      <c r="BB1004" s="1">
        <v>3609</v>
      </c>
      <c r="BC1004" s="1">
        <v>3619</v>
      </c>
      <c r="BD1004" s="1" t="s">
        <v>74</v>
      </c>
      <c r="BE1004" s="1" t="s">
        <v>8656</v>
      </c>
      <c r="BF1004" s="1">
        <v>0</v>
      </c>
      <c r="BG1004" s="1" t="s">
        <v>74</v>
      </c>
      <c r="BH1004" s="1" t="s">
        <v>74</v>
      </c>
      <c r="BI1004" s="1" t="s">
        <v>74</v>
      </c>
      <c r="BJ1004" s="1" t="s">
        <v>74</v>
      </c>
      <c r="BK1004" s="1" t="s">
        <v>74</v>
      </c>
      <c r="BL1004" s="1" t="s">
        <v>74</v>
      </c>
      <c r="BM1004" s="1" t="s">
        <v>74</v>
      </c>
      <c r="BN1004" s="1" t="s">
        <v>74</v>
      </c>
      <c r="BO1004" s="1" t="s">
        <v>74</v>
      </c>
      <c r="BP1004" s="1" t="s">
        <v>74</v>
      </c>
      <c r="BQ1004" s="1" t="s">
        <v>74</v>
      </c>
      <c r="BR1004" s="1" t="s">
        <v>74</v>
      </c>
      <c r="BS1004" s="1" t="s">
        <v>8657</v>
      </c>
      <c r="BT1004" s="1">
        <v>0</v>
      </c>
    </row>
    <row r="1005" spans="1:72" x14ac:dyDescent="0.2">
      <c r="A1005" s="1" t="s">
        <v>72</v>
      </c>
      <c r="B1005" s="1" t="s">
        <v>8658</v>
      </c>
      <c r="C1005" s="1" t="s">
        <v>74</v>
      </c>
      <c r="D1005" s="1" t="s">
        <v>74</v>
      </c>
      <c r="E1005" s="1" t="s">
        <v>74</v>
      </c>
      <c r="F1005" s="1" t="s">
        <v>8658</v>
      </c>
      <c r="G1005" s="1" t="s">
        <v>74</v>
      </c>
      <c r="H1005" s="1" t="s">
        <v>74</v>
      </c>
      <c r="I1005" s="1" t="s">
        <v>8659</v>
      </c>
      <c r="J1005" s="1" t="s">
        <v>1574</v>
      </c>
      <c r="K1005" s="1" t="s">
        <v>74</v>
      </c>
      <c r="L1005" s="1" t="s">
        <v>74</v>
      </c>
      <c r="M1005" s="1" t="s">
        <v>74</v>
      </c>
      <c r="N1005" s="1" t="s">
        <v>74</v>
      </c>
      <c r="O1005" s="1" t="s">
        <v>74</v>
      </c>
      <c r="P1005" s="1" t="s">
        <v>74</v>
      </c>
      <c r="Q1005" s="1" t="s">
        <v>74</v>
      </c>
      <c r="R1005" s="1" t="s">
        <v>74</v>
      </c>
      <c r="S1005" s="1" t="s">
        <v>74</v>
      </c>
      <c r="T1005" s="1" t="s">
        <v>74</v>
      </c>
      <c r="U1005" s="1" t="s">
        <v>74</v>
      </c>
      <c r="V1005" s="1" t="s">
        <v>8660</v>
      </c>
      <c r="W1005" s="1" t="s">
        <v>74</v>
      </c>
      <c r="X1005" s="1" t="s">
        <v>74</v>
      </c>
      <c r="Y1005" s="1" t="s">
        <v>74</v>
      </c>
      <c r="Z1005" s="1" t="s">
        <v>74</v>
      </c>
      <c r="AA1005" s="1" t="s">
        <v>74</v>
      </c>
      <c r="AB1005" s="1" t="s">
        <v>74</v>
      </c>
      <c r="AC1005" s="1" t="s">
        <v>74</v>
      </c>
      <c r="AD1005" s="1" t="s">
        <v>74</v>
      </c>
      <c r="AE1005" s="1" t="s">
        <v>74</v>
      </c>
      <c r="AF1005" s="1" t="s">
        <v>74</v>
      </c>
      <c r="AG1005" s="1" t="s">
        <v>74</v>
      </c>
      <c r="AH1005" s="1" t="s">
        <v>74</v>
      </c>
      <c r="AI1005" s="1" t="s">
        <v>74</v>
      </c>
      <c r="AJ1005" s="1" t="s">
        <v>74</v>
      </c>
      <c r="AK1005" s="1" t="s">
        <v>74</v>
      </c>
      <c r="AL1005" s="1" t="s">
        <v>74</v>
      </c>
      <c r="AM1005" s="1" t="s">
        <v>74</v>
      </c>
      <c r="AN1005" s="1" t="s">
        <v>74</v>
      </c>
      <c r="AO1005" s="1" t="s">
        <v>1578</v>
      </c>
      <c r="AP1005" s="1" t="s">
        <v>1579</v>
      </c>
      <c r="AQ1005" s="1" t="s">
        <v>74</v>
      </c>
      <c r="AR1005" s="1" t="s">
        <v>74</v>
      </c>
      <c r="AS1005" s="1" t="s">
        <v>74</v>
      </c>
      <c r="AT1005" s="1" t="s">
        <v>8661</v>
      </c>
      <c r="AU1005" s="1">
        <v>2002</v>
      </c>
      <c r="AV1005" s="1">
        <v>2</v>
      </c>
      <c r="AW1005" s="1">
        <v>2</v>
      </c>
      <c r="AX1005" s="1" t="s">
        <v>74</v>
      </c>
      <c r="AY1005" s="1" t="s">
        <v>74</v>
      </c>
      <c r="AZ1005" s="1" t="s">
        <v>74</v>
      </c>
      <c r="BA1005" s="1" t="s">
        <v>74</v>
      </c>
      <c r="BB1005" s="1">
        <v>111</v>
      </c>
      <c r="BC1005" s="1">
        <v>119</v>
      </c>
      <c r="BD1005" s="1" t="s">
        <v>74</v>
      </c>
      <c r="BE1005" s="1" t="s">
        <v>8662</v>
      </c>
      <c r="BF1005" s="1">
        <v>0</v>
      </c>
      <c r="BG1005" s="1" t="s">
        <v>74</v>
      </c>
      <c r="BH1005" s="1" t="s">
        <v>74</v>
      </c>
      <c r="BI1005" s="1" t="s">
        <v>74</v>
      </c>
      <c r="BJ1005" s="1" t="s">
        <v>74</v>
      </c>
      <c r="BK1005" s="1" t="s">
        <v>74</v>
      </c>
      <c r="BL1005" s="1" t="s">
        <v>74</v>
      </c>
      <c r="BM1005" s="1" t="s">
        <v>74</v>
      </c>
      <c r="BN1005" s="1" t="s">
        <v>74</v>
      </c>
      <c r="BO1005" s="1" t="s">
        <v>74</v>
      </c>
      <c r="BP1005" s="1" t="s">
        <v>74</v>
      </c>
      <c r="BQ1005" s="1" t="s">
        <v>74</v>
      </c>
      <c r="BR1005" s="1" t="s">
        <v>74</v>
      </c>
      <c r="BS1005" s="1" t="s">
        <v>8663</v>
      </c>
      <c r="BT1005" s="1">
        <v>0</v>
      </c>
    </row>
    <row r="1006" spans="1:72" x14ac:dyDescent="0.2">
      <c r="A1006" s="1" t="s">
        <v>72</v>
      </c>
      <c r="B1006" s="1" t="s">
        <v>8664</v>
      </c>
      <c r="C1006" s="1" t="s">
        <v>74</v>
      </c>
      <c r="D1006" s="1" t="s">
        <v>74</v>
      </c>
      <c r="E1006" s="1" t="s">
        <v>74</v>
      </c>
      <c r="F1006" s="1" t="s">
        <v>8664</v>
      </c>
      <c r="G1006" s="1" t="s">
        <v>74</v>
      </c>
      <c r="H1006" s="1" t="s">
        <v>74</v>
      </c>
      <c r="I1006" s="1" t="s">
        <v>8665</v>
      </c>
      <c r="J1006" s="1" t="s">
        <v>1293</v>
      </c>
      <c r="K1006" s="1" t="s">
        <v>74</v>
      </c>
      <c r="L1006" s="1" t="s">
        <v>74</v>
      </c>
      <c r="M1006" s="1" t="s">
        <v>74</v>
      </c>
      <c r="N1006" s="1" t="s">
        <v>74</v>
      </c>
      <c r="O1006" s="1" t="s">
        <v>74</v>
      </c>
      <c r="P1006" s="1" t="s">
        <v>74</v>
      </c>
      <c r="Q1006" s="1" t="s">
        <v>74</v>
      </c>
      <c r="R1006" s="1" t="s">
        <v>74</v>
      </c>
      <c r="S1006" s="1" t="s">
        <v>74</v>
      </c>
      <c r="T1006" s="1" t="s">
        <v>74</v>
      </c>
      <c r="U1006" s="1" t="s">
        <v>74</v>
      </c>
      <c r="V1006" s="1" t="s">
        <v>8666</v>
      </c>
      <c r="W1006" s="1" t="s">
        <v>74</v>
      </c>
      <c r="X1006" s="1" t="s">
        <v>74</v>
      </c>
      <c r="Y1006" s="1" t="s">
        <v>74</v>
      </c>
      <c r="Z1006" s="1" t="s">
        <v>74</v>
      </c>
      <c r="AA1006" s="1" t="s">
        <v>74</v>
      </c>
      <c r="AB1006" s="1" t="s">
        <v>74</v>
      </c>
      <c r="AC1006" s="1" t="s">
        <v>74</v>
      </c>
      <c r="AD1006" s="1" t="s">
        <v>74</v>
      </c>
      <c r="AE1006" s="1" t="s">
        <v>74</v>
      </c>
      <c r="AF1006" s="1" t="s">
        <v>74</v>
      </c>
      <c r="AG1006" s="1" t="s">
        <v>74</v>
      </c>
      <c r="AH1006" s="1" t="s">
        <v>74</v>
      </c>
      <c r="AI1006" s="1" t="s">
        <v>74</v>
      </c>
      <c r="AJ1006" s="1" t="s">
        <v>74</v>
      </c>
      <c r="AK1006" s="1" t="s">
        <v>74</v>
      </c>
      <c r="AL1006" s="1" t="s">
        <v>74</v>
      </c>
      <c r="AM1006" s="1" t="s">
        <v>74</v>
      </c>
      <c r="AN1006" s="1" t="s">
        <v>74</v>
      </c>
      <c r="AO1006" s="1" t="s">
        <v>1297</v>
      </c>
      <c r="AP1006" s="1" t="s">
        <v>74</v>
      </c>
      <c r="AQ1006" s="1" t="s">
        <v>74</v>
      </c>
      <c r="AR1006" s="1" t="s">
        <v>74</v>
      </c>
      <c r="AS1006" s="1" t="s">
        <v>74</v>
      </c>
      <c r="AT1006" s="1" t="s">
        <v>1194</v>
      </c>
      <c r="AU1006" s="1">
        <v>2002</v>
      </c>
      <c r="AV1006" s="1">
        <v>149</v>
      </c>
      <c r="AW1006" s="1">
        <v>1</v>
      </c>
      <c r="AX1006" s="1" t="s">
        <v>74</v>
      </c>
      <c r="AY1006" s="1" t="s">
        <v>74</v>
      </c>
      <c r="AZ1006" s="1" t="s">
        <v>74</v>
      </c>
      <c r="BA1006" s="1" t="s">
        <v>74</v>
      </c>
      <c r="BB1006" s="1" t="s">
        <v>8667</v>
      </c>
      <c r="BC1006" s="1" t="s">
        <v>8668</v>
      </c>
      <c r="BD1006" s="1" t="s">
        <v>74</v>
      </c>
      <c r="BE1006" s="1" t="s">
        <v>8669</v>
      </c>
      <c r="BF1006" s="1">
        <v>0</v>
      </c>
      <c r="BG1006" s="1" t="s">
        <v>74</v>
      </c>
      <c r="BH1006" s="1" t="s">
        <v>74</v>
      </c>
      <c r="BI1006" s="1" t="s">
        <v>74</v>
      </c>
      <c r="BJ1006" s="1" t="s">
        <v>74</v>
      </c>
      <c r="BK1006" s="1" t="s">
        <v>74</v>
      </c>
      <c r="BL1006" s="1" t="s">
        <v>74</v>
      </c>
      <c r="BM1006" s="1" t="s">
        <v>74</v>
      </c>
      <c r="BN1006" s="1" t="s">
        <v>74</v>
      </c>
      <c r="BO1006" s="1" t="s">
        <v>74</v>
      </c>
      <c r="BP1006" s="1" t="s">
        <v>74</v>
      </c>
      <c r="BQ1006" s="1" t="s">
        <v>74</v>
      </c>
      <c r="BR1006" s="1" t="s">
        <v>74</v>
      </c>
      <c r="BS1006" s="1" t="s">
        <v>8670</v>
      </c>
      <c r="BT1006" s="1">
        <v>0</v>
      </c>
    </row>
    <row r="1007" spans="1:72" x14ac:dyDescent="0.2">
      <c r="A1007" s="1" t="s">
        <v>72</v>
      </c>
      <c r="B1007" s="1" t="s">
        <v>8671</v>
      </c>
      <c r="C1007" s="1" t="s">
        <v>74</v>
      </c>
      <c r="D1007" s="1" t="s">
        <v>74</v>
      </c>
      <c r="E1007" s="1" t="s">
        <v>74</v>
      </c>
      <c r="F1007" s="1" t="s">
        <v>8671</v>
      </c>
      <c r="G1007" s="1" t="s">
        <v>74</v>
      </c>
      <c r="H1007" s="1" t="s">
        <v>74</v>
      </c>
      <c r="I1007" s="1" t="s">
        <v>8672</v>
      </c>
      <c r="J1007" s="1" t="s">
        <v>8542</v>
      </c>
      <c r="K1007" s="1" t="s">
        <v>74</v>
      </c>
      <c r="L1007" s="1" t="s">
        <v>74</v>
      </c>
      <c r="M1007" s="1" t="s">
        <v>74</v>
      </c>
      <c r="N1007" s="1" t="s">
        <v>74</v>
      </c>
      <c r="O1007" s="1" t="s">
        <v>74</v>
      </c>
      <c r="P1007" s="1" t="s">
        <v>74</v>
      </c>
      <c r="Q1007" s="1" t="s">
        <v>74</v>
      </c>
      <c r="R1007" s="1" t="s">
        <v>74</v>
      </c>
      <c r="S1007" s="1" t="s">
        <v>74</v>
      </c>
      <c r="T1007" s="1" t="s">
        <v>74</v>
      </c>
      <c r="U1007" s="1" t="s">
        <v>74</v>
      </c>
      <c r="V1007" s="1" t="s">
        <v>8673</v>
      </c>
      <c r="W1007" s="1" t="s">
        <v>74</v>
      </c>
      <c r="X1007" s="1" t="s">
        <v>74</v>
      </c>
      <c r="Y1007" s="1" t="s">
        <v>74</v>
      </c>
      <c r="Z1007" s="1" t="s">
        <v>74</v>
      </c>
      <c r="AA1007" s="1" t="s">
        <v>74</v>
      </c>
      <c r="AB1007" s="1" t="s">
        <v>74</v>
      </c>
      <c r="AC1007" s="1" t="s">
        <v>74</v>
      </c>
      <c r="AD1007" s="1" t="s">
        <v>74</v>
      </c>
      <c r="AE1007" s="1" t="s">
        <v>74</v>
      </c>
      <c r="AF1007" s="1" t="s">
        <v>74</v>
      </c>
      <c r="AG1007" s="1" t="s">
        <v>74</v>
      </c>
      <c r="AH1007" s="1" t="s">
        <v>74</v>
      </c>
      <c r="AI1007" s="1" t="s">
        <v>74</v>
      </c>
      <c r="AJ1007" s="1" t="s">
        <v>74</v>
      </c>
      <c r="AK1007" s="1" t="s">
        <v>74</v>
      </c>
      <c r="AL1007" s="1" t="s">
        <v>74</v>
      </c>
      <c r="AM1007" s="1" t="s">
        <v>74</v>
      </c>
      <c r="AN1007" s="1" t="s">
        <v>74</v>
      </c>
      <c r="AO1007" s="1" t="s">
        <v>8546</v>
      </c>
      <c r="AP1007" s="1" t="s">
        <v>8547</v>
      </c>
      <c r="AQ1007" s="1" t="s">
        <v>74</v>
      </c>
      <c r="AR1007" s="1" t="s">
        <v>74</v>
      </c>
      <c r="AS1007" s="1" t="s">
        <v>74</v>
      </c>
      <c r="AT1007" s="1" t="s">
        <v>1663</v>
      </c>
      <c r="AU1007" s="1">
        <v>2001</v>
      </c>
      <c r="AV1007" s="1" t="s">
        <v>74</v>
      </c>
      <c r="AW1007" s="1">
        <v>9</v>
      </c>
      <c r="AX1007" s="1" t="s">
        <v>74</v>
      </c>
      <c r="AY1007" s="1" t="s">
        <v>74</v>
      </c>
      <c r="AZ1007" s="1" t="s">
        <v>74</v>
      </c>
      <c r="BA1007" s="1" t="s">
        <v>74</v>
      </c>
      <c r="BB1007" s="1">
        <v>862</v>
      </c>
      <c r="BC1007" s="1">
        <v>863</v>
      </c>
      <c r="BD1007" s="1" t="s">
        <v>74</v>
      </c>
      <c r="BE1007" s="1" t="s">
        <v>74</v>
      </c>
      <c r="BF1007" s="1" t="s">
        <v>74</v>
      </c>
      <c r="BG1007" s="1" t="s">
        <v>74</v>
      </c>
      <c r="BH1007" s="1" t="s">
        <v>74</v>
      </c>
      <c r="BI1007" s="1" t="s">
        <v>74</v>
      </c>
      <c r="BJ1007" s="1" t="s">
        <v>74</v>
      </c>
      <c r="BK1007" s="1" t="s">
        <v>74</v>
      </c>
      <c r="BL1007" s="1" t="s">
        <v>74</v>
      </c>
      <c r="BM1007" s="1" t="s">
        <v>74</v>
      </c>
      <c r="BN1007" s="1" t="s">
        <v>74</v>
      </c>
      <c r="BO1007" s="1" t="s">
        <v>74</v>
      </c>
      <c r="BP1007" s="1" t="s">
        <v>74</v>
      </c>
      <c r="BQ1007" s="1" t="s">
        <v>74</v>
      </c>
      <c r="BR1007" s="1" t="s">
        <v>74</v>
      </c>
      <c r="BS1007" s="1" t="s">
        <v>8674</v>
      </c>
      <c r="BT1007" s="1">
        <v>0</v>
      </c>
    </row>
    <row r="1008" spans="1:72" x14ac:dyDescent="0.2">
      <c r="A1008" s="1" t="s">
        <v>72</v>
      </c>
      <c r="B1008" s="1" t="s">
        <v>8675</v>
      </c>
      <c r="C1008" s="1" t="s">
        <v>74</v>
      </c>
      <c r="D1008" s="1" t="s">
        <v>74</v>
      </c>
      <c r="E1008" s="1" t="s">
        <v>74</v>
      </c>
      <c r="F1008" s="1" t="s">
        <v>8675</v>
      </c>
      <c r="G1008" s="1" t="s">
        <v>74</v>
      </c>
      <c r="H1008" s="1" t="s">
        <v>74</v>
      </c>
      <c r="I1008" s="1" t="s">
        <v>8676</v>
      </c>
      <c r="J1008" s="1" t="s">
        <v>1293</v>
      </c>
      <c r="K1008" s="1" t="s">
        <v>74</v>
      </c>
      <c r="L1008" s="1" t="s">
        <v>74</v>
      </c>
      <c r="M1008" s="1" t="s">
        <v>74</v>
      </c>
      <c r="N1008" s="1" t="s">
        <v>74</v>
      </c>
      <c r="O1008" s="1" t="s">
        <v>74</v>
      </c>
      <c r="P1008" s="1" t="s">
        <v>74</v>
      </c>
      <c r="Q1008" s="1" t="s">
        <v>74</v>
      </c>
      <c r="R1008" s="1" t="s">
        <v>74</v>
      </c>
      <c r="S1008" s="1" t="s">
        <v>74</v>
      </c>
      <c r="T1008" s="1" t="s">
        <v>74</v>
      </c>
      <c r="U1008" s="1" t="s">
        <v>74</v>
      </c>
      <c r="V1008" s="1" t="s">
        <v>8677</v>
      </c>
      <c r="W1008" s="1" t="s">
        <v>74</v>
      </c>
      <c r="X1008" s="1" t="s">
        <v>74</v>
      </c>
      <c r="Y1008" s="1" t="s">
        <v>74</v>
      </c>
      <c r="Z1008" s="1" t="s">
        <v>74</v>
      </c>
      <c r="AA1008" s="1" t="s">
        <v>74</v>
      </c>
      <c r="AB1008" s="1" t="s">
        <v>74</v>
      </c>
      <c r="AC1008" s="1" t="s">
        <v>74</v>
      </c>
      <c r="AD1008" s="1" t="s">
        <v>74</v>
      </c>
      <c r="AE1008" s="1" t="s">
        <v>74</v>
      </c>
      <c r="AF1008" s="1" t="s">
        <v>74</v>
      </c>
      <c r="AG1008" s="1" t="s">
        <v>74</v>
      </c>
      <c r="AH1008" s="1" t="s">
        <v>74</v>
      </c>
      <c r="AI1008" s="1" t="s">
        <v>74</v>
      </c>
      <c r="AJ1008" s="1" t="s">
        <v>74</v>
      </c>
      <c r="AK1008" s="1" t="s">
        <v>74</v>
      </c>
      <c r="AL1008" s="1" t="s">
        <v>74</v>
      </c>
      <c r="AM1008" s="1" t="s">
        <v>74</v>
      </c>
      <c r="AN1008" s="1" t="s">
        <v>74</v>
      </c>
      <c r="AO1008" s="1" t="s">
        <v>1297</v>
      </c>
      <c r="AP1008" s="1" t="s">
        <v>74</v>
      </c>
      <c r="AQ1008" s="1" t="s">
        <v>74</v>
      </c>
      <c r="AR1008" s="1" t="s">
        <v>74</v>
      </c>
      <c r="AS1008" s="1" t="s">
        <v>74</v>
      </c>
      <c r="AT1008" s="1" t="s">
        <v>155</v>
      </c>
      <c r="AU1008" s="1">
        <v>2001</v>
      </c>
      <c r="AV1008" s="1">
        <v>148</v>
      </c>
      <c r="AW1008" s="1">
        <v>9</v>
      </c>
      <c r="AX1008" s="1" t="s">
        <v>74</v>
      </c>
      <c r="AY1008" s="1" t="s">
        <v>74</v>
      </c>
      <c r="AZ1008" s="1" t="s">
        <v>74</v>
      </c>
      <c r="BA1008" s="1" t="s">
        <v>74</v>
      </c>
      <c r="BB1008" s="1" t="s">
        <v>8678</v>
      </c>
      <c r="BC1008" s="1" t="s">
        <v>8679</v>
      </c>
      <c r="BD1008" s="1" t="s">
        <v>74</v>
      </c>
      <c r="BE1008" s="1" t="s">
        <v>8680</v>
      </c>
      <c r="BF1008" s="1">
        <v>0</v>
      </c>
      <c r="BG1008" s="1" t="s">
        <v>74</v>
      </c>
      <c r="BH1008" s="1" t="s">
        <v>74</v>
      </c>
      <c r="BI1008" s="1" t="s">
        <v>74</v>
      </c>
      <c r="BJ1008" s="1" t="s">
        <v>74</v>
      </c>
      <c r="BK1008" s="1" t="s">
        <v>74</v>
      </c>
      <c r="BL1008" s="1" t="s">
        <v>74</v>
      </c>
      <c r="BM1008" s="1" t="s">
        <v>74</v>
      </c>
      <c r="BN1008" s="1" t="s">
        <v>74</v>
      </c>
      <c r="BO1008" s="1" t="s">
        <v>74</v>
      </c>
      <c r="BP1008" s="1" t="s">
        <v>74</v>
      </c>
      <c r="BQ1008" s="1" t="s">
        <v>74</v>
      </c>
      <c r="BR1008" s="1" t="s">
        <v>74</v>
      </c>
      <c r="BS1008" s="1" t="s">
        <v>8681</v>
      </c>
      <c r="BT1008" s="1">
        <v>0</v>
      </c>
    </row>
    <row r="1009" spans="1:72" x14ac:dyDescent="0.2">
      <c r="A1009" s="1" t="s">
        <v>72</v>
      </c>
      <c r="B1009" s="1" t="s">
        <v>8682</v>
      </c>
      <c r="C1009" s="1" t="s">
        <v>74</v>
      </c>
      <c r="D1009" s="1" t="s">
        <v>74</v>
      </c>
      <c r="E1009" s="1" t="s">
        <v>74</v>
      </c>
      <c r="F1009" s="1" t="s">
        <v>8683</v>
      </c>
      <c r="G1009" s="1" t="s">
        <v>74</v>
      </c>
      <c r="H1009" s="1" t="s">
        <v>74</v>
      </c>
      <c r="I1009" s="1" t="s">
        <v>8684</v>
      </c>
      <c r="J1009" s="1" t="s">
        <v>1209</v>
      </c>
      <c r="K1009" s="1" t="s">
        <v>74</v>
      </c>
      <c r="L1009" s="1" t="s">
        <v>74</v>
      </c>
      <c r="M1009" s="1" t="s">
        <v>74</v>
      </c>
      <c r="N1009" s="1" t="s">
        <v>74</v>
      </c>
      <c r="O1009" s="1" t="s">
        <v>74</v>
      </c>
      <c r="P1009" s="1" t="s">
        <v>74</v>
      </c>
      <c r="Q1009" s="1" t="s">
        <v>74</v>
      </c>
      <c r="R1009" s="1" t="s">
        <v>74</v>
      </c>
      <c r="S1009" s="1" t="s">
        <v>74</v>
      </c>
      <c r="T1009" s="1" t="s">
        <v>74</v>
      </c>
      <c r="U1009" s="1" t="s">
        <v>74</v>
      </c>
      <c r="V1009" s="1" t="s">
        <v>8685</v>
      </c>
      <c r="W1009" s="1" t="s">
        <v>74</v>
      </c>
      <c r="X1009" s="1" t="s">
        <v>74</v>
      </c>
      <c r="Y1009" s="1" t="s">
        <v>74</v>
      </c>
      <c r="Z1009" s="1" t="s">
        <v>74</v>
      </c>
      <c r="AA1009" s="1" t="s">
        <v>74</v>
      </c>
      <c r="AB1009" s="1" t="s">
        <v>74</v>
      </c>
      <c r="AC1009" s="1" t="s">
        <v>74</v>
      </c>
      <c r="AD1009" s="1" t="s">
        <v>74</v>
      </c>
      <c r="AE1009" s="1" t="s">
        <v>74</v>
      </c>
      <c r="AF1009" s="1" t="s">
        <v>74</v>
      </c>
      <c r="AG1009" s="1" t="s">
        <v>74</v>
      </c>
      <c r="AH1009" s="1" t="s">
        <v>74</v>
      </c>
      <c r="AI1009" s="1" t="s">
        <v>74</v>
      </c>
      <c r="AJ1009" s="1" t="s">
        <v>74</v>
      </c>
      <c r="AK1009" s="1" t="s">
        <v>74</v>
      </c>
      <c r="AL1009" s="1" t="s">
        <v>74</v>
      </c>
      <c r="AM1009" s="1" t="s">
        <v>74</v>
      </c>
      <c r="AN1009" s="1" t="s">
        <v>74</v>
      </c>
      <c r="AO1009" s="1" t="s">
        <v>1211</v>
      </c>
      <c r="AP1009" s="1" t="s">
        <v>1212</v>
      </c>
      <c r="AQ1009" s="1" t="s">
        <v>74</v>
      </c>
      <c r="AR1009" s="1" t="s">
        <v>74</v>
      </c>
      <c r="AS1009" s="1" t="s">
        <v>74</v>
      </c>
      <c r="AT1009" s="1" t="s">
        <v>368</v>
      </c>
      <c r="AU1009" s="1">
        <v>2001</v>
      </c>
      <c r="AV1009" s="1">
        <v>7</v>
      </c>
      <c r="AW1009" s="1" t="s">
        <v>8686</v>
      </c>
      <c r="AX1009" s="1" t="s">
        <v>74</v>
      </c>
      <c r="AY1009" s="1" t="s">
        <v>74</v>
      </c>
      <c r="AZ1009" s="1" t="s">
        <v>74</v>
      </c>
      <c r="BA1009" s="1" t="s">
        <v>74</v>
      </c>
      <c r="BB1009" s="1">
        <v>433</v>
      </c>
      <c r="BC1009" s="1">
        <v>439</v>
      </c>
      <c r="BD1009" s="1" t="s">
        <v>74</v>
      </c>
      <c r="BE1009" s="1" t="s">
        <v>8687</v>
      </c>
      <c r="BF1009" s="1">
        <v>0</v>
      </c>
      <c r="BG1009" s="1" t="s">
        <v>74</v>
      </c>
      <c r="BH1009" s="1" t="s">
        <v>74</v>
      </c>
      <c r="BI1009" s="1" t="s">
        <v>74</v>
      </c>
      <c r="BJ1009" s="1" t="s">
        <v>74</v>
      </c>
      <c r="BK1009" s="1" t="s">
        <v>74</v>
      </c>
      <c r="BL1009" s="1" t="s">
        <v>74</v>
      </c>
      <c r="BM1009" s="1" t="s">
        <v>74</v>
      </c>
      <c r="BN1009" s="1" t="s">
        <v>74</v>
      </c>
      <c r="BO1009" s="1" t="s">
        <v>74</v>
      </c>
      <c r="BP1009" s="1" t="s">
        <v>74</v>
      </c>
      <c r="BQ1009" s="1" t="s">
        <v>74</v>
      </c>
      <c r="BR1009" s="1" t="s">
        <v>74</v>
      </c>
      <c r="BS1009" s="1" t="s">
        <v>8688</v>
      </c>
      <c r="BT1009" s="1">
        <v>0</v>
      </c>
    </row>
    <row r="1010" spans="1:72" x14ac:dyDescent="0.2">
      <c r="A1010" s="1" t="s">
        <v>72</v>
      </c>
      <c r="B1010" s="1" t="s">
        <v>8689</v>
      </c>
      <c r="C1010" s="1" t="s">
        <v>74</v>
      </c>
      <c r="D1010" s="1" t="s">
        <v>74</v>
      </c>
      <c r="E1010" s="1" t="s">
        <v>74</v>
      </c>
      <c r="F1010" s="1" t="s">
        <v>8689</v>
      </c>
      <c r="G1010" s="1" t="s">
        <v>74</v>
      </c>
      <c r="H1010" s="1" t="s">
        <v>74</v>
      </c>
      <c r="I1010" s="1" t="s">
        <v>8690</v>
      </c>
      <c r="J1010" s="1" t="s">
        <v>98</v>
      </c>
      <c r="K1010" s="1" t="s">
        <v>74</v>
      </c>
      <c r="L1010" s="1" t="s">
        <v>74</v>
      </c>
      <c r="M1010" s="1" t="s">
        <v>74</v>
      </c>
      <c r="N1010" s="1" t="s">
        <v>74</v>
      </c>
      <c r="O1010" s="1" t="s">
        <v>8691</v>
      </c>
      <c r="P1010" s="1" t="s">
        <v>8692</v>
      </c>
      <c r="Q1010" s="1" t="s">
        <v>8693</v>
      </c>
      <c r="R1010" s="1" t="s">
        <v>74</v>
      </c>
      <c r="S1010" s="1" t="s">
        <v>74</v>
      </c>
      <c r="T1010" s="1" t="s">
        <v>74</v>
      </c>
      <c r="U1010" s="1" t="s">
        <v>74</v>
      </c>
      <c r="V1010" s="1" t="s">
        <v>8694</v>
      </c>
      <c r="W1010" s="1" t="s">
        <v>74</v>
      </c>
      <c r="X1010" s="1" t="s">
        <v>74</v>
      </c>
      <c r="Y1010" s="1" t="s">
        <v>74</v>
      </c>
      <c r="Z1010" s="1" t="s">
        <v>74</v>
      </c>
      <c r="AA1010" s="1" t="s">
        <v>74</v>
      </c>
      <c r="AB1010" s="1" t="s">
        <v>74</v>
      </c>
      <c r="AC1010" s="1" t="s">
        <v>74</v>
      </c>
      <c r="AD1010" s="1" t="s">
        <v>74</v>
      </c>
      <c r="AE1010" s="1" t="s">
        <v>74</v>
      </c>
      <c r="AF1010" s="1" t="s">
        <v>74</v>
      </c>
      <c r="AG1010" s="1" t="s">
        <v>74</v>
      </c>
      <c r="AH1010" s="1" t="s">
        <v>74</v>
      </c>
      <c r="AI1010" s="1" t="s">
        <v>74</v>
      </c>
      <c r="AJ1010" s="1" t="s">
        <v>74</v>
      </c>
      <c r="AK1010" s="1" t="s">
        <v>74</v>
      </c>
      <c r="AL1010" s="1" t="s">
        <v>74</v>
      </c>
      <c r="AM1010" s="1" t="s">
        <v>74</v>
      </c>
      <c r="AN1010" s="1" t="s">
        <v>74</v>
      </c>
      <c r="AO1010" s="1" t="s">
        <v>101</v>
      </c>
      <c r="AP1010" s="1" t="s">
        <v>74</v>
      </c>
      <c r="AQ1010" s="1" t="s">
        <v>74</v>
      </c>
      <c r="AR1010" s="1" t="s">
        <v>74</v>
      </c>
      <c r="AS1010" s="1" t="s">
        <v>74</v>
      </c>
      <c r="AT1010" s="1" t="s">
        <v>368</v>
      </c>
      <c r="AU1010" s="1">
        <v>2001</v>
      </c>
      <c r="AV1010" s="1" t="s">
        <v>8695</v>
      </c>
      <c r="AW1010" s="1" t="s">
        <v>74</v>
      </c>
      <c r="AX1010" s="1" t="s">
        <v>74</v>
      </c>
      <c r="AY1010" s="1" t="s">
        <v>74</v>
      </c>
      <c r="AZ1010" s="1" t="s">
        <v>2280</v>
      </c>
      <c r="BA1010" s="1" t="s">
        <v>74</v>
      </c>
      <c r="BB1010" s="1">
        <v>561</v>
      </c>
      <c r="BC1010" s="1">
        <v>565</v>
      </c>
      <c r="BD1010" s="1" t="s">
        <v>74</v>
      </c>
      <c r="BE1010" s="1" t="s">
        <v>8696</v>
      </c>
      <c r="BF1010" s="1">
        <v>0</v>
      </c>
      <c r="BG1010" s="1" t="s">
        <v>74</v>
      </c>
      <c r="BH1010" s="1" t="s">
        <v>74</v>
      </c>
      <c r="BI1010" s="1" t="s">
        <v>74</v>
      </c>
      <c r="BJ1010" s="1" t="s">
        <v>74</v>
      </c>
      <c r="BK1010" s="1" t="s">
        <v>74</v>
      </c>
      <c r="BL1010" s="1" t="s">
        <v>74</v>
      </c>
      <c r="BM1010" s="1" t="s">
        <v>74</v>
      </c>
      <c r="BN1010" s="1" t="s">
        <v>74</v>
      </c>
      <c r="BO1010" s="1" t="s">
        <v>74</v>
      </c>
      <c r="BP1010" s="1" t="s">
        <v>74</v>
      </c>
      <c r="BQ1010" s="1" t="s">
        <v>74</v>
      </c>
      <c r="BR1010" s="1" t="s">
        <v>74</v>
      </c>
      <c r="BS1010" s="1" t="s">
        <v>8697</v>
      </c>
      <c r="BT1010" s="1">
        <v>0</v>
      </c>
    </row>
    <row r="1011" spans="1:72" x14ac:dyDescent="0.2">
      <c r="A1011" s="1" t="s">
        <v>72</v>
      </c>
      <c r="B1011" s="1" t="s">
        <v>8698</v>
      </c>
      <c r="C1011" s="1" t="s">
        <v>74</v>
      </c>
      <c r="D1011" s="1" t="s">
        <v>74</v>
      </c>
      <c r="E1011" s="1" t="s">
        <v>74</v>
      </c>
      <c r="F1011" s="1" t="s">
        <v>8698</v>
      </c>
      <c r="G1011" s="1" t="s">
        <v>74</v>
      </c>
      <c r="H1011" s="1" t="s">
        <v>74</v>
      </c>
      <c r="I1011" s="1" t="s">
        <v>8699</v>
      </c>
      <c r="J1011" s="1" t="s">
        <v>4131</v>
      </c>
      <c r="K1011" s="1" t="s">
        <v>74</v>
      </c>
      <c r="L1011" s="1" t="s">
        <v>74</v>
      </c>
      <c r="M1011" s="1" t="s">
        <v>74</v>
      </c>
      <c r="N1011" s="1" t="s">
        <v>74</v>
      </c>
      <c r="O1011" s="1" t="s">
        <v>74</v>
      </c>
      <c r="P1011" s="1" t="s">
        <v>74</v>
      </c>
      <c r="Q1011" s="1" t="s">
        <v>74</v>
      </c>
      <c r="R1011" s="1" t="s">
        <v>74</v>
      </c>
      <c r="S1011" s="1" t="s">
        <v>74</v>
      </c>
      <c r="T1011" s="1" t="s">
        <v>74</v>
      </c>
      <c r="U1011" s="1" t="s">
        <v>74</v>
      </c>
      <c r="V1011" s="1" t="s">
        <v>8700</v>
      </c>
      <c r="W1011" s="1" t="s">
        <v>74</v>
      </c>
      <c r="X1011" s="1" t="s">
        <v>74</v>
      </c>
      <c r="Y1011" s="1" t="s">
        <v>74</v>
      </c>
      <c r="Z1011" s="1" t="s">
        <v>74</v>
      </c>
      <c r="AA1011" s="1" t="s">
        <v>8701</v>
      </c>
      <c r="AB1011" s="1" t="s">
        <v>8702</v>
      </c>
      <c r="AC1011" s="1" t="s">
        <v>74</v>
      </c>
      <c r="AD1011" s="1" t="s">
        <v>74</v>
      </c>
      <c r="AE1011" s="1" t="s">
        <v>74</v>
      </c>
      <c r="AF1011" s="1" t="s">
        <v>74</v>
      </c>
      <c r="AG1011" s="1" t="s">
        <v>74</v>
      </c>
      <c r="AH1011" s="1" t="s">
        <v>74</v>
      </c>
      <c r="AI1011" s="1" t="s">
        <v>74</v>
      </c>
      <c r="AJ1011" s="1" t="s">
        <v>74</v>
      </c>
      <c r="AK1011" s="1" t="s">
        <v>74</v>
      </c>
      <c r="AL1011" s="1" t="s">
        <v>74</v>
      </c>
      <c r="AM1011" s="1" t="s">
        <v>74</v>
      </c>
      <c r="AN1011" s="1" t="s">
        <v>74</v>
      </c>
      <c r="AO1011" s="1" t="s">
        <v>4135</v>
      </c>
      <c r="AP1011" s="1" t="s">
        <v>74</v>
      </c>
      <c r="AQ1011" s="1" t="s">
        <v>74</v>
      </c>
      <c r="AR1011" s="1" t="s">
        <v>74</v>
      </c>
      <c r="AS1011" s="1" t="s">
        <v>74</v>
      </c>
      <c r="AT1011" s="1" t="s">
        <v>155</v>
      </c>
      <c r="AU1011" s="1">
        <v>2000</v>
      </c>
      <c r="AV1011" s="1">
        <v>153</v>
      </c>
      <c r="AW1011" s="1">
        <v>2</v>
      </c>
      <c r="AX1011" s="1" t="s">
        <v>74</v>
      </c>
      <c r="AY1011" s="1" t="s">
        <v>74</v>
      </c>
      <c r="AZ1011" s="1" t="s">
        <v>74</v>
      </c>
      <c r="BA1011" s="1" t="s">
        <v>74</v>
      </c>
      <c r="BB1011" s="1">
        <v>282</v>
      </c>
      <c r="BC1011" s="1">
        <v>286</v>
      </c>
      <c r="BD1011" s="1" t="s">
        <v>74</v>
      </c>
      <c r="BE1011" s="1" t="s">
        <v>8703</v>
      </c>
      <c r="BF1011" s="1">
        <v>0</v>
      </c>
      <c r="BG1011" s="1" t="s">
        <v>74</v>
      </c>
      <c r="BH1011" s="1" t="s">
        <v>74</v>
      </c>
      <c r="BI1011" s="1" t="s">
        <v>74</v>
      </c>
      <c r="BJ1011" s="1" t="s">
        <v>74</v>
      </c>
      <c r="BK1011" s="1" t="s">
        <v>74</v>
      </c>
      <c r="BL1011" s="1" t="s">
        <v>74</v>
      </c>
      <c r="BM1011" s="1" t="s">
        <v>74</v>
      </c>
      <c r="BN1011" s="1" t="s">
        <v>74</v>
      </c>
      <c r="BO1011" s="1" t="s">
        <v>74</v>
      </c>
      <c r="BP1011" s="1" t="s">
        <v>74</v>
      </c>
      <c r="BQ1011" s="1" t="s">
        <v>74</v>
      </c>
      <c r="BR1011" s="1" t="s">
        <v>74</v>
      </c>
      <c r="BS1011" s="1" t="s">
        <v>8704</v>
      </c>
      <c r="BT1011" s="1">
        <v>0</v>
      </c>
    </row>
    <row r="1012" spans="1:72" x14ac:dyDescent="0.2">
      <c r="A1012" s="1" t="s">
        <v>72</v>
      </c>
      <c r="B1012" s="1" t="s">
        <v>8705</v>
      </c>
      <c r="C1012" s="1" t="s">
        <v>74</v>
      </c>
      <c r="D1012" s="1" t="s">
        <v>74</v>
      </c>
      <c r="E1012" s="1" t="s">
        <v>74</v>
      </c>
      <c r="F1012" s="1" t="s">
        <v>8705</v>
      </c>
      <c r="G1012" s="1" t="s">
        <v>74</v>
      </c>
      <c r="H1012" s="1" t="s">
        <v>74</v>
      </c>
      <c r="I1012" s="1" t="s">
        <v>8706</v>
      </c>
      <c r="J1012" s="1" t="s">
        <v>98</v>
      </c>
      <c r="K1012" s="1" t="s">
        <v>74</v>
      </c>
      <c r="L1012" s="1" t="s">
        <v>74</v>
      </c>
      <c r="M1012" s="1" t="s">
        <v>74</v>
      </c>
      <c r="N1012" s="1" t="s">
        <v>74</v>
      </c>
      <c r="O1012" s="1" t="s">
        <v>8707</v>
      </c>
      <c r="P1012" s="1" t="s">
        <v>8708</v>
      </c>
      <c r="Q1012" s="1" t="s">
        <v>8709</v>
      </c>
      <c r="R1012" s="1" t="s">
        <v>74</v>
      </c>
      <c r="S1012" s="1" t="s">
        <v>74</v>
      </c>
      <c r="T1012" s="1" t="s">
        <v>74</v>
      </c>
      <c r="U1012" s="1" t="s">
        <v>74</v>
      </c>
      <c r="V1012" s="1" t="s">
        <v>8710</v>
      </c>
      <c r="W1012" s="1" t="s">
        <v>74</v>
      </c>
      <c r="X1012" s="1" t="s">
        <v>74</v>
      </c>
      <c r="Y1012" s="1" t="s">
        <v>74</v>
      </c>
      <c r="Z1012" s="1" t="s">
        <v>74</v>
      </c>
      <c r="AA1012" s="1" t="s">
        <v>74</v>
      </c>
      <c r="AB1012" s="1" t="s">
        <v>74</v>
      </c>
      <c r="AC1012" s="1" t="s">
        <v>74</v>
      </c>
      <c r="AD1012" s="1" t="s">
        <v>74</v>
      </c>
      <c r="AE1012" s="1" t="s">
        <v>74</v>
      </c>
      <c r="AF1012" s="1" t="s">
        <v>74</v>
      </c>
      <c r="AG1012" s="1" t="s">
        <v>74</v>
      </c>
      <c r="AH1012" s="1" t="s">
        <v>74</v>
      </c>
      <c r="AI1012" s="1" t="s">
        <v>74</v>
      </c>
      <c r="AJ1012" s="1" t="s">
        <v>74</v>
      </c>
      <c r="AK1012" s="1" t="s">
        <v>74</v>
      </c>
      <c r="AL1012" s="1" t="s">
        <v>74</v>
      </c>
      <c r="AM1012" s="1" t="s">
        <v>74</v>
      </c>
      <c r="AN1012" s="1" t="s">
        <v>74</v>
      </c>
      <c r="AO1012" s="1" t="s">
        <v>101</v>
      </c>
      <c r="AP1012" s="1" t="s">
        <v>74</v>
      </c>
      <c r="AQ1012" s="1" t="s">
        <v>74</v>
      </c>
      <c r="AR1012" s="1" t="s">
        <v>74</v>
      </c>
      <c r="AS1012" s="1" t="s">
        <v>74</v>
      </c>
      <c r="AT1012" s="1" t="s">
        <v>629</v>
      </c>
      <c r="AU1012" s="1">
        <v>2000</v>
      </c>
      <c r="AV1012" s="1">
        <v>89</v>
      </c>
      <c r="AW1012" s="1">
        <v>2</v>
      </c>
      <c r="AX1012" s="1" t="s">
        <v>74</v>
      </c>
      <c r="AY1012" s="1" t="s">
        <v>74</v>
      </c>
      <c r="AZ1012" s="1" t="s">
        <v>74</v>
      </c>
      <c r="BA1012" s="1" t="s">
        <v>74</v>
      </c>
      <c r="BB1012" s="1">
        <v>163</v>
      </c>
      <c r="BC1012" s="1">
        <v>167</v>
      </c>
      <c r="BD1012" s="1" t="s">
        <v>74</v>
      </c>
      <c r="BE1012" s="1" t="s">
        <v>8711</v>
      </c>
      <c r="BF1012" s="1">
        <v>0</v>
      </c>
      <c r="BG1012" s="1" t="s">
        <v>74</v>
      </c>
      <c r="BH1012" s="1" t="s">
        <v>74</v>
      </c>
      <c r="BI1012" s="1" t="s">
        <v>74</v>
      </c>
      <c r="BJ1012" s="1" t="s">
        <v>74</v>
      </c>
      <c r="BK1012" s="1" t="s">
        <v>74</v>
      </c>
      <c r="BL1012" s="1" t="s">
        <v>74</v>
      </c>
      <c r="BM1012" s="1" t="s">
        <v>74</v>
      </c>
      <c r="BN1012" s="1" t="s">
        <v>74</v>
      </c>
      <c r="BO1012" s="1" t="s">
        <v>74</v>
      </c>
      <c r="BP1012" s="1" t="s">
        <v>74</v>
      </c>
      <c r="BQ1012" s="1" t="s">
        <v>74</v>
      </c>
      <c r="BR1012" s="1" t="s">
        <v>74</v>
      </c>
      <c r="BS1012" s="1" t="s">
        <v>8712</v>
      </c>
      <c r="BT1012" s="1">
        <v>0</v>
      </c>
    </row>
    <row r="1013" spans="1:72" x14ac:dyDescent="0.2">
      <c r="A1013" s="1" t="s">
        <v>2738</v>
      </c>
      <c r="B1013" s="1" t="s">
        <v>8713</v>
      </c>
      <c r="C1013" s="1" t="s">
        <v>74</v>
      </c>
      <c r="D1013" s="1" t="s">
        <v>8714</v>
      </c>
      <c r="E1013" s="1" t="s">
        <v>74</v>
      </c>
      <c r="F1013" s="1" t="s">
        <v>8713</v>
      </c>
      <c r="G1013" s="1" t="s">
        <v>74</v>
      </c>
      <c r="H1013" s="1" t="s">
        <v>74</v>
      </c>
      <c r="I1013" s="1" t="s">
        <v>8715</v>
      </c>
      <c r="J1013" s="1" t="s">
        <v>8716</v>
      </c>
      <c r="K1013" s="1" t="s">
        <v>8717</v>
      </c>
      <c r="L1013" s="1" t="s">
        <v>74</v>
      </c>
      <c r="M1013" s="1" t="s">
        <v>74</v>
      </c>
      <c r="N1013" s="1" t="s">
        <v>74</v>
      </c>
      <c r="O1013" s="1" t="s">
        <v>8718</v>
      </c>
      <c r="P1013" s="1" t="s">
        <v>8719</v>
      </c>
      <c r="Q1013" s="1" t="s">
        <v>8720</v>
      </c>
      <c r="R1013" s="1" t="s">
        <v>8721</v>
      </c>
      <c r="S1013" s="1" t="s">
        <v>74</v>
      </c>
      <c r="T1013" s="1" t="s">
        <v>74</v>
      </c>
      <c r="U1013" s="1" t="s">
        <v>74</v>
      </c>
      <c r="V1013" s="1" t="s">
        <v>8722</v>
      </c>
      <c r="W1013" s="1" t="s">
        <v>74</v>
      </c>
      <c r="X1013" s="1" t="s">
        <v>74</v>
      </c>
      <c r="Y1013" s="1" t="s">
        <v>74</v>
      </c>
      <c r="Z1013" s="1" t="s">
        <v>74</v>
      </c>
      <c r="AA1013" s="1" t="s">
        <v>74</v>
      </c>
      <c r="AB1013" s="1" t="s">
        <v>74</v>
      </c>
      <c r="AC1013" s="1" t="s">
        <v>74</v>
      </c>
      <c r="AD1013" s="1" t="s">
        <v>74</v>
      </c>
      <c r="AE1013" s="1" t="s">
        <v>74</v>
      </c>
      <c r="AF1013" s="1" t="s">
        <v>74</v>
      </c>
      <c r="AG1013" s="1" t="s">
        <v>74</v>
      </c>
      <c r="AH1013" s="1" t="s">
        <v>74</v>
      </c>
      <c r="AI1013" s="1" t="s">
        <v>74</v>
      </c>
      <c r="AJ1013" s="1" t="s">
        <v>74</v>
      </c>
      <c r="AK1013" s="1" t="s">
        <v>74</v>
      </c>
      <c r="AL1013" s="1" t="s">
        <v>74</v>
      </c>
      <c r="AM1013" s="1" t="s">
        <v>74</v>
      </c>
      <c r="AN1013" s="1" t="s">
        <v>74</v>
      </c>
      <c r="AO1013" s="1" t="s">
        <v>74</v>
      </c>
      <c r="AP1013" s="1" t="s">
        <v>74</v>
      </c>
      <c r="AQ1013" s="1" t="s">
        <v>8723</v>
      </c>
      <c r="AR1013" s="1" t="s">
        <v>74</v>
      </c>
      <c r="AS1013" s="1" t="s">
        <v>74</v>
      </c>
      <c r="AT1013" s="1" t="s">
        <v>74</v>
      </c>
      <c r="AU1013" s="1">
        <v>2000</v>
      </c>
      <c r="AV1013" s="1">
        <v>99</v>
      </c>
      <c r="AW1013" s="1">
        <v>25</v>
      </c>
      <c r="AX1013" s="1" t="s">
        <v>74</v>
      </c>
      <c r="AY1013" s="1" t="s">
        <v>74</v>
      </c>
      <c r="AZ1013" s="1" t="s">
        <v>74</v>
      </c>
      <c r="BA1013" s="1" t="s">
        <v>74</v>
      </c>
      <c r="BB1013" s="1">
        <v>485</v>
      </c>
      <c r="BC1013" s="1">
        <v>493</v>
      </c>
      <c r="BD1013" s="1" t="s">
        <v>74</v>
      </c>
      <c r="BE1013" s="1" t="s">
        <v>74</v>
      </c>
      <c r="BF1013" s="1" t="s">
        <v>74</v>
      </c>
      <c r="BG1013" s="1" t="s">
        <v>74</v>
      </c>
      <c r="BH1013" s="1" t="s">
        <v>74</v>
      </c>
      <c r="BI1013" s="1" t="s">
        <v>74</v>
      </c>
      <c r="BJ1013" s="1" t="s">
        <v>74</v>
      </c>
      <c r="BK1013" s="1" t="s">
        <v>74</v>
      </c>
      <c r="BL1013" s="1" t="s">
        <v>74</v>
      </c>
      <c r="BM1013" s="1" t="s">
        <v>74</v>
      </c>
      <c r="BN1013" s="1" t="s">
        <v>74</v>
      </c>
      <c r="BO1013" s="1" t="s">
        <v>74</v>
      </c>
      <c r="BP1013" s="1" t="s">
        <v>74</v>
      </c>
      <c r="BQ1013" s="1" t="s">
        <v>74</v>
      </c>
      <c r="BR1013" s="1" t="s">
        <v>74</v>
      </c>
      <c r="BS1013" s="1" t="s">
        <v>8724</v>
      </c>
      <c r="BT1013" s="1">
        <v>0</v>
      </c>
    </row>
    <row r="1014" spans="1:72" x14ac:dyDescent="0.2">
      <c r="A1014" s="1" t="s">
        <v>72</v>
      </c>
      <c r="B1014" s="1" t="s">
        <v>8725</v>
      </c>
      <c r="C1014" s="1" t="s">
        <v>74</v>
      </c>
      <c r="D1014" s="1" t="s">
        <v>74</v>
      </c>
      <c r="E1014" s="1" t="s">
        <v>74</v>
      </c>
      <c r="F1014" s="1" t="s">
        <v>8725</v>
      </c>
      <c r="G1014" s="1" t="s">
        <v>74</v>
      </c>
      <c r="H1014" s="1" t="s">
        <v>74</v>
      </c>
      <c r="I1014" s="1" t="s">
        <v>8726</v>
      </c>
      <c r="J1014" s="1" t="s">
        <v>8727</v>
      </c>
      <c r="K1014" s="1" t="s">
        <v>74</v>
      </c>
      <c r="L1014" s="1" t="s">
        <v>74</v>
      </c>
      <c r="M1014" s="1" t="s">
        <v>74</v>
      </c>
      <c r="N1014" s="1" t="s">
        <v>74</v>
      </c>
      <c r="O1014" s="1" t="s">
        <v>8728</v>
      </c>
      <c r="P1014" s="1" t="s">
        <v>8729</v>
      </c>
      <c r="Q1014" s="1" t="s">
        <v>8730</v>
      </c>
      <c r="R1014" s="1" t="s">
        <v>8731</v>
      </c>
      <c r="S1014" s="1" t="s">
        <v>8732</v>
      </c>
      <c r="T1014" s="1" t="s">
        <v>74</v>
      </c>
      <c r="U1014" s="1" t="s">
        <v>74</v>
      </c>
      <c r="V1014" s="1" t="s">
        <v>8733</v>
      </c>
      <c r="W1014" s="1" t="s">
        <v>74</v>
      </c>
      <c r="X1014" s="1" t="s">
        <v>74</v>
      </c>
      <c r="Y1014" s="1" t="s">
        <v>74</v>
      </c>
      <c r="Z1014" s="1" t="s">
        <v>74</v>
      </c>
      <c r="AA1014" s="1" t="s">
        <v>74</v>
      </c>
      <c r="AB1014" s="1" t="s">
        <v>8734</v>
      </c>
      <c r="AC1014" s="1" t="s">
        <v>74</v>
      </c>
      <c r="AD1014" s="1" t="s">
        <v>74</v>
      </c>
      <c r="AE1014" s="1" t="s">
        <v>74</v>
      </c>
      <c r="AF1014" s="1" t="s">
        <v>74</v>
      </c>
      <c r="AG1014" s="1" t="s">
        <v>74</v>
      </c>
      <c r="AH1014" s="1" t="s">
        <v>74</v>
      </c>
      <c r="AI1014" s="1" t="s">
        <v>74</v>
      </c>
      <c r="AJ1014" s="1" t="s">
        <v>74</v>
      </c>
      <c r="AK1014" s="1" t="s">
        <v>74</v>
      </c>
      <c r="AL1014" s="1" t="s">
        <v>74</v>
      </c>
      <c r="AM1014" s="1" t="s">
        <v>74</v>
      </c>
      <c r="AN1014" s="1" t="s">
        <v>74</v>
      </c>
      <c r="AO1014" s="1" t="s">
        <v>8735</v>
      </c>
      <c r="AP1014" s="1" t="s">
        <v>8736</v>
      </c>
      <c r="AQ1014" s="1" t="s">
        <v>74</v>
      </c>
      <c r="AR1014" s="1" t="s">
        <v>74</v>
      </c>
      <c r="AS1014" s="1" t="s">
        <v>74</v>
      </c>
      <c r="AT1014" s="1" t="s">
        <v>74</v>
      </c>
      <c r="AU1014" s="1">
        <v>2000</v>
      </c>
      <c r="AV1014" s="1">
        <v>340</v>
      </c>
      <c r="AW1014" s="1" t="s">
        <v>74</v>
      </c>
      <c r="AX1014" s="1" t="s">
        <v>74</v>
      </c>
      <c r="AY1014" s="1" t="s">
        <v>74</v>
      </c>
      <c r="AZ1014" s="1" t="s">
        <v>74</v>
      </c>
      <c r="BA1014" s="1" t="s">
        <v>74</v>
      </c>
      <c r="BB1014" s="1">
        <v>455</v>
      </c>
      <c r="BC1014" s="1">
        <v>460</v>
      </c>
      <c r="BD1014" s="1" t="s">
        <v>74</v>
      </c>
      <c r="BE1014" s="1" t="s">
        <v>8737</v>
      </c>
      <c r="BF1014" s="1">
        <v>0</v>
      </c>
      <c r="BG1014" s="1" t="s">
        <v>74</v>
      </c>
      <c r="BH1014" s="1" t="s">
        <v>74</v>
      </c>
      <c r="BI1014" s="1" t="s">
        <v>74</v>
      </c>
      <c r="BJ1014" s="1" t="s">
        <v>74</v>
      </c>
      <c r="BK1014" s="1" t="s">
        <v>74</v>
      </c>
      <c r="BL1014" s="1" t="s">
        <v>74</v>
      </c>
      <c r="BM1014" s="1" t="s">
        <v>74</v>
      </c>
      <c r="BN1014" s="1" t="s">
        <v>74</v>
      </c>
      <c r="BO1014" s="1" t="s">
        <v>74</v>
      </c>
      <c r="BP1014" s="1" t="s">
        <v>74</v>
      </c>
      <c r="BQ1014" s="1" t="s">
        <v>74</v>
      </c>
      <c r="BR1014" s="1" t="s">
        <v>74</v>
      </c>
      <c r="BS1014" s="1" t="s">
        <v>8738</v>
      </c>
      <c r="BT1014" s="1">
        <v>0</v>
      </c>
    </row>
    <row r="1015" spans="1:72" x14ac:dyDescent="0.2">
      <c r="A1015" s="1" t="s">
        <v>2738</v>
      </c>
      <c r="B1015" s="1" t="s">
        <v>8705</v>
      </c>
      <c r="C1015" s="1" t="s">
        <v>74</v>
      </c>
      <c r="D1015" s="1" t="s">
        <v>8714</v>
      </c>
      <c r="E1015" s="1" t="s">
        <v>74</v>
      </c>
      <c r="F1015" s="1" t="s">
        <v>8705</v>
      </c>
      <c r="G1015" s="1" t="s">
        <v>74</v>
      </c>
      <c r="H1015" s="1" t="s">
        <v>74</v>
      </c>
      <c r="I1015" s="1" t="s">
        <v>8739</v>
      </c>
      <c r="J1015" s="1" t="s">
        <v>8716</v>
      </c>
      <c r="K1015" s="1" t="s">
        <v>8717</v>
      </c>
      <c r="L1015" s="1" t="s">
        <v>74</v>
      </c>
      <c r="M1015" s="1" t="s">
        <v>74</v>
      </c>
      <c r="N1015" s="1" t="s">
        <v>74</v>
      </c>
      <c r="O1015" s="1" t="s">
        <v>8718</v>
      </c>
      <c r="P1015" s="1" t="s">
        <v>8719</v>
      </c>
      <c r="Q1015" s="1" t="s">
        <v>8720</v>
      </c>
      <c r="R1015" s="1" t="s">
        <v>8721</v>
      </c>
      <c r="S1015" s="1" t="s">
        <v>74</v>
      </c>
      <c r="T1015" s="1" t="s">
        <v>74</v>
      </c>
      <c r="U1015" s="1" t="s">
        <v>74</v>
      </c>
      <c r="V1015" s="1" t="s">
        <v>8740</v>
      </c>
      <c r="W1015" s="1" t="s">
        <v>74</v>
      </c>
      <c r="X1015" s="1" t="s">
        <v>74</v>
      </c>
      <c r="Y1015" s="1" t="s">
        <v>74</v>
      </c>
      <c r="Z1015" s="1" t="s">
        <v>74</v>
      </c>
      <c r="AA1015" s="1" t="s">
        <v>74</v>
      </c>
      <c r="AB1015" s="1" t="s">
        <v>74</v>
      </c>
      <c r="AC1015" s="1" t="s">
        <v>74</v>
      </c>
      <c r="AD1015" s="1" t="s">
        <v>74</v>
      </c>
      <c r="AE1015" s="1" t="s">
        <v>74</v>
      </c>
      <c r="AF1015" s="1" t="s">
        <v>74</v>
      </c>
      <c r="AG1015" s="1" t="s">
        <v>74</v>
      </c>
      <c r="AH1015" s="1" t="s">
        <v>74</v>
      </c>
      <c r="AI1015" s="1" t="s">
        <v>74</v>
      </c>
      <c r="AJ1015" s="1" t="s">
        <v>74</v>
      </c>
      <c r="AK1015" s="1" t="s">
        <v>74</v>
      </c>
      <c r="AL1015" s="1" t="s">
        <v>74</v>
      </c>
      <c r="AM1015" s="1" t="s">
        <v>74</v>
      </c>
      <c r="AN1015" s="1" t="s">
        <v>74</v>
      </c>
      <c r="AO1015" s="1" t="s">
        <v>74</v>
      </c>
      <c r="AP1015" s="1" t="s">
        <v>74</v>
      </c>
      <c r="AQ1015" s="1" t="s">
        <v>8723</v>
      </c>
      <c r="AR1015" s="1" t="s">
        <v>74</v>
      </c>
      <c r="AS1015" s="1" t="s">
        <v>74</v>
      </c>
      <c r="AT1015" s="1" t="s">
        <v>74</v>
      </c>
      <c r="AU1015" s="1">
        <v>2000</v>
      </c>
      <c r="AV1015" s="1">
        <v>99</v>
      </c>
      <c r="AW1015" s="1">
        <v>25</v>
      </c>
      <c r="AX1015" s="1" t="s">
        <v>74</v>
      </c>
      <c r="AY1015" s="1" t="s">
        <v>74</v>
      </c>
      <c r="AZ1015" s="1" t="s">
        <v>74</v>
      </c>
      <c r="BA1015" s="1" t="s">
        <v>74</v>
      </c>
      <c r="BB1015" s="1">
        <v>494</v>
      </c>
      <c r="BC1015" s="1">
        <v>503</v>
      </c>
      <c r="BD1015" s="1" t="s">
        <v>74</v>
      </c>
      <c r="BE1015" s="1" t="s">
        <v>74</v>
      </c>
      <c r="BF1015" s="1" t="s">
        <v>74</v>
      </c>
      <c r="BG1015" s="1" t="s">
        <v>74</v>
      </c>
      <c r="BH1015" s="1" t="s">
        <v>74</v>
      </c>
      <c r="BI1015" s="1" t="s">
        <v>74</v>
      </c>
      <c r="BJ1015" s="1" t="s">
        <v>74</v>
      </c>
      <c r="BK1015" s="1" t="s">
        <v>74</v>
      </c>
      <c r="BL1015" s="1" t="s">
        <v>74</v>
      </c>
      <c r="BM1015" s="1" t="s">
        <v>74</v>
      </c>
      <c r="BN1015" s="1" t="s">
        <v>74</v>
      </c>
      <c r="BO1015" s="1" t="s">
        <v>74</v>
      </c>
      <c r="BP1015" s="1" t="s">
        <v>74</v>
      </c>
      <c r="BQ1015" s="1" t="s">
        <v>74</v>
      </c>
      <c r="BR1015" s="1" t="s">
        <v>74</v>
      </c>
      <c r="BS1015" s="1" t="s">
        <v>8741</v>
      </c>
      <c r="BT1015" s="1">
        <v>0</v>
      </c>
    </row>
    <row r="1016" spans="1:72" x14ac:dyDescent="0.2">
      <c r="A1016" s="1" t="s">
        <v>2738</v>
      </c>
      <c r="B1016" s="1" t="s">
        <v>8742</v>
      </c>
      <c r="C1016" s="1" t="s">
        <v>74</v>
      </c>
      <c r="D1016" s="1" t="s">
        <v>8714</v>
      </c>
      <c r="E1016" s="1" t="s">
        <v>74</v>
      </c>
      <c r="F1016" s="1" t="s">
        <v>8742</v>
      </c>
      <c r="G1016" s="1" t="s">
        <v>74</v>
      </c>
      <c r="H1016" s="1" t="s">
        <v>74</v>
      </c>
      <c r="I1016" s="1" t="s">
        <v>8743</v>
      </c>
      <c r="J1016" s="1" t="s">
        <v>8716</v>
      </c>
      <c r="K1016" s="1" t="s">
        <v>8717</v>
      </c>
      <c r="L1016" s="1" t="s">
        <v>74</v>
      </c>
      <c r="M1016" s="1" t="s">
        <v>74</v>
      </c>
      <c r="N1016" s="1" t="s">
        <v>74</v>
      </c>
      <c r="O1016" s="1" t="s">
        <v>8718</v>
      </c>
      <c r="P1016" s="1" t="s">
        <v>8719</v>
      </c>
      <c r="Q1016" s="1" t="s">
        <v>8720</v>
      </c>
      <c r="R1016" s="1" t="s">
        <v>8721</v>
      </c>
      <c r="S1016" s="1" t="s">
        <v>74</v>
      </c>
      <c r="T1016" s="1" t="s">
        <v>74</v>
      </c>
      <c r="U1016" s="1" t="s">
        <v>74</v>
      </c>
      <c r="V1016" s="1" t="s">
        <v>8744</v>
      </c>
      <c r="W1016" s="1" t="s">
        <v>74</v>
      </c>
      <c r="X1016" s="1" t="s">
        <v>74</v>
      </c>
      <c r="Y1016" s="1" t="s">
        <v>74</v>
      </c>
      <c r="Z1016" s="1" t="s">
        <v>74</v>
      </c>
      <c r="AA1016" s="1" t="s">
        <v>74</v>
      </c>
      <c r="AB1016" s="1" t="s">
        <v>74</v>
      </c>
      <c r="AC1016" s="1" t="s">
        <v>74</v>
      </c>
      <c r="AD1016" s="1" t="s">
        <v>74</v>
      </c>
      <c r="AE1016" s="1" t="s">
        <v>74</v>
      </c>
      <c r="AF1016" s="1" t="s">
        <v>74</v>
      </c>
      <c r="AG1016" s="1" t="s">
        <v>74</v>
      </c>
      <c r="AH1016" s="1" t="s">
        <v>74</v>
      </c>
      <c r="AI1016" s="1" t="s">
        <v>74</v>
      </c>
      <c r="AJ1016" s="1" t="s">
        <v>74</v>
      </c>
      <c r="AK1016" s="1" t="s">
        <v>74</v>
      </c>
      <c r="AL1016" s="1" t="s">
        <v>74</v>
      </c>
      <c r="AM1016" s="1" t="s">
        <v>74</v>
      </c>
      <c r="AN1016" s="1" t="s">
        <v>74</v>
      </c>
      <c r="AO1016" s="1" t="s">
        <v>74</v>
      </c>
      <c r="AP1016" s="1" t="s">
        <v>74</v>
      </c>
      <c r="AQ1016" s="1" t="s">
        <v>8723</v>
      </c>
      <c r="AR1016" s="1" t="s">
        <v>74</v>
      </c>
      <c r="AS1016" s="1" t="s">
        <v>74</v>
      </c>
      <c r="AT1016" s="1" t="s">
        <v>74</v>
      </c>
      <c r="AU1016" s="1">
        <v>2000</v>
      </c>
      <c r="AV1016" s="1">
        <v>99</v>
      </c>
      <c r="AW1016" s="1">
        <v>25</v>
      </c>
      <c r="AX1016" s="1" t="s">
        <v>74</v>
      </c>
      <c r="AY1016" s="1" t="s">
        <v>74</v>
      </c>
      <c r="AZ1016" s="1" t="s">
        <v>74</v>
      </c>
      <c r="BA1016" s="1" t="s">
        <v>74</v>
      </c>
      <c r="BB1016" s="1">
        <v>540</v>
      </c>
      <c r="BC1016" s="1">
        <v>550</v>
      </c>
      <c r="BD1016" s="1" t="s">
        <v>74</v>
      </c>
      <c r="BE1016" s="1" t="s">
        <v>74</v>
      </c>
      <c r="BF1016" s="1" t="s">
        <v>74</v>
      </c>
      <c r="BG1016" s="1" t="s">
        <v>74</v>
      </c>
      <c r="BH1016" s="1" t="s">
        <v>74</v>
      </c>
      <c r="BI1016" s="1" t="s">
        <v>74</v>
      </c>
      <c r="BJ1016" s="1" t="s">
        <v>74</v>
      </c>
      <c r="BK1016" s="1" t="s">
        <v>74</v>
      </c>
      <c r="BL1016" s="1" t="s">
        <v>74</v>
      </c>
      <c r="BM1016" s="1" t="s">
        <v>74</v>
      </c>
      <c r="BN1016" s="1" t="s">
        <v>74</v>
      </c>
      <c r="BO1016" s="1" t="s">
        <v>74</v>
      </c>
      <c r="BP1016" s="1" t="s">
        <v>74</v>
      </c>
      <c r="BQ1016" s="1" t="s">
        <v>74</v>
      </c>
      <c r="BR1016" s="1" t="s">
        <v>74</v>
      </c>
      <c r="BS1016" s="1" t="s">
        <v>8745</v>
      </c>
      <c r="BT1016" s="1">
        <v>0</v>
      </c>
    </row>
    <row r="1017" spans="1:72" x14ac:dyDescent="0.2">
      <c r="A1017" s="1" t="s">
        <v>72</v>
      </c>
      <c r="B1017" s="1" t="s">
        <v>8628</v>
      </c>
      <c r="C1017" s="1" t="s">
        <v>74</v>
      </c>
      <c r="D1017" s="1" t="s">
        <v>74</v>
      </c>
      <c r="E1017" s="1" t="s">
        <v>74</v>
      </c>
      <c r="F1017" s="1" t="s">
        <v>8628</v>
      </c>
      <c r="G1017" s="1" t="s">
        <v>74</v>
      </c>
      <c r="H1017" s="1" t="s">
        <v>74</v>
      </c>
      <c r="I1017" s="1" t="s">
        <v>8746</v>
      </c>
      <c r="J1017" s="1" t="s">
        <v>1293</v>
      </c>
      <c r="K1017" s="1" t="s">
        <v>74</v>
      </c>
      <c r="L1017" s="1" t="s">
        <v>74</v>
      </c>
      <c r="M1017" s="1" t="s">
        <v>74</v>
      </c>
      <c r="N1017" s="1" t="s">
        <v>74</v>
      </c>
      <c r="O1017" s="1" t="s">
        <v>74</v>
      </c>
      <c r="P1017" s="1" t="s">
        <v>74</v>
      </c>
      <c r="Q1017" s="1" t="s">
        <v>74</v>
      </c>
      <c r="R1017" s="1" t="s">
        <v>74</v>
      </c>
      <c r="S1017" s="1" t="s">
        <v>74</v>
      </c>
      <c r="T1017" s="1" t="s">
        <v>74</v>
      </c>
      <c r="U1017" s="1" t="s">
        <v>74</v>
      </c>
      <c r="V1017" s="1" t="s">
        <v>8747</v>
      </c>
      <c r="W1017" s="1" t="s">
        <v>74</v>
      </c>
      <c r="X1017" s="1" t="s">
        <v>74</v>
      </c>
      <c r="Y1017" s="1" t="s">
        <v>74</v>
      </c>
      <c r="Z1017" s="1" t="s">
        <v>74</v>
      </c>
      <c r="AA1017" s="1" t="s">
        <v>74</v>
      </c>
      <c r="AB1017" s="1" t="s">
        <v>74</v>
      </c>
      <c r="AC1017" s="1" t="s">
        <v>74</v>
      </c>
      <c r="AD1017" s="1" t="s">
        <v>74</v>
      </c>
      <c r="AE1017" s="1" t="s">
        <v>74</v>
      </c>
      <c r="AF1017" s="1" t="s">
        <v>74</v>
      </c>
      <c r="AG1017" s="1" t="s">
        <v>74</v>
      </c>
      <c r="AH1017" s="1" t="s">
        <v>74</v>
      </c>
      <c r="AI1017" s="1" t="s">
        <v>74</v>
      </c>
      <c r="AJ1017" s="1" t="s">
        <v>74</v>
      </c>
      <c r="AK1017" s="1" t="s">
        <v>74</v>
      </c>
      <c r="AL1017" s="1" t="s">
        <v>74</v>
      </c>
      <c r="AM1017" s="1" t="s">
        <v>74</v>
      </c>
      <c r="AN1017" s="1" t="s">
        <v>74</v>
      </c>
      <c r="AO1017" s="1" t="s">
        <v>1297</v>
      </c>
      <c r="AP1017" s="1" t="s">
        <v>74</v>
      </c>
      <c r="AQ1017" s="1" t="s">
        <v>74</v>
      </c>
      <c r="AR1017" s="1" t="s">
        <v>74</v>
      </c>
      <c r="AS1017" s="1" t="s">
        <v>74</v>
      </c>
      <c r="AT1017" s="1" t="s">
        <v>113</v>
      </c>
      <c r="AU1017" s="1">
        <v>1999</v>
      </c>
      <c r="AV1017" s="1">
        <v>146</v>
      </c>
      <c r="AW1017" s="1">
        <v>10</v>
      </c>
      <c r="AX1017" s="1" t="s">
        <v>74</v>
      </c>
      <c r="AY1017" s="1" t="s">
        <v>74</v>
      </c>
      <c r="AZ1017" s="1" t="s">
        <v>74</v>
      </c>
      <c r="BA1017" s="1" t="s">
        <v>74</v>
      </c>
      <c r="BB1017" s="1">
        <v>3655</v>
      </c>
      <c r="BC1017" s="1">
        <v>3659</v>
      </c>
      <c r="BD1017" s="1" t="s">
        <v>74</v>
      </c>
      <c r="BE1017" s="1" t="s">
        <v>8748</v>
      </c>
      <c r="BF1017" s="1">
        <v>0</v>
      </c>
      <c r="BG1017" s="1" t="s">
        <v>74</v>
      </c>
      <c r="BH1017" s="1" t="s">
        <v>74</v>
      </c>
      <c r="BI1017" s="1" t="s">
        <v>74</v>
      </c>
      <c r="BJ1017" s="1" t="s">
        <v>74</v>
      </c>
      <c r="BK1017" s="1" t="s">
        <v>74</v>
      </c>
      <c r="BL1017" s="1" t="s">
        <v>74</v>
      </c>
      <c r="BM1017" s="1" t="s">
        <v>74</v>
      </c>
      <c r="BN1017" s="1" t="s">
        <v>74</v>
      </c>
      <c r="BO1017" s="1" t="s">
        <v>74</v>
      </c>
      <c r="BP1017" s="1" t="s">
        <v>74</v>
      </c>
      <c r="BQ1017" s="1" t="s">
        <v>74</v>
      </c>
      <c r="BR1017" s="1" t="s">
        <v>74</v>
      </c>
      <c r="BS1017" s="1" t="s">
        <v>8749</v>
      </c>
      <c r="BT1017" s="1">
        <v>0</v>
      </c>
    </row>
    <row r="1018" spans="1:72" x14ac:dyDescent="0.2">
      <c r="A1018" s="1" t="s">
        <v>72</v>
      </c>
      <c r="B1018" s="1" t="s">
        <v>8750</v>
      </c>
      <c r="C1018" s="1" t="s">
        <v>74</v>
      </c>
      <c r="D1018" s="1" t="s">
        <v>74</v>
      </c>
      <c r="E1018" s="1" t="s">
        <v>74</v>
      </c>
      <c r="F1018" s="1" t="s">
        <v>8750</v>
      </c>
      <c r="G1018" s="1" t="s">
        <v>74</v>
      </c>
      <c r="H1018" s="1" t="s">
        <v>74</v>
      </c>
      <c r="I1018" s="1" t="s">
        <v>8751</v>
      </c>
      <c r="J1018" s="1" t="s">
        <v>8752</v>
      </c>
      <c r="K1018" s="1" t="s">
        <v>74</v>
      </c>
      <c r="L1018" s="1" t="s">
        <v>74</v>
      </c>
      <c r="M1018" s="1" t="s">
        <v>74</v>
      </c>
      <c r="N1018" s="1" t="s">
        <v>74</v>
      </c>
      <c r="O1018" s="1" t="s">
        <v>8753</v>
      </c>
      <c r="P1018" s="1" t="s">
        <v>8754</v>
      </c>
      <c r="Q1018" s="1" t="s">
        <v>8755</v>
      </c>
      <c r="R1018" s="1" t="s">
        <v>8756</v>
      </c>
      <c r="S1018" s="1" t="s">
        <v>74</v>
      </c>
      <c r="T1018" s="1" t="s">
        <v>74</v>
      </c>
      <c r="U1018" s="1" t="s">
        <v>74</v>
      </c>
      <c r="V1018" s="1" t="s">
        <v>8757</v>
      </c>
      <c r="W1018" s="1" t="s">
        <v>74</v>
      </c>
      <c r="X1018" s="1" t="s">
        <v>74</v>
      </c>
      <c r="Y1018" s="1" t="s">
        <v>74</v>
      </c>
      <c r="Z1018" s="1" t="s">
        <v>74</v>
      </c>
      <c r="AA1018" s="1" t="s">
        <v>8758</v>
      </c>
      <c r="AB1018" s="1" t="s">
        <v>8759</v>
      </c>
      <c r="AC1018" s="1" t="s">
        <v>74</v>
      </c>
      <c r="AD1018" s="1" t="s">
        <v>74</v>
      </c>
      <c r="AE1018" s="1" t="s">
        <v>74</v>
      </c>
      <c r="AF1018" s="1" t="s">
        <v>74</v>
      </c>
      <c r="AG1018" s="1" t="s">
        <v>74</v>
      </c>
      <c r="AH1018" s="1" t="s">
        <v>74</v>
      </c>
      <c r="AI1018" s="1" t="s">
        <v>74</v>
      </c>
      <c r="AJ1018" s="1" t="s">
        <v>74</v>
      </c>
      <c r="AK1018" s="1" t="s">
        <v>74</v>
      </c>
      <c r="AL1018" s="1" t="s">
        <v>74</v>
      </c>
      <c r="AM1018" s="1" t="s">
        <v>74</v>
      </c>
      <c r="AN1018" s="1" t="s">
        <v>74</v>
      </c>
      <c r="AO1018" s="1" t="s">
        <v>8760</v>
      </c>
      <c r="AP1018" s="1" t="s">
        <v>74</v>
      </c>
      <c r="AQ1018" s="1" t="s">
        <v>74</v>
      </c>
      <c r="AR1018" s="1" t="s">
        <v>74</v>
      </c>
      <c r="AS1018" s="1" t="s">
        <v>74</v>
      </c>
      <c r="AT1018" s="1" t="s">
        <v>545</v>
      </c>
      <c r="AU1018" s="1">
        <v>1999</v>
      </c>
      <c r="AV1018" s="1">
        <v>266</v>
      </c>
      <c r="AW1018" s="1" t="s">
        <v>8449</v>
      </c>
      <c r="AX1018" s="1" t="s">
        <v>74</v>
      </c>
      <c r="AY1018" s="1" t="s">
        <v>74</v>
      </c>
      <c r="AZ1018" s="1" t="s">
        <v>74</v>
      </c>
      <c r="BA1018" s="1" t="s">
        <v>74</v>
      </c>
      <c r="BB1018" s="1">
        <v>108</v>
      </c>
      <c r="BC1018" s="1">
        <v>111</v>
      </c>
      <c r="BD1018" s="1" t="s">
        <v>74</v>
      </c>
      <c r="BE1018" s="1" t="s">
        <v>8761</v>
      </c>
      <c r="BF1018" s="1">
        <v>0</v>
      </c>
      <c r="BG1018" s="1" t="s">
        <v>74</v>
      </c>
      <c r="BH1018" s="1" t="s">
        <v>74</v>
      </c>
      <c r="BI1018" s="1" t="s">
        <v>74</v>
      </c>
      <c r="BJ1018" s="1" t="s">
        <v>74</v>
      </c>
      <c r="BK1018" s="1" t="s">
        <v>74</v>
      </c>
      <c r="BL1018" s="1" t="s">
        <v>74</v>
      </c>
      <c r="BM1018" s="1" t="s">
        <v>74</v>
      </c>
      <c r="BN1018" s="1" t="s">
        <v>74</v>
      </c>
      <c r="BO1018" s="1" t="s">
        <v>74</v>
      </c>
      <c r="BP1018" s="1" t="s">
        <v>74</v>
      </c>
      <c r="BQ1018" s="1" t="s">
        <v>74</v>
      </c>
      <c r="BR1018" s="1" t="s">
        <v>74</v>
      </c>
      <c r="BS1018" s="1" t="s">
        <v>8762</v>
      </c>
      <c r="BT1018" s="1">
        <v>0</v>
      </c>
    </row>
    <row r="1019" spans="1:72" x14ac:dyDescent="0.2">
      <c r="A1019" s="1" t="s">
        <v>72</v>
      </c>
      <c r="B1019" s="1" t="s">
        <v>8763</v>
      </c>
      <c r="C1019" s="1" t="s">
        <v>74</v>
      </c>
      <c r="D1019" s="1" t="s">
        <v>74</v>
      </c>
      <c r="E1019" s="1" t="s">
        <v>74</v>
      </c>
      <c r="F1019" s="1" t="s">
        <v>8763</v>
      </c>
      <c r="G1019" s="1" t="s">
        <v>74</v>
      </c>
      <c r="H1019" s="1" t="s">
        <v>74</v>
      </c>
      <c r="I1019" s="1" t="s">
        <v>8764</v>
      </c>
      <c r="J1019" s="1" t="s">
        <v>98</v>
      </c>
      <c r="K1019" s="1" t="s">
        <v>74</v>
      </c>
      <c r="L1019" s="1" t="s">
        <v>74</v>
      </c>
      <c r="M1019" s="1" t="s">
        <v>74</v>
      </c>
      <c r="N1019" s="1" t="s">
        <v>74</v>
      </c>
      <c r="O1019" s="1" t="s">
        <v>74</v>
      </c>
      <c r="P1019" s="1" t="s">
        <v>74</v>
      </c>
      <c r="Q1019" s="1" t="s">
        <v>74</v>
      </c>
      <c r="R1019" s="1" t="s">
        <v>74</v>
      </c>
      <c r="S1019" s="1" t="s">
        <v>74</v>
      </c>
      <c r="T1019" s="1" t="s">
        <v>74</v>
      </c>
      <c r="U1019" s="1" t="s">
        <v>74</v>
      </c>
      <c r="V1019" s="1" t="s">
        <v>8765</v>
      </c>
      <c r="W1019" s="1" t="s">
        <v>74</v>
      </c>
      <c r="X1019" s="1" t="s">
        <v>74</v>
      </c>
      <c r="Y1019" s="1" t="s">
        <v>74</v>
      </c>
      <c r="Z1019" s="1" t="s">
        <v>74</v>
      </c>
      <c r="AA1019" s="1" t="s">
        <v>74</v>
      </c>
      <c r="AB1019" s="1" t="s">
        <v>74</v>
      </c>
      <c r="AC1019" s="1" t="s">
        <v>74</v>
      </c>
      <c r="AD1019" s="1" t="s">
        <v>74</v>
      </c>
      <c r="AE1019" s="1" t="s">
        <v>74</v>
      </c>
      <c r="AF1019" s="1" t="s">
        <v>74</v>
      </c>
      <c r="AG1019" s="1" t="s">
        <v>74</v>
      </c>
      <c r="AH1019" s="1" t="s">
        <v>74</v>
      </c>
      <c r="AI1019" s="1" t="s">
        <v>74</v>
      </c>
      <c r="AJ1019" s="1" t="s">
        <v>74</v>
      </c>
      <c r="AK1019" s="1" t="s">
        <v>74</v>
      </c>
      <c r="AL1019" s="1" t="s">
        <v>74</v>
      </c>
      <c r="AM1019" s="1" t="s">
        <v>74</v>
      </c>
      <c r="AN1019" s="1" t="s">
        <v>74</v>
      </c>
      <c r="AO1019" s="1" t="s">
        <v>101</v>
      </c>
      <c r="AP1019" s="1" t="s">
        <v>74</v>
      </c>
      <c r="AQ1019" s="1" t="s">
        <v>74</v>
      </c>
      <c r="AR1019" s="1" t="s">
        <v>74</v>
      </c>
      <c r="AS1019" s="1" t="s">
        <v>74</v>
      </c>
      <c r="AT1019" s="1" t="s">
        <v>545</v>
      </c>
      <c r="AU1019" s="1">
        <v>1999</v>
      </c>
      <c r="AV1019" s="1">
        <v>79</v>
      </c>
      <c r="AW1019" s="1">
        <v>1</v>
      </c>
      <c r="AX1019" s="1" t="s">
        <v>74</v>
      </c>
      <c r="AY1019" s="1" t="s">
        <v>74</v>
      </c>
      <c r="AZ1019" s="1" t="s">
        <v>74</v>
      </c>
      <c r="BA1019" s="1" t="s">
        <v>74</v>
      </c>
      <c r="BB1019" s="1">
        <v>91</v>
      </c>
      <c r="BC1019" s="1">
        <v>96</v>
      </c>
      <c r="BD1019" s="1" t="s">
        <v>74</v>
      </c>
      <c r="BE1019" s="1" t="s">
        <v>8766</v>
      </c>
      <c r="BF1019" s="1">
        <v>0</v>
      </c>
      <c r="BG1019" s="1" t="s">
        <v>74</v>
      </c>
      <c r="BH1019" s="1" t="s">
        <v>74</v>
      </c>
      <c r="BI1019" s="1" t="s">
        <v>74</v>
      </c>
      <c r="BJ1019" s="1" t="s">
        <v>74</v>
      </c>
      <c r="BK1019" s="1" t="s">
        <v>74</v>
      </c>
      <c r="BL1019" s="1" t="s">
        <v>74</v>
      </c>
      <c r="BM1019" s="1" t="s">
        <v>74</v>
      </c>
      <c r="BN1019" s="1" t="s">
        <v>74</v>
      </c>
      <c r="BO1019" s="1" t="s">
        <v>74</v>
      </c>
      <c r="BP1019" s="1" t="s">
        <v>74</v>
      </c>
      <c r="BQ1019" s="1" t="s">
        <v>74</v>
      </c>
      <c r="BR1019" s="1" t="s">
        <v>74</v>
      </c>
      <c r="BS1019" s="1" t="s">
        <v>8767</v>
      </c>
      <c r="BT1019" s="1">
        <v>0</v>
      </c>
    </row>
    <row r="1020" spans="1:72" x14ac:dyDescent="0.2">
      <c r="A1020" s="1" t="s">
        <v>72</v>
      </c>
      <c r="B1020" s="1" t="s">
        <v>8768</v>
      </c>
      <c r="C1020" s="1" t="s">
        <v>74</v>
      </c>
      <c r="D1020" s="1" t="s">
        <v>74</v>
      </c>
      <c r="E1020" s="1" t="s">
        <v>74</v>
      </c>
      <c r="F1020" s="1" t="s">
        <v>8768</v>
      </c>
      <c r="G1020" s="1" t="s">
        <v>74</v>
      </c>
      <c r="H1020" s="1" t="s">
        <v>74</v>
      </c>
      <c r="I1020" s="1" t="s">
        <v>8769</v>
      </c>
      <c r="J1020" s="1" t="s">
        <v>3822</v>
      </c>
      <c r="K1020" s="1" t="s">
        <v>74</v>
      </c>
      <c r="L1020" s="1" t="s">
        <v>74</v>
      </c>
      <c r="M1020" s="1" t="s">
        <v>74</v>
      </c>
      <c r="N1020" s="1" t="s">
        <v>74</v>
      </c>
      <c r="O1020" s="1" t="s">
        <v>74</v>
      </c>
      <c r="P1020" s="1" t="s">
        <v>74</v>
      </c>
      <c r="Q1020" s="1" t="s">
        <v>74</v>
      </c>
      <c r="R1020" s="1" t="s">
        <v>74</v>
      </c>
      <c r="S1020" s="1" t="s">
        <v>74</v>
      </c>
      <c r="T1020" s="1" t="s">
        <v>74</v>
      </c>
      <c r="U1020" s="1" t="s">
        <v>74</v>
      </c>
      <c r="V1020" s="1" t="s">
        <v>8770</v>
      </c>
      <c r="W1020" s="1" t="s">
        <v>74</v>
      </c>
      <c r="X1020" s="1" t="s">
        <v>74</v>
      </c>
      <c r="Y1020" s="1" t="s">
        <v>74</v>
      </c>
      <c r="Z1020" s="1" t="s">
        <v>74</v>
      </c>
      <c r="AA1020" s="1" t="s">
        <v>8771</v>
      </c>
      <c r="AB1020" s="1" t="s">
        <v>8772</v>
      </c>
      <c r="AC1020" s="1" t="s">
        <v>74</v>
      </c>
      <c r="AD1020" s="1" t="s">
        <v>74</v>
      </c>
      <c r="AE1020" s="1" t="s">
        <v>74</v>
      </c>
      <c r="AF1020" s="1" t="s">
        <v>74</v>
      </c>
      <c r="AG1020" s="1" t="s">
        <v>74</v>
      </c>
      <c r="AH1020" s="1" t="s">
        <v>74</v>
      </c>
      <c r="AI1020" s="1" t="s">
        <v>74</v>
      </c>
      <c r="AJ1020" s="1" t="s">
        <v>74</v>
      </c>
      <c r="AK1020" s="1" t="s">
        <v>74</v>
      </c>
      <c r="AL1020" s="1" t="s">
        <v>74</v>
      </c>
      <c r="AM1020" s="1" t="s">
        <v>74</v>
      </c>
      <c r="AN1020" s="1" t="s">
        <v>74</v>
      </c>
      <c r="AO1020" s="1" t="s">
        <v>3826</v>
      </c>
      <c r="AP1020" s="1" t="s">
        <v>3827</v>
      </c>
      <c r="AQ1020" s="1" t="s">
        <v>74</v>
      </c>
      <c r="AR1020" s="1" t="s">
        <v>74</v>
      </c>
      <c r="AS1020" s="1" t="s">
        <v>74</v>
      </c>
      <c r="AT1020" s="1" t="s">
        <v>74</v>
      </c>
      <c r="AU1020" s="1">
        <v>1999</v>
      </c>
      <c r="AV1020" s="1">
        <v>37</v>
      </c>
      <c r="AW1020" s="1">
        <v>12</v>
      </c>
      <c r="AX1020" s="1" t="s">
        <v>74</v>
      </c>
      <c r="AY1020" s="1" t="s">
        <v>74</v>
      </c>
      <c r="AZ1020" s="1" t="s">
        <v>74</v>
      </c>
      <c r="BA1020" s="1" t="s">
        <v>74</v>
      </c>
      <c r="BB1020" s="1">
        <v>1961</v>
      </c>
      <c r="BC1020" s="1">
        <v>1964</v>
      </c>
      <c r="BD1020" s="1" t="s">
        <v>74</v>
      </c>
      <c r="BE1020" s="1" t="s">
        <v>8773</v>
      </c>
      <c r="BF1020" s="1">
        <v>0</v>
      </c>
      <c r="BG1020" s="1" t="s">
        <v>74</v>
      </c>
      <c r="BH1020" s="1" t="s">
        <v>74</v>
      </c>
      <c r="BI1020" s="1" t="s">
        <v>74</v>
      </c>
      <c r="BJ1020" s="1" t="s">
        <v>74</v>
      </c>
      <c r="BK1020" s="1" t="s">
        <v>74</v>
      </c>
      <c r="BL1020" s="1" t="s">
        <v>74</v>
      </c>
      <c r="BM1020" s="1" t="s">
        <v>74</v>
      </c>
      <c r="BN1020" s="1" t="s">
        <v>74</v>
      </c>
      <c r="BO1020" s="1" t="s">
        <v>74</v>
      </c>
      <c r="BP1020" s="1" t="s">
        <v>74</v>
      </c>
      <c r="BQ1020" s="1" t="s">
        <v>74</v>
      </c>
      <c r="BR1020" s="1" t="s">
        <v>74</v>
      </c>
      <c r="BS1020" s="1" t="s">
        <v>8774</v>
      </c>
      <c r="BT1020" s="1">
        <v>0</v>
      </c>
    </row>
    <row r="1021" spans="1:72" x14ac:dyDescent="0.2">
      <c r="A1021" s="1" t="s">
        <v>72</v>
      </c>
      <c r="B1021" s="1" t="s">
        <v>8775</v>
      </c>
      <c r="C1021" s="1" t="s">
        <v>74</v>
      </c>
      <c r="D1021" s="1" t="s">
        <v>74</v>
      </c>
      <c r="E1021" s="1" t="s">
        <v>74</v>
      </c>
      <c r="F1021" s="1" t="s">
        <v>8775</v>
      </c>
      <c r="G1021" s="1" t="s">
        <v>74</v>
      </c>
      <c r="H1021" s="1" t="s">
        <v>74</v>
      </c>
      <c r="I1021" s="1" t="s">
        <v>8776</v>
      </c>
      <c r="J1021" s="1" t="s">
        <v>8118</v>
      </c>
      <c r="K1021" s="1" t="s">
        <v>74</v>
      </c>
      <c r="L1021" s="1" t="s">
        <v>74</v>
      </c>
      <c r="M1021" s="1" t="s">
        <v>74</v>
      </c>
      <c r="N1021" s="1" t="s">
        <v>74</v>
      </c>
      <c r="O1021" s="1" t="s">
        <v>74</v>
      </c>
      <c r="P1021" s="1" t="s">
        <v>74</v>
      </c>
      <c r="Q1021" s="1" t="s">
        <v>74</v>
      </c>
      <c r="R1021" s="1" t="s">
        <v>74</v>
      </c>
      <c r="S1021" s="1" t="s">
        <v>74</v>
      </c>
      <c r="T1021" s="1" t="s">
        <v>74</v>
      </c>
      <c r="U1021" s="1" t="s">
        <v>74</v>
      </c>
      <c r="V1021" s="1" t="s">
        <v>8777</v>
      </c>
      <c r="W1021" s="1" t="s">
        <v>74</v>
      </c>
      <c r="X1021" s="1" t="s">
        <v>74</v>
      </c>
      <c r="Y1021" s="1" t="s">
        <v>74</v>
      </c>
      <c r="Z1021" s="1" t="s">
        <v>74</v>
      </c>
      <c r="AA1021" s="1" t="s">
        <v>74</v>
      </c>
      <c r="AB1021" s="1" t="s">
        <v>74</v>
      </c>
      <c r="AC1021" s="1" t="s">
        <v>74</v>
      </c>
      <c r="AD1021" s="1" t="s">
        <v>74</v>
      </c>
      <c r="AE1021" s="1" t="s">
        <v>74</v>
      </c>
      <c r="AF1021" s="1" t="s">
        <v>74</v>
      </c>
      <c r="AG1021" s="1" t="s">
        <v>74</v>
      </c>
      <c r="AH1021" s="1" t="s">
        <v>74</v>
      </c>
      <c r="AI1021" s="1" t="s">
        <v>74</v>
      </c>
      <c r="AJ1021" s="1" t="s">
        <v>74</v>
      </c>
      <c r="AK1021" s="1" t="s">
        <v>74</v>
      </c>
      <c r="AL1021" s="1" t="s">
        <v>74</v>
      </c>
      <c r="AM1021" s="1" t="s">
        <v>74</v>
      </c>
      <c r="AN1021" s="1" t="s">
        <v>74</v>
      </c>
      <c r="AO1021" s="1" t="s">
        <v>8122</v>
      </c>
      <c r="AP1021" s="1" t="s">
        <v>74</v>
      </c>
      <c r="AQ1021" s="1" t="s">
        <v>74</v>
      </c>
      <c r="AR1021" s="1" t="s">
        <v>74</v>
      </c>
      <c r="AS1021" s="1" t="s">
        <v>74</v>
      </c>
      <c r="AT1021" s="1" t="s">
        <v>1318</v>
      </c>
      <c r="AU1021" s="1">
        <v>1998</v>
      </c>
      <c r="AV1021" s="1">
        <v>1</v>
      </c>
      <c r="AW1021" s="1">
        <v>6</v>
      </c>
      <c r="AX1021" s="1" t="s">
        <v>74</v>
      </c>
      <c r="AY1021" s="1" t="s">
        <v>74</v>
      </c>
      <c r="AZ1021" s="1" t="s">
        <v>74</v>
      </c>
      <c r="BA1021" s="1" t="s">
        <v>74</v>
      </c>
      <c r="BB1021" s="1">
        <v>239</v>
      </c>
      <c r="BC1021" s="1">
        <v>240</v>
      </c>
      <c r="BD1021" s="1" t="s">
        <v>74</v>
      </c>
      <c r="BE1021" s="1" t="s">
        <v>74</v>
      </c>
      <c r="BF1021" s="1" t="s">
        <v>74</v>
      </c>
      <c r="BG1021" s="1" t="s">
        <v>74</v>
      </c>
      <c r="BH1021" s="1" t="s">
        <v>74</v>
      </c>
      <c r="BI1021" s="1" t="s">
        <v>74</v>
      </c>
      <c r="BJ1021" s="1" t="s">
        <v>74</v>
      </c>
      <c r="BK1021" s="1" t="s">
        <v>74</v>
      </c>
      <c r="BL1021" s="1" t="s">
        <v>74</v>
      </c>
      <c r="BM1021" s="1" t="s">
        <v>74</v>
      </c>
      <c r="BN1021" s="1" t="s">
        <v>74</v>
      </c>
      <c r="BO1021" s="1" t="s">
        <v>74</v>
      </c>
      <c r="BP1021" s="1" t="s">
        <v>74</v>
      </c>
      <c r="BQ1021" s="1" t="s">
        <v>74</v>
      </c>
      <c r="BR1021" s="1" t="s">
        <v>74</v>
      </c>
      <c r="BS1021" s="1" t="s">
        <v>8778</v>
      </c>
      <c r="BT1021" s="1">
        <v>0</v>
      </c>
    </row>
    <row r="1022" spans="1:72" x14ac:dyDescent="0.2">
      <c r="A1022" s="1" t="s">
        <v>72</v>
      </c>
      <c r="B1022" s="1" t="s">
        <v>8779</v>
      </c>
      <c r="C1022" s="1" t="s">
        <v>74</v>
      </c>
      <c r="D1022" s="1" t="s">
        <v>74</v>
      </c>
      <c r="E1022" s="1" t="s">
        <v>74</v>
      </c>
      <c r="F1022" s="1" t="s">
        <v>8779</v>
      </c>
      <c r="G1022" s="1" t="s">
        <v>74</v>
      </c>
      <c r="H1022" s="1" t="s">
        <v>74</v>
      </c>
      <c r="I1022" s="1" t="s">
        <v>8780</v>
      </c>
      <c r="J1022" s="1" t="s">
        <v>1293</v>
      </c>
      <c r="K1022" s="1" t="s">
        <v>74</v>
      </c>
      <c r="L1022" s="1" t="s">
        <v>74</v>
      </c>
      <c r="M1022" s="1" t="s">
        <v>74</v>
      </c>
      <c r="N1022" s="1" t="s">
        <v>74</v>
      </c>
      <c r="O1022" s="1" t="s">
        <v>74</v>
      </c>
      <c r="P1022" s="1" t="s">
        <v>74</v>
      </c>
      <c r="Q1022" s="1" t="s">
        <v>74</v>
      </c>
      <c r="R1022" s="1" t="s">
        <v>74</v>
      </c>
      <c r="S1022" s="1" t="s">
        <v>74</v>
      </c>
      <c r="T1022" s="1" t="s">
        <v>74</v>
      </c>
      <c r="U1022" s="1" t="s">
        <v>74</v>
      </c>
      <c r="V1022" s="1" t="s">
        <v>8781</v>
      </c>
      <c r="W1022" s="1" t="s">
        <v>74</v>
      </c>
      <c r="X1022" s="1" t="s">
        <v>74</v>
      </c>
      <c r="Y1022" s="1" t="s">
        <v>74</v>
      </c>
      <c r="Z1022" s="1" t="s">
        <v>74</v>
      </c>
      <c r="AA1022" s="1" t="s">
        <v>74</v>
      </c>
      <c r="AB1022" s="1" t="s">
        <v>74</v>
      </c>
      <c r="AC1022" s="1" t="s">
        <v>74</v>
      </c>
      <c r="AD1022" s="1" t="s">
        <v>74</v>
      </c>
      <c r="AE1022" s="1" t="s">
        <v>74</v>
      </c>
      <c r="AF1022" s="1" t="s">
        <v>74</v>
      </c>
      <c r="AG1022" s="1" t="s">
        <v>74</v>
      </c>
      <c r="AH1022" s="1" t="s">
        <v>74</v>
      </c>
      <c r="AI1022" s="1" t="s">
        <v>74</v>
      </c>
      <c r="AJ1022" s="1" t="s">
        <v>74</v>
      </c>
      <c r="AK1022" s="1" t="s">
        <v>74</v>
      </c>
      <c r="AL1022" s="1" t="s">
        <v>74</v>
      </c>
      <c r="AM1022" s="1" t="s">
        <v>74</v>
      </c>
      <c r="AN1022" s="1" t="s">
        <v>74</v>
      </c>
      <c r="AO1022" s="1" t="s">
        <v>1297</v>
      </c>
      <c r="AP1022" s="1" t="s">
        <v>74</v>
      </c>
      <c r="AQ1022" s="1" t="s">
        <v>74</v>
      </c>
      <c r="AR1022" s="1" t="s">
        <v>74</v>
      </c>
      <c r="AS1022" s="1" t="s">
        <v>74</v>
      </c>
      <c r="AT1022" s="1" t="s">
        <v>629</v>
      </c>
      <c r="AU1022" s="1">
        <v>1998</v>
      </c>
      <c r="AV1022" s="1">
        <v>145</v>
      </c>
      <c r="AW1022" s="1">
        <v>8</v>
      </c>
      <c r="AX1022" s="1" t="s">
        <v>74</v>
      </c>
      <c r="AY1022" s="1" t="s">
        <v>74</v>
      </c>
      <c r="AZ1022" s="1" t="s">
        <v>74</v>
      </c>
      <c r="BA1022" s="1" t="s">
        <v>74</v>
      </c>
      <c r="BB1022" s="1">
        <v>2813</v>
      </c>
      <c r="BC1022" s="1">
        <v>2818</v>
      </c>
      <c r="BD1022" s="1" t="s">
        <v>74</v>
      </c>
      <c r="BE1022" s="1" t="s">
        <v>8782</v>
      </c>
      <c r="BF1022" s="1">
        <v>0</v>
      </c>
      <c r="BG1022" s="1" t="s">
        <v>74</v>
      </c>
      <c r="BH1022" s="1" t="s">
        <v>74</v>
      </c>
      <c r="BI1022" s="1" t="s">
        <v>74</v>
      </c>
      <c r="BJ1022" s="1" t="s">
        <v>74</v>
      </c>
      <c r="BK1022" s="1" t="s">
        <v>74</v>
      </c>
      <c r="BL1022" s="1" t="s">
        <v>74</v>
      </c>
      <c r="BM1022" s="1" t="s">
        <v>74</v>
      </c>
      <c r="BN1022" s="1" t="s">
        <v>74</v>
      </c>
      <c r="BO1022" s="1" t="s">
        <v>74</v>
      </c>
      <c r="BP1022" s="1" t="s">
        <v>74</v>
      </c>
      <c r="BQ1022" s="1" t="s">
        <v>74</v>
      </c>
      <c r="BR1022" s="1" t="s">
        <v>74</v>
      </c>
      <c r="BS1022" s="1" t="s">
        <v>8783</v>
      </c>
      <c r="BT1022" s="1">
        <v>0</v>
      </c>
    </row>
    <row r="1023" spans="1:72" x14ac:dyDescent="0.2">
      <c r="A1023" s="1" t="s">
        <v>72</v>
      </c>
      <c r="B1023" s="1" t="s">
        <v>8784</v>
      </c>
      <c r="C1023" s="1" t="s">
        <v>74</v>
      </c>
      <c r="D1023" s="1" t="s">
        <v>74</v>
      </c>
      <c r="E1023" s="1" t="s">
        <v>74</v>
      </c>
      <c r="F1023" s="1" t="s">
        <v>8784</v>
      </c>
      <c r="G1023" s="1" t="s">
        <v>74</v>
      </c>
      <c r="H1023" s="1" t="s">
        <v>74</v>
      </c>
      <c r="I1023" s="1" t="s">
        <v>8785</v>
      </c>
      <c r="J1023" s="1" t="s">
        <v>98</v>
      </c>
      <c r="K1023" s="1" t="s">
        <v>74</v>
      </c>
      <c r="L1023" s="1" t="s">
        <v>74</v>
      </c>
      <c r="M1023" s="1" t="s">
        <v>74</v>
      </c>
      <c r="N1023" s="1" t="s">
        <v>74</v>
      </c>
      <c r="O1023" s="1" t="s">
        <v>8786</v>
      </c>
      <c r="P1023" s="1" t="s">
        <v>8787</v>
      </c>
      <c r="Q1023" s="1" t="s">
        <v>8788</v>
      </c>
      <c r="R1023" s="1" t="s">
        <v>74</v>
      </c>
      <c r="S1023" s="1" t="s">
        <v>74</v>
      </c>
      <c r="T1023" s="1" t="s">
        <v>74</v>
      </c>
      <c r="U1023" s="1" t="s">
        <v>74</v>
      </c>
      <c r="V1023" s="1" t="s">
        <v>8789</v>
      </c>
      <c r="W1023" s="1" t="s">
        <v>74</v>
      </c>
      <c r="X1023" s="1" t="s">
        <v>74</v>
      </c>
      <c r="Y1023" s="1" t="s">
        <v>74</v>
      </c>
      <c r="Z1023" s="1" t="s">
        <v>74</v>
      </c>
      <c r="AA1023" s="1" t="s">
        <v>8241</v>
      </c>
      <c r="AB1023" s="1" t="s">
        <v>8242</v>
      </c>
      <c r="AC1023" s="1" t="s">
        <v>74</v>
      </c>
      <c r="AD1023" s="1" t="s">
        <v>74</v>
      </c>
      <c r="AE1023" s="1" t="s">
        <v>74</v>
      </c>
      <c r="AF1023" s="1" t="s">
        <v>74</v>
      </c>
      <c r="AG1023" s="1" t="s">
        <v>74</v>
      </c>
      <c r="AH1023" s="1" t="s">
        <v>74</v>
      </c>
      <c r="AI1023" s="1" t="s">
        <v>74</v>
      </c>
      <c r="AJ1023" s="1" t="s">
        <v>74</v>
      </c>
      <c r="AK1023" s="1" t="s">
        <v>74</v>
      </c>
      <c r="AL1023" s="1" t="s">
        <v>74</v>
      </c>
      <c r="AM1023" s="1" t="s">
        <v>74</v>
      </c>
      <c r="AN1023" s="1" t="s">
        <v>74</v>
      </c>
      <c r="AO1023" s="1" t="s">
        <v>101</v>
      </c>
      <c r="AP1023" s="1" t="s">
        <v>74</v>
      </c>
      <c r="AQ1023" s="1" t="s">
        <v>74</v>
      </c>
      <c r="AR1023" s="1" t="s">
        <v>74</v>
      </c>
      <c r="AS1023" s="1" t="s">
        <v>74</v>
      </c>
      <c r="AT1023" s="1" t="s">
        <v>113</v>
      </c>
      <c r="AU1023" s="1">
        <v>1997</v>
      </c>
      <c r="AV1023" s="1">
        <v>68</v>
      </c>
      <c r="AW1023" s="1">
        <v>2</v>
      </c>
      <c r="AX1023" s="1" t="s">
        <v>74</v>
      </c>
      <c r="AY1023" s="1" t="s">
        <v>74</v>
      </c>
      <c r="AZ1023" s="1" t="s">
        <v>74</v>
      </c>
      <c r="BA1023" s="1" t="s">
        <v>74</v>
      </c>
      <c r="BB1023" s="1">
        <v>377</v>
      </c>
      <c r="BC1023" s="1">
        <v>380</v>
      </c>
      <c r="BD1023" s="1" t="s">
        <v>74</v>
      </c>
      <c r="BE1023" s="1" t="s">
        <v>8790</v>
      </c>
      <c r="BF1023" s="1">
        <v>0</v>
      </c>
      <c r="BG1023" s="1" t="s">
        <v>74</v>
      </c>
      <c r="BH1023" s="1" t="s">
        <v>74</v>
      </c>
      <c r="BI1023" s="1" t="s">
        <v>74</v>
      </c>
      <c r="BJ1023" s="1" t="s">
        <v>74</v>
      </c>
      <c r="BK1023" s="1" t="s">
        <v>74</v>
      </c>
      <c r="BL1023" s="1" t="s">
        <v>74</v>
      </c>
      <c r="BM1023" s="1" t="s">
        <v>74</v>
      </c>
      <c r="BN1023" s="1" t="s">
        <v>74</v>
      </c>
      <c r="BO1023" s="1" t="s">
        <v>74</v>
      </c>
      <c r="BP1023" s="1" t="s">
        <v>74</v>
      </c>
      <c r="BQ1023" s="1" t="s">
        <v>74</v>
      </c>
      <c r="BR1023" s="1" t="s">
        <v>74</v>
      </c>
      <c r="BS1023" s="1" t="s">
        <v>8791</v>
      </c>
      <c r="BT1023" s="1">
        <v>0</v>
      </c>
    </row>
    <row r="1024" spans="1:72" x14ac:dyDescent="0.2">
      <c r="A1024" s="1" t="s">
        <v>72</v>
      </c>
      <c r="B1024" s="1" t="s">
        <v>8792</v>
      </c>
      <c r="C1024" s="1" t="s">
        <v>74</v>
      </c>
      <c r="D1024" s="1" t="s">
        <v>74</v>
      </c>
      <c r="E1024" s="1" t="s">
        <v>74</v>
      </c>
      <c r="F1024" s="1" t="s">
        <v>8792</v>
      </c>
      <c r="G1024" s="1" t="s">
        <v>74</v>
      </c>
      <c r="H1024" s="1" t="s">
        <v>74</v>
      </c>
      <c r="I1024" s="1" t="s">
        <v>8793</v>
      </c>
      <c r="J1024" s="1" t="s">
        <v>1293</v>
      </c>
      <c r="K1024" s="1" t="s">
        <v>74</v>
      </c>
      <c r="L1024" s="1" t="s">
        <v>74</v>
      </c>
      <c r="M1024" s="1" t="s">
        <v>74</v>
      </c>
      <c r="N1024" s="1" t="s">
        <v>74</v>
      </c>
      <c r="O1024" s="1" t="s">
        <v>74</v>
      </c>
      <c r="P1024" s="1" t="s">
        <v>74</v>
      </c>
      <c r="Q1024" s="1" t="s">
        <v>74</v>
      </c>
      <c r="R1024" s="1" t="s">
        <v>74</v>
      </c>
      <c r="S1024" s="1" t="s">
        <v>74</v>
      </c>
      <c r="T1024" s="1" t="s">
        <v>74</v>
      </c>
      <c r="U1024" s="1" t="s">
        <v>74</v>
      </c>
      <c r="V1024" s="1" t="s">
        <v>8794</v>
      </c>
      <c r="W1024" s="1" t="s">
        <v>74</v>
      </c>
      <c r="X1024" s="1" t="s">
        <v>74</v>
      </c>
      <c r="Y1024" s="1" t="s">
        <v>74</v>
      </c>
      <c r="Z1024" s="1" t="s">
        <v>74</v>
      </c>
      <c r="AA1024" s="1" t="s">
        <v>74</v>
      </c>
      <c r="AB1024" s="1" t="s">
        <v>74</v>
      </c>
      <c r="AC1024" s="1" t="s">
        <v>74</v>
      </c>
      <c r="AD1024" s="1" t="s">
        <v>74</v>
      </c>
      <c r="AE1024" s="1" t="s">
        <v>74</v>
      </c>
      <c r="AF1024" s="1" t="s">
        <v>74</v>
      </c>
      <c r="AG1024" s="1" t="s">
        <v>74</v>
      </c>
      <c r="AH1024" s="1" t="s">
        <v>74</v>
      </c>
      <c r="AI1024" s="1" t="s">
        <v>74</v>
      </c>
      <c r="AJ1024" s="1" t="s">
        <v>74</v>
      </c>
      <c r="AK1024" s="1" t="s">
        <v>74</v>
      </c>
      <c r="AL1024" s="1" t="s">
        <v>74</v>
      </c>
      <c r="AM1024" s="1" t="s">
        <v>74</v>
      </c>
      <c r="AN1024" s="1" t="s">
        <v>74</v>
      </c>
      <c r="AO1024" s="1" t="s">
        <v>1297</v>
      </c>
      <c r="AP1024" s="1" t="s">
        <v>74</v>
      </c>
      <c r="AQ1024" s="1" t="s">
        <v>74</v>
      </c>
      <c r="AR1024" s="1" t="s">
        <v>74</v>
      </c>
      <c r="AS1024" s="1" t="s">
        <v>74</v>
      </c>
      <c r="AT1024" s="1" t="s">
        <v>155</v>
      </c>
      <c r="AU1024" s="1">
        <v>1997</v>
      </c>
      <c r="AV1024" s="1">
        <v>144</v>
      </c>
      <c r="AW1024" s="1">
        <v>9</v>
      </c>
      <c r="AX1024" s="1" t="s">
        <v>74</v>
      </c>
      <c r="AY1024" s="1" t="s">
        <v>74</v>
      </c>
      <c r="AZ1024" s="1" t="s">
        <v>74</v>
      </c>
      <c r="BA1024" s="1" t="s">
        <v>74</v>
      </c>
      <c r="BB1024" s="1" t="s">
        <v>8795</v>
      </c>
      <c r="BC1024" s="1" t="s">
        <v>8796</v>
      </c>
      <c r="BD1024" s="1" t="s">
        <v>74</v>
      </c>
      <c r="BE1024" s="1" t="s">
        <v>8797</v>
      </c>
      <c r="BF1024" s="1">
        <v>0</v>
      </c>
      <c r="BG1024" s="1" t="s">
        <v>74</v>
      </c>
      <c r="BH1024" s="1" t="s">
        <v>74</v>
      </c>
      <c r="BI1024" s="1" t="s">
        <v>74</v>
      </c>
      <c r="BJ1024" s="1" t="s">
        <v>74</v>
      </c>
      <c r="BK1024" s="1" t="s">
        <v>74</v>
      </c>
      <c r="BL1024" s="1" t="s">
        <v>74</v>
      </c>
      <c r="BM1024" s="1" t="s">
        <v>74</v>
      </c>
      <c r="BN1024" s="1" t="s">
        <v>74</v>
      </c>
      <c r="BO1024" s="1" t="s">
        <v>74</v>
      </c>
      <c r="BP1024" s="1" t="s">
        <v>74</v>
      </c>
      <c r="BQ1024" s="1" t="s">
        <v>74</v>
      </c>
      <c r="BR1024" s="1" t="s">
        <v>74</v>
      </c>
      <c r="BS1024" s="1" t="s">
        <v>8798</v>
      </c>
      <c r="BT1024" s="1">
        <v>0</v>
      </c>
    </row>
    <row r="1025" spans="1:72" x14ac:dyDescent="0.2">
      <c r="A1025" s="1" t="s">
        <v>2738</v>
      </c>
      <c r="B1025" s="1" t="s">
        <v>8799</v>
      </c>
      <c r="C1025" s="1" t="s">
        <v>74</v>
      </c>
      <c r="D1025" s="1" t="s">
        <v>74</v>
      </c>
      <c r="E1025" s="1" t="s">
        <v>8800</v>
      </c>
      <c r="F1025" s="1" t="s">
        <v>8799</v>
      </c>
      <c r="G1025" s="1" t="s">
        <v>74</v>
      </c>
      <c r="H1025" s="1" t="s">
        <v>74</v>
      </c>
      <c r="I1025" s="1" t="s">
        <v>8801</v>
      </c>
      <c r="J1025" s="1" t="s">
        <v>8802</v>
      </c>
      <c r="K1025" s="1" t="s">
        <v>74</v>
      </c>
      <c r="L1025" s="1" t="s">
        <v>74</v>
      </c>
      <c r="M1025" s="1" t="s">
        <v>74</v>
      </c>
      <c r="N1025" s="1" t="s">
        <v>74</v>
      </c>
      <c r="O1025" s="1" t="s">
        <v>8803</v>
      </c>
      <c r="P1025" s="1" t="s">
        <v>8804</v>
      </c>
      <c r="Q1025" s="1" t="s">
        <v>8720</v>
      </c>
      <c r="R1025" s="1" t="s">
        <v>8805</v>
      </c>
      <c r="S1025" s="1" t="s">
        <v>74</v>
      </c>
      <c r="T1025" s="1" t="s">
        <v>74</v>
      </c>
      <c r="U1025" s="1" t="s">
        <v>74</v>
      </c>
      <c r="V1025" s="1" t="s">
        <v>8806</v>
      </c>
      <c r="W1025" s="1" t="s">
        <v>74</v>
      </c>
      <c r="X1025" s="1" t="s">
        <v>74</v>
      </c>
      <c r="Y1025" s="1" t="s">
        <v>74</v>
      </c>
      <c r="Z1025" s="1" t="s">
        <v>74</v>
      </c>
      <c r="AA1025" s="1" t="s">
        <v>74</v>
      </c>
      <c r="AB1025" s="1" t="s">
        <v>74</v>
      </c>
      <c r="AC1025" s="1" t="s">
        <v>74</v>
      </c>
      <c r="AD1025" s="1" t="s">
        <v>74</v>
      </c>
      <c r="AE1025" s="1" t="s">
        <v>74</v>
      </c>
      <c r="AF1025" s="1" t="s">
        <v>74</v>
      </c>
      <c r="AG1025" s="1" t="s">
        <v>74</v>
      </c>
      <c r="AH1025" s="1" t="s">
        <v>74</v>
      </c>
      <c r="AI1025" s="1" t="s">
        <v>74</v>
      </c>
      <c r="AJ1025" s="1" t="s">
        <v>74</v>
      </c>
      <c r="AK1025" s="1" t="s">
        <v>74</v>
      </c>
      <c r="AL1025" s="1" t="s">
        <v>74</v>
      </c>
      <c r="AM1025" s="1" t="s">
        <v>74</v>
      </c>
      <c r="AN1025" s="1" t="s">
        <v>74</v>
      </c>
      <c r="AO1025" s="1" t="s">
        <v>74</v>
      </c>
      <c r="AP1025" s="1" t="s">
        <v>74</v>
      </c>
      <c r="AQ1025" s="1" t="s">
        <v>8807</v>
      </c>
      <c r="AR1025" s="1" t="s">
        <v>74</v>
      </c>
      <c r="AS1025" s="1" t="s">
        <v>74</v>
      </c>
      <c r="AT1025" s="1" t="s">
        <v>74</v>
      </c>
      <c r="AU1025" s="1">
        <v>1997</v>
      </c>
      <c r="AV1025" s="1" t="s">
        <v>74</v>
      </c>
      <c r="AW1025" s="1" t="s">
        <v>74</v>
      </c>
      <c r="AX1025" s="1" t="s">
        <v>74</v>
      </c>
      <c r="AY1025" s="1" t="s">
        <v>74</v>
      </c>
      <c r="AZ1025" s="1" t="s">
        <v>74</v>
      </c>
      <c r="BA1025" s="1" t="s">
        <v>74</v>
      </c>
      <c r="BB1025" s="1">
        <v>64</v>
      </c>
      <c r="BC1025" s="1">
        <v>67</v>
      </c>
      <c r="BD1025" s="1" t="s">
        <v>74</v>
      </c>
      <c r="BE1025" s="1" t="s">
        <v>74</v>
      </c>
      <c r="BF1025" s="1" t="s">
        <v>74</v>
      </c>
      <c r="BG1025" s="1" t="s">
        <v>74</v>
      </c>
      <c r="BH1025" s="1" t="s">
        <v>74</v>
      </c>
      <c r="BI1025" s="1" t="s">
        <v>74</v>
      </c>
      <c r="BJ1025" s="1" t="s">
        <v>74</v>
      </c>
      <c r="BK1025" s="1" t="s">
        <v>74</v>
      </c>
      <c r="BL1025" s="1" t="s">
        <v>74</v>
      </c>
      <c r="BM1025" s="1" t="s">
        <v>74</v>
      </c>
      <c r="BN1025" s="1" t="s">
        <v>74</v>
      </c>
      <c r="BO1025" s="1" t="s">
        <v>74</v>
      </c>
      <c r="BP1025" s="1" t="s">
        <v>74</v>
      </c>
      <c r="BQ1025" s="1" t="s">
        <v>74</v>
      </c>
      <c r="BR1025" s="1" t="s">
        <v>74</v>
      </c>
      <c r="BS1025" s="1" t="s">
        <v>8808</v>
      </c>
      <c r="BT1025" s="1">
        <v>0</v>
      </c>
    </row>
    <row r="1026" spans="1:72" x14ac:dyDescent="0.2">
      <c r="A1026" s="1" t="s">
        <v>72</v>
      </c>
      <c r="B1026" s="1" t="s">
        <v>8809</v>
      </c>
      <c r="C1026" s="1" t="s">
        <v>74</v>
      </c>
      <c r="D1026" s="1" t="s">
        <v>74</v>
      </c>
      <c r="E1026" s="1" t="s">
        <v>74</v>
      </c>
      <c r="F1026" s="1" t="s">
        <v>8809</v>
      </c>
      <c r="G1026" s="1" t="s">
        <v>74</v>
      </c>
      <c r="H1026" s="1" t="s">
        <v>74</v>
      </c>
      <c r="I1026" s="1" t="s">
        <v>8810</v>
      </c>
      <c r="J1026" s="1" t="s">
        <v>1293</v>
      </c>
      <c r="K1026" s="1" t="s">
        <v>74</v>
      </c>
      <c r="L1026" s="1" t="s">
        <v>74</v>
      </c>
      <c r="M1026" s="1" t="s">
        <v>74</v>
      </c>
      <c r="N1026" s="1" t="s">
        <v>74</v>
      </c>
      <c r="O1026" s="1" t="s">
        <v>74</v>
      </c>
      <c r="P1026" s="1" t="s">
        <v>74</v>
      </c>
      <c r="Q1026" s="1" t="s">
        <v>74</v>
      </c>
      <c r="R1026" s="1" t="s">
        <v>74</v>
      </c>
      <c r="S1026" s="1" t="s">
        <v>74</v>
      </c>
      <c r="T1026" s="1" t="s">
        <v>74</v>
      </c>
      <c r="U1026" s="1" t="s">
        <v>74</v>
      </c>
      <c r="V1026" s="1" t="s">
        <v>8811</v>
      </c>
      <c r="W1026" s="1" t="s">
        <v>74</v>
      </c>
      <c r="X1026" s="1" t="s">
        <v>74</v>
      </c>
      <c r="Y1026" s="1" t="s">
        <v>74</v>
      </c>
      <c r="Z1026" s="1" t="s">
        <v>74</v>
      </c>
      <c r="AA1026" s="1" t="s">
        <v>8812</v>
      </c>
      <c r="AB1026" s="1" t="s">
        <v>8813</v>
      </c>
      <c r="AC1026" s="1" t="s">
        <v>74</v>
      </c>
      <c r="AD1026" s="1" t="s">
        <v>74</v>
      </c>
      <c r="AE1026" s="1" t="s">
        <v>74</v>
      </c>
      <c r="AF1026" s="1" t="s">
        <v>74</v>
      </c>
      <c r="AG1026" s="1" t="s">
        <v>74</v>
      </c>
      <c r="AH1026" s="1" t="s">
        <v>74</v>
      </c>
      <c r="AI1026" s="1" t="s">
        <v>74</v>
      </c>
      <c r="AJ1026" s="1" t="s">
        <v>74</v>
      </c>
      <c r="AK1026" s="1" t="s">
        <v>74</v>
      </c>
      <c r="AL1026" s="1" t="s">
        <v>74</v>
      </c>
      <c r="AM1026" s="1" t="s">
        <v>74</v>
      </c>
      <c r="AN1026" s="1" t="s">
        <v>74</v>
      </c>
      <c r="AO1026" s="1" t="s">
        <v>1297</v>
      </c>
      <c r="AP1026" s="1" t="s">
        <v>74</v>
      </c>
      <c r="AQ1026" s="1" t="s">
        <v>74</v>
      </c>
      <c r="AR1026" s="1" t="s">
        <v>74</v>
      </c>
      <c r="AS1026" s="1" t="s">
        <v>74</v>
      </c>
      <c r="AT1026" s="1" t="s">
        <v>1318</v>
      </c>
      <c r="AU1026" s="1">
        <v>1996</v>
      </c>
      <c r="AV1026" s="1">
        <v>143</v>
      </c>
      <c r="AW1026" s="1">
        <v>12</v>
      </c>
      <c r="AX1026" s="1" t="s">
        <v>74</v>
      </c>
      <c r="AY1026" s="1" t="s">
        <v>74</v>
      </c>
      <c r="AZ1026" s="1" t="s">
        <v>74</v>
      </c>
      <c r="BA1026" s="1" t="s">
        <v>74</v>
      </c>
      <c r="BB1026" s="1">
        <v>4047</v>
      </c>
      <c r="BC1026" s="1">
        <v>4053</v>
      </c>
      <c r="BD1026" s="1" t="s">
        <v>74</v>
      </c>
      <c r="BE1026" s="1" t="s">
        <v>8814</v>
      </c>
      <c r="BF1026" s="1">
        <v>0</v>
      </c>
      <c r="BG1026" s="1" t="s">
        <v>74</v>
      </c>
      <c r="BH1026" s="1" t="s">
        <v>74</v>
      </c>
      <c r="BI1026" s="1" t="s">
        <v>74</v>
      </c>
      <c r="BJ1026" s="1" t="s">
        <v>74</v>
      </c>
      <c r="BK1026" s="1" t="s">
        <v>74</v>
      </c>
      <c r="BL1026" s="1" t="s">
        <v>74</v>
      </c>
      <c r="BM1026" s="1" t="s">
        <v>74</v>
      </c>
      <c r="BN1026" s="1" t="s">
        <v>74</v>
      </c>
      <c r="BO1026" s="1" t="s">
        <v>74</v>
      </c>
      <c r="BP1026" s="1" t="s">
        <v>74</v>
      </c>
      <c r="BQ1026" s="1" t="s">
        <v>74</v>
      </c>
      <c r="BR1026" s="1" t="s">
        <v>74</v>
      </c>
      <c r="BS1026" s="1" t="s">
        <v>8815</v>
      </c>
      <c r="BT1026" s="1">
        <v>0</v>
      </c>
    </row>
    <row r="1027" spans="1:72" x14ac:dyDescent="0.2">
      <c r="A1027" s="1" t="s">
        <v>72</v>
      </c>
      <c r="B1027" s="1" t="s">
        <v>8816</v>
      </c>
      <c r="C1027" s="1" t="s">
        <v>74</v>
      </c>
      <c r="D1027" s="1" t="s">
        <v>74</v>
      </c>
      <c r="E1027" s="1" t="s">
        <v>74</v>
      </c>
      <c r="F1027" s="1" t="s">
        <v>8816</v>
      </c>
      <c r="G1027" s="1" t="s">
        <v>74</v>
      </c>
      <c r="H1027" s="1" t="s">
        <v>74</v>
      </c>
      <c r="I1027" s="1" t="s">
        <v>8817</v>
      </c>
      <c r="J1027" s="1" t="s">
        <v>1293</v>
      </c>
      <c r="K1027" s="1" t="s">
        <v>74</v>
      </c>
      <c r="L1027" s="1" t="s">
        <v>74</v>
      </c>
      <c r="M1027" s="1" t="s">
        <v>74</v>
      </c>
      <c r="N1027" s="1" t="s">
        <v>74</v>
      </c>
      <c r="O1027" s="1" t="s">
        <v>74</v>
      </c>
      <c r="P1027" s="1" t="s">
        <v>74</v>
      </c>
      <c r="Q1027" s="1" t="s">
        <v>74</v>
      </c>
      <c r="R1027" s="1" t="s">
        <v>74</v>
      </c>
      <c r="S1027" s="1" t="s">
        <v>74</v>
      </c>
      <c r="T1027" s="1" t="s">
        <v>74</v>
      </c>
      <c r="U1027" s="1" t="s">
        <v>74</v>
      </c>
      <c r="V1027" s="1" t="s">
        <v>8818</v>
      </c>
      <c r="W1027" s="1" t="s">
        <v>74</v>
      </c>
      <c r="X1027" s="1" t="s">
        <v>74</v>
      </c>
      <c r="Y1027" s="1" t="s">
        <v>74</v>
      </c>
      <c r="Z1027" s="1" t="s">
        <v>74</v>
      </c>
      <c r="AA1027" s="1" t="s">
        <v>8819</v>
      </c>
      <c r="AB1027" s="1" t="s">
        <v>74</v>
      </c>
      <c r="AC1027" s="1" t="s">
        <v>74</v>
      </c>
      <c r="AD1027" s="1" t="s">
        <v>74</v>
      </c>
      <c r="AE1027" s="1" t="s">
        <v>74</v>
      </c>
      <c r="AF1027" s="1" t="s">
        <v>74</v>
      </c>
      <c r="AG1027" s="1" t="s">
        <v>74</v>
      </c>
      <c r="AH1027" s="1" t="s">
        <v>74</v>
      </c>
      <c r="AI1027" s="1" t="s">
        <v>74</v>
      </c>
      <c r="AJ1027" s="1" t="s">
        <v>74</v>
      </c>
      <c r="AK1027" s="1" t="s">
        <v>74</v>
      </c>
      <c r="AL1027" s="1" t="s">
        <v>74</v>
      </c>
      <c r="AM1027" s="1" t="s">
        <v>74</v>
      </c>
      <c r="AN1027" s="1" t="s">
        <v>74</v>
      </c>
      <c r="AO1027" s="1" t="s">
        <v>1297</v>
      </c>
      <c r="AP1027" s="1" t="s">
        <v>74</v>
      </c>
      <c r="AQ1027" s="1" t="s">
        <v>74</v>
      </c>
      <c r="AR1027" s="1" t="s">
        <v>74</v>
      </c>
      <c r="AS1027" s="1" t="s">
        <v>74</v>
      </c>
      <c r="AT1027" s="1" t="s">
        <v>629</v>
      </c>
      <c r="AU1027" s="1">
        <v>1995</v>
      </c>
      <c r="AV1027" s="1">
        <v>142</v>
      </c>
      <c r="AW1027" s="1">
        <v>8</v>
      </c>
      <c r="AX1027" s="1" t="s">
        <v>74</v>
      </c>
      <c r="AY1027" s="1" t="s">
        <v>74</v>
      </c>
      <c r="AZ1027" s="1" t="s">
        <v>74</v>
      </c>
      <c r="BA1027" s="1" t="s">
        <v>74</v>
      </c>
      <c r="BB1027" s="1">
        <v>2527</v>
      </c>
      <c r="BC1027" s="1">
        <v>2531</v>
      </c>
      <c r="BD1027" s="1" t="s">
        <v>74</v>
      </c>
      <c r="BE1027" s="1" t="s">
        <v>8820</v>
      </c>
      <c r="BF1027" s="1">
        <v>0</v>
      </c>
      <c r="BG1027" s="1" t="s">
        <v>74</v>
      </c>
      <c r="BH1027" s="1" t="s">
        <v>74</v>
      </c>
      <c r="BI1027" s="1" t="s">
        <v>74</v>
      </c>
      <c r="BJ1027" s="1" t="s">
        <v>74</v>
      </c>
      <c r="BK1027" s="1" t="s">
        <v>74</v>
      </c>
      <c r="BL1027" s="1" t="s">
        <v>74</v>
      </c>
      <c r="BM1027" s="1" t="s">
        <v>74</v>
      </c>
      <c r="BN1027" s="1" t="s">
        <v>74</v>
      </c>
      <c r="BO1027" s="1" t="s">
        <v>74</v>
      </c>
      <c r="BP1027" s="1" t="s">
        <v>74</v>
      </c>
      <c r="BQ1027" s="1" t="s">
        <v>74</v>
      </c>
      <c r="BR1027" s="1" t="s">
        <v>74</v>
      </c>
      <c r="BS1027" s="1" t="s">
        <v>8821</v>
      </c>
      <c r="BT1027" s="1">
        <v>0</v>
      </c>
    </row>
    <row r="1028" spans="1:72" x14ac:dyDescent="0.2">
      <c r="A1028" s="1" t="s">
        <v>72</v>
      </c>
      <c r="B1028" s="1" t="s">
        <v>8822</v>
      </c>
      <c r="C1028" s="1" t="s">
        <v>74</v>
      </c>
      <c r="D1028" s="1" t="s">
        <v>74</v>
      </c>
      <c r="E1028" s="1" t="s">
        <v>74</v>
      </c>
      <c r="F1028" s="1" t="s">
        <v>8822</v>
      </c>
      <c r="G1028" s="1" t="s">
        <v>74</v>
      </c>
      <c r="H1028" s="1" t="s">
        <v>74</v>
      </c>
      <c r="I1028" s="1" t="s">
        <v>8823</v>
      </c>
      <c r="J1028" s="1" t="s">
        <v>98</v>
      </c>
      <c r="K1028" s="1" t="s">
        <v>74</v>
      </c>
      <c r="L1028" s="1" t="s">
        <v>74</v>
      </c>
      <c r="M1028" s="1" t="s">
        <v>74</v>
      </c>
      <c r="N1028" s="1" t="s">
        <v>74</v>
      </c>
      <c r="O1028" s="1" t="s">
        <v>74</v>
      </c>
      <c r="P1028" s="1" t="s">
        <v>74</v>
      </c>
      <c r="Q1028" s="1" t="s">
        <v>74</v>
      </c>
      <c r="R1028" s="1" t="s">
        <v>74</v>
      </c>
      <c r="S1028" s="1" t="s">
        <v>74</v>
      </c>
      <c r="T1028" s="1" t="s">
        <v>74</v>
      </c>
      <c r="U1028" s="1" t="s">
        <v>74</v>
      </c>
      <c r="V1028" s="1" t="s">
        <v>8824</v>
      </c>
      <c r="W1028" s="1" t="s">
        <v>74</v>
      </c>
      <c r="X1028" s="1" t="s">
        <v>74</v>
      </c>
      <c r="Y1028" s="1" t="s">
        <v>74</v>
      </c>
      <c r="Z1028" s="1" t="s">
        <v>74</v>
      </c>
      <c r="AA1028" s="1" t="s">
        <v>8825</v>
      </c>
      <c r="AB1028" s="1" t="s">
        <v>8826</v>
      </c>
      <c r="AC1028" s="1" t="s">
        <v>74</v>
      </c>
      <c r="AD1028" s="1" t="s">
        <v>74</v>
      </c>
      <c r="AE1028" s="1" t="s">
        <v>74</v>
      </c>
      <c r="AF1028" s="1" t="s">
        <v>74</v>
      </c>
      <c r="AG1028" s="1" t="s">
        <v>74</v>
      </c>
      <c r="AH1028" s="1" t="s">
        <v>74</v>
      </c>
      <c r="AI1028" s="1" t="s">
        <v>74</v>
      </c>
      <c r="AJ1028" s="1" t="s">
        <v>74</v>
      </c>
      <c r="AK1028" s="1" t="s">
        <v>74</v>
      </c>
      <c r="AL1028" s="1" t="s">
        <v>74</v>
      </c>
      <c r="AM1028" s="1" t="s">
        <v>74</v>
      </c>
      <c r="AN1028" s="1" t="s">
        <v>74</v>
      </c>
      <c r="AO1028" s="1" t="s">
        <v>101</v>
      </c>
      <c r="AP1028" s="1" t="s">
        <v>74</v>
      </c>
      <c r="AQ1028" s="1" t="s">
        <v>74</v>
      </c>
      <c r="AR1028" s="1" t="s">
        <v>74</v>
      </c>
      <c r="AS1028" s="1" t="s">
        <v>74</v>
      </c>
      <c r="AT1028" s="1" t="s">
        <v>545</v>
      </c>
      <c r="AU1028" s="1">
        <v>1995</v>
      </c>
      <c r="AV1028" s="1">
        <v>55</v>
      </c>
      <c r="AW1028" s="1">
        <v>1</v>
      </c>
      <c r="AX1028" s="1" t="s">
        <v>74</v>
      </c>
      <c r="AY1028" s="1" t="s">
        <v>74</v>
      </c>
      <c r="AZ1028" s="1" t="s">
        <v>74</v>
      </c>
      <c r="BA1028" s="1" t="s">
        <v>74</v>
      </c>
      <c r="BB1028" s="1">
        <v>127</v>
      </c>
      <c r="BC1028" s="1">
        <v>130</v>
      </c>
      <c r="BD1028" s="1" t="s">
        <v>74</v>
      </c>
      <c r="BE1028" s="1" t="s">
        <v>8827</v>
      </c>
      <c r="BF1028" s="1">
        <v>0</v>
      </c>
      <c r="BG1028" s="1" t="s">
        <v>74</v>
      </c>
      <c r="BH1028" s="1" t="s">
        <v>74</v>
      </c>
      <c r="BI1028" s="1" t="s">
        <v>74</v>
      </c>
      <c r="BJ1028" s="1" t="s">
        <v>74</v>
      </c>
      <c r="BK1028" s="1" t="s">
        <v>74</v>
      </c>
      <c r="BL1028" s="1" t="s">
        <v>74</v>
      </c>
      <c r="BM1028" s="1" t="s">
        <v>74</v>
      </c>
      <c r="BN1028" s="1" t="s">
        <v>74</v>
      </c>
      <c r="BO1028" s="1" t="s">
        <v>74</v>
      </c>
      <c r="BP1028" s="1" t="s">
        <v>74</v>
      </c>
      <c r="BQ1028" s="1" t="s">
        <v>74</v>
      </c>
      <c r="BR1028" s="1" t="s">
        <v>74</v>
      </c>
      <c r="BS1028" s="1" t="s">
        <v>8828</v>
      </c>
      <c r="BT1028" s="1">
        <v>0</v>
      </c>
    </row>
    <row r="1029" spans="1:72" x14ac:dyDescent="0.2">
      <c r="A1029" s="1" t="s">
        <v>72</v>
      </c>
      <c r="B1029" s="1" t="s">
        <v>8829</v>
      </c>
      <c r="C1029" s="1" t="s">
        <v>74</v>
      </c>
      <c r="D1029" s="1" t="s">
        <v>74</v>
      </c>
      <c r="E1029" s="1" t="s">
        <v>74</v>
      </c>
      <c r="F1029" s="1" t="s">
        <v>8829</v>
      </c>
      <c r="G1029" s="1" t="s">
        <v>74</v>
      </c>
      <c r="H1029" s="1" t="s">
        <v>74</v>
      </c>
      <c r="I1029" s="1" t="s">
        <v>8830</v>
      </c>
      <c r="J1029" s="1" t="s">
        <v>1219</v>
      </c>
      <c r="K1029" s="1" t="s">
        <v>74</v>
      </c>
      <c r="L1029" s="1" t="s">
        <v>74</v>
      </c>
      <c r="M1029" s="1" t="s">
        <v>74</v>
      </c>
      <c r="N1029" s="1" t="s">
        <v>74</v>
      </c>
      <c r="O1029" s="1" t="s">
        <v>74</v>
      </c>
      <c r="P1029" s="1" t="s">
        <v>74</v>
      </c>
      <c r="Q1029" s="1" t="s">
        <v>74</v>
      </c>
      <c r="R1029" s="1" t="s">
        <v>74</v>
      </c>
      <c r="S1029" s="1" t="s">
        <v>74</v>
      </c>
      <c r="T1029" s="1" t="s">
        <v>74</v>
      </c>
      <c r="U1029" s="1" t="s">
        <v>74</v>
      </c>
      <c r="V1029" s="1" t="s">
        <v>8831</v>
      </c>
      <c r="W1029" s="1" t="s">
        <v>74</v>
      </c>
      <c r="X1029" s="1" t="s">
        <v>74</v>
      </c>
      <c r="Y1029" s="1" t="s">
        <v>74</v>
      </c>
      <c r="Z1029" s="1" t="s">
        <v>74</v>
      </c>
      <c r="AA1029" s="1" t="s">
        <v>74</v>
      </c>
      <c r="AB1029" s="1" t="s">
        <v>74</v>
      </c>
      <c r="AC1029" s="1" t="s">
        <v>74</v>
      </c>
      <c r="AD1029" s="1" t="s">
        <v>74</v>
      </c>
      <c r="AE1029" s="1" t="s">
        <v>74</v>
      </c>
      <c r="AF1029" s="1" t="s">
        <v>74</v>
      </c>
      <c r="AG1029" s="1" t="s">
        <v>74</v>
      </c>
      <c r="AH1029" s="1" t="s">
        <v>74</v>
      </c>
      <c r="AI1029" s="1" t="s">
        <v>74</v>
      </c>
      <c r="AJ1029" s="1" t="s">
        <v>74</v>
      </c>
      <c r="AK1029" s="1" t="s">
        <v>74</v>
      </c>
      <c r="AL1029" s="1" t="s">
        <v>74</v>
      </c>
      <c r="AM1029" s="1" t="s">
        <v>74</v>
      </c>
      <c r="AN1029" s="1" t="s">
        <v>74</v>
      </c>
      <c r="AO1029" s="1" t="s">
        <v>1223</v>
      </c>
      <c r="AP1029" s="1" t="s">
        <v>74</v>
      </c>
      <c r="AQ1029" s="1" t="s">
        <v>74</v>
      </c>
      <c r="AR1029" s="1" t="s">
        <v>74</v>
      </c>
      <c r="AS1029" s="1" t="s">
        <v>74</v>
      </c>
      <c r="AT1029" s="1" t="s">
        <v>1165</v>
      </c>
      <c r="AU1029" s="1">
        <v>1992</v>
      </c>
      <c r="AV1029" s="1">
        <v>27</v>
      </c>
      <c r="AW1029" s="1">
        <v>1</v>
      </c>
      <c r="AX1029" s="1" t="s">
        <v>74</v>
      </c>
      <c r="AY1029" s="1" t="s">
        <v>74</v>
      </c>
      <c r="AZ1029" s="1" t="s">
        <v>74</v>
      </c>
      <c r="BA1029" s="1" t="s">
        <v>74</v>
      </c>
      <c r="BB1029" s="1">
        <v>240</v>
      </c>
      <c r="BC1029" s="1">
        <v>246</v>
      </c>
      <c r="BD1029" s="1" t="s">
        <v>74</v>
      </c>
      <c r="BE1029" s="1" t="s">
        <v>74</v>
      </c>
      <c r="BF1029" s="1" t="s">
        <v>74</v>
      </c>
      <c r="BG1029" s="1" t="s">
        <v>74</v>
      </c>
      <c r="BH1029" s="1" t="s">
        <v>74</v>
      </c>
      <c r="BI1029" s="1" t="s">
        <v>74</v>
      </c>
      <c r="BJ1029" s="1" t="s">
        <v>74</v>
      </c>
      <c r="BK1029" s="1" t="s">
        <v>74</v>
      </c>
      <c r="BL1029" s="1" t="s">
        <v>74</v>
      </c>
      <c r="BM1029" s="1" t="s">
        <v>74</v>
      </c>
      <c r="BN1029" s="1" t="s">
        <v>74</v>
      </c>
      <c r="BO1029" s="1" t="s">
        <v>74</v>
      </c>
      <c r="BP1029" s="1" t="s">
        <v>74</v>
      </c>
      <c r="BQ1029" s="1" t="s">
        <v>74</v>
      </c>
      <c r="BR1029" s="1" t="s">
        <v>74</v>
      </c>
      <c r="BS1029" s="1" t="s">
        <v>8832</v>
      </c>
      <c r="BT1029" s="1">
        <v>0</v>
      </c>
    </row>
  </sheetData>
  <phoneticPr fontId="1" type="noConversion"/>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savedrecs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Weixiang HONG</cp:lastModifiedBy>
  <dcterms:created xsi:type="dcterms:W3CDTF">2025-08-21T08:30:50Z</dcterms:created>
  <dcterms:modified xsi:type="dcterms:W3CDTF">2025-08-21T08:30:50Z</dcterms:modified>
</cp:coreProperties>
</file>