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04CC71C6-09F5-4678-AFC4-10A3FC3A6DE3}" xr6:coauthVersionLast="47" xr6:coauthVersionMax="47" xr10:uidLastSave="{00000000-0000-0000-0000-000000000000}"/>
  <workbookProtection workbookAlgorithmName="SHA-512" workbookHashValue="CgaJn/xBLVRE3zTpwwCDb0GZQ+fKYktQyEaVOwxHMNysnsIsPLI88wEWN22WnrGIWCOSO7DPpmoWNVQoT/gNgQ==" workbookSaltValue="VR+PWL72ENYFOYRgyW0yXg==" workbookSpinCount="100000" lockStructure="1"/>
  <bookViews>
    <workbookView xWindow="-120" yWindow="-120" windowWidth="24240" windowHeight="13020" tabRatio="729" firstSheet="4" activeTab="4" xr2:uid="{00000000-000D-0000-FFFF-FFFF00000000}"/>
  </bookViews>
  <sheets>
    <sheet name="Past_Year" sheetId="228" state="hidden" r:id="rId1"/>
    <sheet name="Location Detail" sheetId="10" state="hidden" r:id="rId2"/>
    <sheet name="Data" sheetId="560" state="hidden" r:id="rId3"/>
    <sheet name="Replacements" sheetId="1007" state="hidden" r:id="rId4"/>
    <sheet name="Building Snapshot" sheetId="6" r:id="rId5"/>
    <sheet name="Headcount Display" sheetId="20" r:id="rId6"/>
    <sheet name="New Hire Comp Ratio" sheetId="610" r:id="rId7"/>
    <sheet name="Turnover_by_Location" sheetId="559" r:id="rId8"/>
  </sheets>
  <externalReferences>
    <externalReference r:id="rId9"/>
  </externalReferences>
  <definedNames>
    <definedName name="_xlnm._FilterDatabase" localSheetId="3" hidden="1">Replacements!$B$2:$D$2</definedName>
    <definedName name="Exempts">[1]Managers!$B$2:$B$354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10" i="560" l="1"/>
  <c r="G101" i="560" l="1"/>
  <c r="G100" i="560"/>
  <c r="G102" i="560"/>
  <c r="H102" i="560" l="1"/>
  <c r="H101" i="560"/>
  <c r="H100" i="560"/>
  <c r="K4" i="610" l="1"/>
  <c r="K9" i="560"/>
  <c r="K10" i="560" s="1"/>
  <c r="K6" i="560"/>
  <c r="K7" i="560" s="1"/>
  <c r="K2" i="560"/>
  <c r="K3" i="560" s="1"/>
  <c r="K4" i="560" s="1"/>
  <c r="E5" i="20" l="1"/>
  <c r="E12" i="20"/>
  <c r="E11" i="20"/>
  <c r="E9" i="20"/>
  <c r="E13" i="20"/>
  <c r="E10" i="20"/>
  <c r="H13" i="20"/>
  <c r="G18" i="20"/>
  <c r="H18" i="20"/>
  <c r="H17" i="20"/>
  <c r="G17" i="20"/>
  <c r="H14" i="20"/>
  <c r="G14" i="20"/>
  <c r="AA21" i="6"/>
  <c r="AA27" i="6" s="1"/>
  <c r="G13" i="20"/>
  <c r="P23" i="20"/>
  <c r="S23" i="20"/>
  <c r="H20" i="20"/>
  <c r="H16" i="20"/>
  <c r="H12" i="20"/>
  <c r="H19" i="20"/>
  <c r="H15" i="20"/>
  <c r="H11" i="20"/>
  <c r="H10" i="20"/>
  <c r="H9" i="20"/>
  <c r="G20" i="20"/>
  <c r="G16" i="20"/>
  <c r="G12" i="20"/>
  <c r="E20" i="20"/>
  <c r="E17" i="20"/>
  <c r="G9" i="20"/>
  <c r="G19" i="20"/>
  <c r="G15" i="20"/>
  <c r="G11" i="20"/>
  <c r="E19" i="20"/>
  <c r="E15" i="20"/>
  <c r="E16" i="20"/>
  <c r="G10" i="20"/>
  <c r="E18" i="20"/>
  <c r="E14" i="20"/>
  <c r="AA23" i="6"/>
  <c r="AA22" i="6"/>
  <c r="AA7" i="6"/>
  <c r="AA6" i="6"/>
  <c r="AA5" i="6"/>
  <c r="AA15" i="6" s="1"/>
  <c r="AA4" i="6"/>
  <c r="D6" i="6"/>
  <c r="L9" i="6" s="1"/>
  <c r="L5" i="6"/>
  <c r="C7" i="6"/>
  <c r="C9" i="6"/>
  <c r="C8" i="6"/>
  <c r="K15" i="560"/>
  <c r="K14" i="560"/>
  <c r="K13" i="560"/>
  <c r="D31" i="610"/>
  <c r="E31" i="610" s="1"/>
  <c r="J4" i="610"/>
  <c r="J5" i="610" s="1"/>
  <c r="D33" i="610"/>
  <c r="D30" i="610"/>
  <c r="D29" i="610"/>
  <c r="E29" i="610" s="1"/>
  <c r="D24" i="610"/>
  <c r="D27" i="610"/>
  <c r="D26" i="610"/>
  <c r="D25" i="610"/>
  <c r="D22" i="610"/>
  <c r="D23" i="610"/>
  <c r="D32" i="610"/>
  <c r="E32" i="610" s="1"/>
  <c r="D6" i="610"/>
  <c r="C5" i="6"/>
  <c r="C20" i="6" s="1"/>
  <c r="C5" i="610"/>
  <c r="C20" i="610" s="1"/>
  <c r="D28" i="610"/>
  <c r="F9" i="20" l="1"/>
  <c r="F18" i="20"/>
  <c r="F10" i="20"/>
  <c r="E26" i="6"/>
  <c r="D26" i="6" s="1"/>
  <c r="F26" i="6"/>
  <c r="F16" i="20"/>
  <c r="E25" i="6"/>
  <c r="D25" i="6" s="1"/>
  <c r="F25" i="6"/>
  <c r="F17" i="20"/>
  <c r="F11" i="20"/>
  <c r="F15" i="20"/>
  <c r="F20" i="20"/>
  <c r="F19" i="20"/>
  <c r="H5" i="20"/>
  <c r="F12" i="20"/>
  <c r="E24" i="6"/>
  <c r="D24" i="6" s="1"/>
  <c r="F24" i="6"/>
  <c r="E23" i="6"/>
  <c r="D23" i="6" s="1"/>
  <c r="F23" i="6"/>
  <c r="F22" i="6"/>
  <c r="E22" i="6"/>
  <c r="D22" i="6" s="1"/>
  <c r="G22" i="6" s="1"/>
  <c r="AA30" i="6"/>
  <c r="AA26" i="6"/>
  <c r="AA33" i="6"/>
  <c r="AK34" i="6"/>
  <c r="AI34" i="6"/>
  <c r="AG34" i="6"/>
  <c r="AA31" i="6"/>
  <c r="AA32" i="6"/>
  <c r="AA25" i="6"/>
  <c r="AA29" i="6"/>
  <c r="AA28" i="6"/>
  <c r="J12" i="610"/>
  <c r="J8" i="610"/>
  <c r="J13" i="610"/>
  <c r="J11" i="610"/>
  <c r="J7" i="610"/>
  <c r="J10" i="610"/>
  <c r="J9" i="610"/>
  <c r="AI16" i="6"/>
  <c r="AG16" i="6"/>
  <c r="AK16" i="6"/>
  <c r="AA12" i="6"/>
  <c r="AA16" i="6"/>
  <c r="AA8" i="6"/>
  <c r="AA9" i="6"/>
  <c r="AA10" i="6"/>
  <c r="AA11" i="6"/>
  <c r="AA13" i="6"/>
  <c r="AA14" i="6"/>
  <c r="W16" i="6"/>
  <c r="U16" i="6"/>
  <c r="S16" i="6"/>
  <c r="L23" i="6"/>
  <c r="L22" i="6"/>
  <c r="L21" i="6"/>
  <c r="L28" i="6" s="1"/>
  <c r="L12" i="6"/>
  <c r="L15" i="6"/>
  <c r="L13" i="6"/>
  <c r="L8" i="6"/>
  <c r="L10" i="6"/>
  <c r="L14" i="6"/>
  <c r="L7" i="6"/>
  <c r="L11" i="6"/>
  <c r="H21" i="20"/>
  <c r="F29" i="610"/>
  <c r="M23" i="20"/>
  <c r="F32" i="610"/>
  <c r="J20" i="610"/>
  <c r="J22" i="610"/>
  <c r="L20" i="6"/>
  <c r="J23" i="610"/>
  <c r="J21" i="610"/>
  <c r="J28" i="610" s="1"/>
  <c r="E26" i="610"/>
  <c r="F26" i="610"/>
  <c r="F30" i="610"/>
  <c r="E30" i="610"/>
  <c r="E23" i="610"/>
  <c r="F23" i="610"/>
  <c r="F8" i="610"/>
  <c r="C14" i="6"/>
  <c r="E22" i="610"/>
  <c r="F22" i="610"/>
  <c r="E24" i="610"/>
  <c r="F24" i="610"/>
  <c r="C13" i="6"/>
  <c r="F7" i="610"/>
  <c r="F33" i="610"/>
  <c r="E33" i="610"/>
  <c r="F31" i="610"/>
  <c r="F9" i="610"/>
  <c r="C15" i="6"/>
  <c r="F27" i="610"/>
  <c r="E27" i="610"/>
  <c r="E28" i="610"/>
  <c r="F28" i="610"/>
  <c r="L4" i="6"/>
  <c r="AA20" i="6"/>
  <c r="AA3" i="6"/>
  <c r="E25" i="610"/>
  <c r="F25" i="610"/>
  <c r="G26" i="6" l="1"/>
  <c r="G25" i="6"/>
  <c r="G23" i="6"/>
  <c r="G24" i="6"/>
  <c r="L26" i="6"/>
  <c r="L32" i="6"/>
  <c r="L25" i="6"/>
  <c r="U34" i="6"/>
  <c r="W34" i="6"/>
  <c r="S34" i="6"/>
  <c r="L33" i="6"/>
  <c r="L31" i="6"/>
  <c r="L30" i="6"/>
  <c r="L29" i="6"/>
  <c r="L27" i="6"/>
  <c r="U34" i="610"/>
  <c r="J29" i="610"/>
  <c r="S34" i="610"/>
  <c r="J30" i="610"/>
  <c r="J27" i="610"/>
  <c r="J32" i="610"/>
  <c r="J26" i="610"/>
  <c r="Q34" i="610"/>
  <c r="J25" i="610"/>
  <c r="J33" i="610"/>
  <c r="J31" i="610"/>
  <c r="G21" i="20" l="1"/>
  <c r="I19" i="20"/>
  <c r="I18" i="20" l="1"/>
  <c r="I20" i="20"/>
  <c r="I17" i="20"/>
  <c r="I16" i="20"/>
  <c r="I10" i="20"/>
  <c r="I15" i="20"/>
  <c r="I14" i="20"/>
  <c r="I9" i="20"/>
  <c r="I11" i="20"/>
  <c r="I12" i="20"/>
  <c r="I13" i="20"/>
</calcChain>
</file>

<file path=xl/sharedStrings.xml><?xml version="1.0" encoding="utf-8"?>
<sst xmlns="http://schemas.openxmlformats.org/spreadsheetml/2006/main" count="2920" uniqueCount="675">
  <si>
    <t>Division</t>
  </si>
  <si>
    <t>Region</t>
  </si>
  <si>
    <t>Location</t>
  </si>
  <si>
    <t>Distribution</t>
  </si>
  <si>
    <t>WEST</t>
  </si>
  <si>
    <t>Transportation</t>
  </si>
  <si>
    <t>SOUTH</t>
  </si>
  <si>
    <t>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</si>
  <si>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</si>
  <si>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</si>
  <si>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</si>
  <si>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</si>
  <si>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</si>
  <si>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</si>
  <si>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</si>
  <si>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</si>
  <si>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</si>
  <si>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</si>
  <si>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</si>
  <si>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</si>
  <si>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YTD Terms</t>
  </si>
  <si>
    <t>Monthly Terms</t>
  </si>
  <si>
    <t>Turnover Breakdown</t>
  </si>
  <si>
    <t xml:space="preserve"> Resignation</t>
  </si>
  <si>
    <t xml:space="preserve"> Job Abandonment</t>
  </si>
  <si>
    <t xml:space="preserve"> Attendance</t>
  </si>
  <si>
    <t xml:space="preserve"> Misconduct</t>
  </si>
  <si>
    <t xml:space="preserve"> Failure to Return from Leave</t>
  </si>
  <si>
    <t xml:space="preserve"> Unsatisfactory Performance</t>
  </si>
  <si>
    <t xml:space="preserve"> Closing Down of Establishment</t>
  </si>
  <si>
    <t>Eff Date</t>
  </si>
  <si>
    <t>Status</t>
  </si>
  <si>
    <t>Descr</t>
  </si>
  <si>
    <t>City</t>
  </si>
  <si>
    <t>County</t>
  </si>
  <si>
    <t>State</t>
  </si>
  <si>
    <t>Postal</t>
  </si>
  <si>
    <t/>
  </si>
  <si>
    <t>Chicago, IL</t>
  </si>
  <si>
    <t>Lexington, KY</t>
  </si>
  <si>
    <t>Year to Date Turnover</t>
  </si>
  <si>
    <t>Annualized Turnover</t>
  </si>
  <si>
    <t>Monthly Turnover</t>
  </si>
  <si>
    <t>YTD</t>
  </si>
  <si>
    <t>Annualized</t>
  </si>
  <si>
    <t>Monthly</t>
  </si>
  <si>
    <t>Facility</t>
  </si>
  <si>
    <t>V</t>
  </si>
  <si>
    <t>I</t>
  </si>
  <si>
    <t>G</t>
  </si>
  <si>
    <t>Involuntary:</t>
  </si>
  <si>
    <t>Voluntary:</t>
  </si>
  <si>
    <t>Group:</t>
  </si>
  <si>
    <t>Terminations</t>
  </si>
  <si>
    <t>Current Headcount</t>
  </si>
  <si>
    <t>RES</t>
  </si>
  <si>
    <t>UNS</t>
  </si>
  <si>
    <t>ATT</t>
  </si>
  <si>
    <t>LVE</t>
  </si>
  <si>
    <t>CON</t>
  </si>
  <si>
    <t>CDE</t>
  </si>
  <si>
    <t>JOB</t>
  </si>
  <si>
    <t>Term Codes</t>
  </si>
  <si>
    <t>Region:</t>
  </si>
  <si>
    <t>YTD Terminations</t>
  </si>
  <si>
    <t>YTD Turnover</t>
  </si>
  <si>
    <t>Other</t>
  </si>
  <si>
    <t xml:space="preserve"> Other</t>
  </si>
  <si>
    <t xml:space="preserve">Distribution Turnover </t>
  </si>
  <si>
    <t>TransportationTurnover</t>
  </si>
  <si>
    <t>Monthly New Hires</t>
  </si>
  <si>
    <t>Month End Headcount</t>
  </si>
  <si>
    <t>Monthly Headcount Variance</t>
  </si>
  <si>
    <t>Year End</t>
  </si>
  <si>
    <t>Enter facility ID in the blue field above.</t>
  </si>
  <si>
    <t>YTD Headcount Variance</t>
  </si>
  <si>
    <t>Days</t>
  </si>
  <si>
    <t>Full Location</t>
  </si>
  <si>
    <t>Supply Chain</t>
  </si>
  <si>
    <t>Distribution Headcount</t>
  </si>
  <si>
    <t>MTO%</t>
  </si>
  <si>
    <t>ATO%</t>
  </si>
  <si>
    <t>YTD%</t>
  </si>
  <si>
    <t>Top Reason(s)</t>
  </si>
  <si>
    <t>Annual Terms</t>
  </si>
  <si>
    <t>Weekly Terms</t>
  </si>
  <si>
    <t>H</t>
  </si>
  <si>
    <t>S</t>
  </si>
  <si>
    <t>Job Code</t>
  </si>
  <si>
    <t>Projected Annual Terms</t>
  </si>
  <si>
    <t>&lt;=30</t>
  </si>
  <si>
    <t>&lt;=60</t>
  </si>
  <si>
    <t>&lt;=90</t>
  </si>
  <si>
    <t>&lt;=365</t>
  </si>
  <si>
    <t>&gt;365</t>
  </si>
  <si>
    <t>SC</t>
  </si>
  <si>
    <t>Ian Hood</t>
  </si>
  <si>
    <t>Past_Year</t>
  </si>
  <si>
    <t>YTD:</t>
  </si>
  <si>
    <t>ATD:</t>
  </si>
  <si>
    <t>MTD:</t>
  </si>
  <si>
    <t>1324 - Lexington, KY</t>
  </si>
  <si>
    <t>Part-Time:</t>
  </si>
  <si>
    <t>Full-Time:</t>
  </si>
  <si>
    <t>FTE:</t>
  </si>
  <si>
    <t>Building</t>
  </si>
  <si>
    <t>2018 Facility*</t>
  </si>
  <si>
    <t>*Includes both Distribution and Transportation.</t>
  </si>
  <si>
    <t>&lt;=120</t>
  </si>
  <si>
    <t>&lt;=150</t>
  </si>
  <si>
    <t>&lt;=180</t>
  </si>
  <si>
    <t>FTE</t>
  </si>
  <si>
    <t>Jan HC</t>
  </si>
  <si>
    <t>Feb HC</t>
  </si>
  <si>
    <t>Mar HC</t>
  </si>
  <si>
    <t>Apr HC</t>
  </si>
  <si>
    <t>May HC</t>
  </si>
  <si>
    <t>Jun HC</t>
  </si>
  <si>
    <t>Jul HC</t>
  </si>
  <si>
    <t>Aug HC</t>
  </si>
  <si>
    <t>Sep HC</t>
  </si>
  <si>
    <t>Oct HC</t>
  </si>
  <si>
    <t>Nov HC</t>
  </si>
  <si>
    <t>Dec HC</t>
  </si>
  <si>
    <t>Average Headcount</t>
  </si>
  <si>
    <t>Decription</t>
  </si>
  <si>
    <t>% Variances</t>
  </si>
  <si>
    <t>YTO%</t>
  </si>
  <si>
    <t>TOTALS</t>
  </si>
  <si>
    <t>.</t>
  </si>
  <si>
    <t>-</t>
  </si>
  <si>
    <t>&lt;=160</t>
  </si>
  <si>
    <t>G15</t>
  </si>
  <si>
    <t>Current Month:</t>
  </si>
  <si>
    <t>2018 Hourly</t>
  </si>
  <si>
    <t>DISTRIBUTION</t>
  </si>
  <si>
    <t>Jan Term</t>
  </si>
  <si>
    <t>Feb Term</t>
  </si>
  <si>
    <t>Mar Term</t>
  </si>
  <si>
    <t>Apr Term</t>
  </si>
  <si>
    <t>May Term</t>
  </si>
  <si>
    <t>Jun Term</t>
  </si>
  <si>
    <t>Jul Term</t>
  </si>
  <si>
    <t>Aug Term</t>
  </si>
  <si>
    <t>Sep Term</t>
  </si>
  <si>
    <t>Oct Term</t>
  </si>
  <si>
    <t>Nov Term</t>
  </si>
  <si>
    <t>Dec Term</t>
  </si>
  <si>
    <t>Jan NH</t>
  </si>
  <si>
    <t>Feb NH</t>
  </si>
  <si>
    <t>Mar NH</t>
  </si>
  <si>
    <t>Apr NH</t>
  </si>
  <si>
    <t>May NH</t>
  </si>
  <si>
    <t>Jun NH</t>
  </si>
  <si>
    <t>Jul NH</t>
  </si>
  <si>
    <t>Aug NH</t>
  </si>
  <si>
    <t>Sep NH</t>
  </si>
  <si>
    <t>Oct NH</t>
  </si>
  <si>
    <t>Nov NH</t>
  </si>
  <si>
    <t>Dec NH</t>
  </si>
  <si>
    <t>Jan TO</t>
  </si>
  <si>
    <t>Feb TO</t>
  </si>
  <si>
    <t>Mar TO</t>
  </si>
  <si>
    <t>Apr TO</t>
  </si>
  <si>
    <t>May TO</t>
  </si>
  <si>
    <t>Jun TO</t>
  </si>
  <si>
    <t>Jul TO</t>
  </si>
  <si>
    <t>Aug TO</t>
  </si>
  <si>
    <t>Sep TO</t>
  </si>
  <si>
    <t>Oct TO</t>
  </si>
  <si>
    <t>Nov TO</t>
  </si>
  <si>
    <t>Dec TO</t>
  </si>
  <si>
    <t>BUILDING</t>
  </si>
  <si>
    <t>BUILDING Terminations</t>
  </si>
  <si>
    <t>Building New Hires</t>
  </si>
  <si>
    <t>Building Turnover by Month</t>
  </si>
  <si>
    <t>Building Terminations</t>
  </si>
  <si>
    <t>Regional Turnover by Month</t>
  </si>
  <si>
    <t>Region All</t>
  </si>
  <si>
    <t>ALL</t>
  </si>
  <si>
    <t>D</t>
  </si>
  <si>
    <t>Prior Month:</t>
  </si>
  <si>
    <t>BS:</t>
  </si>
  <si>
    <t>Actual:</t>
  </si>
  <si>
    <t>HD:</t>
  </si>
  <si>
    <t xml:space="preserve"> Reduction in Force</t>
  </si>
  <si>
    <t>FT</t>
  </si>
  <si>
    <t>PT</t>
  </si>
  <si>
    <t>&lt;.80</t>
  </si>
  <si>
    <t>Total</t>
  </si>
  <si>
    <t>Building Comp Ratio</t>
  </si>
  <si>
    <t>Month by Month Comp Ratio%</t>
  </si>
  <si>
    <t>NHCR:</t>
  </si>
  <si>
    <t>&lt;.80 Comp Ratio</t>
  </si>
  <si>
    <t>&gt;=.85</t>
  </si>
  <si>
    <t>.80 Comp Ratio</t>
  </si>
  <si>
    <t>.81 Comp Ratio</t>
  </si>
  <si>
    <t>.82 Comp Ratio</t>
  </si>
  <si>
    <t>.83 Comp Ratio</t>
  </si>
  <si>
    <t>.84 Comp Ratio</t>
  </si>
  <si>
    <t>&gt;=.85 Comp Ratio</t>
  </si>
  <si>
    <t xml:space="preserve"> Resignation Personal</t>
  </si>
  <si>
    <t>RESIGN_PERSONAL</t>
  </si>
  <si>
    <t>Regional New Hires</t>
  </si>
  <si>
    <t>South</t>
  </si>
  <si>
    <t>West</t>
  </si>
  <si>
    <t>Exempt</t>
  </si>
  <si>
    <t>North</t>
  </si>
  <si>
    <t>Southeast</t>
  </si>
  <si>
    <t>North-Transportation</t>
  </si>
  <si>
    <t>South-Transportation</t>
  </si>
  <si>
    <t>Southeast-Transportation</t>
  </si>
  <si>
    <t>West-Transportation</t>
  </si>
  <si>
    <t>North-Distribution</t>
  </si>
  <si>
    <t>South-Distribution</t>
  </si>
  <si>
    <t>Southeast-Distribution</t>
  </si>
  <si>
    <t>West-Distribution</t>
  </si>
  <si>
    <t>No Region</t>
  </si>
  <si>
    <t>NORTH</t>
  </si>
  <si>
    <t>001079</t>
  </si>
  <si>
    <t>003059</t>
  </si>
  <si>
    <t>001078</t>
  </si>
  <si>
    <t>006877</t>
  </si>
  <si>
    <t>003048</t>
  </si>
  <si>
    <t>001214</t>
  </si>
  <si>
    <t>003049</t>
  </si>
  <si>
    <t>006876</t>
  </si>
  <si>
    <t>005125</t>
  </si>
  <si>
    <t>001170</t>
  </si>
  <si>
    <t>003063</t>
  </si>
  <si>
    <t>001165</t>
  </si>
  <si>
    <t>006874</t>
  </si>
  <si>
    <t>005910</t>
  </si>
  <si>
    <t>005101</t>
  </si>
  <si>
    <t>006891</t>
  </si>
  <si>
    <t>001080</t>
  </si>
  <si>
    <t>006871</t>
  </si>
  <si>
    <t>001135</t>
  </si>
  <si>
    <t>001105</t>
  </si>
  <si>
    <t>006949</t>
  </si>
  <si>
    <t>006869</t>
  </si>
  <si>
    <t>006917</t>
  </si>
  <si>
    <t>006911</t>
  </si>
  <si>
    <t>001315</t>
  </si>
  <si>
    <t>010063</t>
  </si>
  <si>
    <t>001127</t>
  </si>
  <si>
    <t>006914</t>
  </si>
  <si>
    <t>001336</t>
  </si>
  <si>
    <t>006896</t>
  </si>
  <si>
    <t>001090</t>
  </si>
  <si>
    <t>006883</t>
  </si>
  <si>
    <t>006890</t>
  </si>
  <si>
    <t>006907</t>
  </si>
  <si>
    <t>006925</t>
  </si>
  <si>
    <t>001338</t>
  </si>
  <si>
    <t>003013</t>
  </si>
  <si>
    <t>006897</t>
  </si>
  <si>
    <t>006889</t>
  </si>
  <si>
    <t>006924</t>
  </si>
  <si>
    <t>001340</t>
  </si>
  <si>
    <t>003077</t>
  </si>
  <si>
    <t>006965</t>
  </si>
  <si>
    <t>Lexington, KY - USSSD</t>
  </si>
  <si>
    <t>001324</t>
  </si>
  <si>
    <t>003057</t>
  </si>
  <si>
    <t>003053</t>
  </si>
  <si>
    <t>001334</t>
  </si>
  <si>
    <t>006968</t>
  </si>
  <si>
    <t>006941</t>
  </si>
  <si>
    <t>010057</t>
  </si>
  <si>
    <t>006929</t>
  </si>
  <si>
    <t>006908</t>
  </si>
  <si>
    <t>006932</t>
  </si>
  <si>
    <t>006899</t>
  </si>
  <si>
    <t>006888</t>
  </si>
  <si>
    <t>006913</t>
  </si>
  <si>
    <t>006971</t>
  </si>
  <si>
    <t>006970</t>
  </si>
  <si>
    <t>003082</t>
  </si>
  <si>
    <t>003052</t>
  </si>
  <si>
    <t>006973</t>
  </si>
  <si>
    <t>001344</t>
  </si>
  <si>
    <t>E: Region</t>
  </si>
  <si>
    <t>No Region-Transportation</t>
  </si>
  <si>
    <t>South-Distirbution</t>
  </si>
  <si>
    <t>Salary</t>
  </si>
  <si>
    <t>Building Monthly Turnover</t>
  </si>
  <si>
    <t>BUILDING HC by TO</t>
  </si>
  <si>
    <t>BUILDING Terminations by TO</t>
  </si>
  <si>
    <t>001326</t>
  </si>
  <si>
    <t>:Terms</t>
  </si>
  <si>
    <t>SOUTHEAST</t>
  </si>
  <si>
    <t>Month End Date</t>
  </si>
  <si>
    <t xml:space="preserve">        Month by Month Turnover</t>
  </si>
  <si>
    <t>&lt;30 Headcount</t>
  </si>
  <si>
    <t>% &lt;30</t>
  </si>
  <si>
    <t>&lt;60 Headcount</t>
  </si>
  <si>
    <t>% &lt;60</t>
  </si>
  <si>
    <t>&lt;90 Headcount</t>
  </si>
  <si>
    <t>% &lt;90</t>
  </si>
  <si>
    <t xml:space="preserve">&lt;120 Headcount  </t>
  </si>
  <si>
    <t>% &lt;120</t>
  </si>
  <si>
    <t>&lt;180 Headcount</t>
  </si>
  <si>
    <t>% &lt;180</t>
  </si>
  <si>
    <t>&lt;365 Headcount</t>
  </si>
  <si>
    <t>% &lt;365</t>
  </si>
  <si>
    <t xml:space="preserve"> &gt;365 Headcount</t>
  </si>
  <si>
    <t>% &gt;365</t>
  </si>
  <si>
    <t>Total Headcount</t>
  </si>
  <si>
    <t>&lt;30 Day Headcount</t>
  </si>
  <si>
    <t>&lt;60 Day Headcount</t>
  </si>
  <si>
    <t>&lt;90 Day Headcount</t>
  </si>
  <si>
    <t xml:space="preserve">&lt;120 Day Headcount  </t>
  </si>
  <si>
    <t>&lt;180 Day Headcount</t>
  </si>
  <si>
    <t>&lt;365 Day Headcount</t>
  </si>
  <si>
    <t xml:space="preserve"> &gt;365 Day Headcount</t>
  </si>
  <si>
    <t>Regional Terminations</t>
  </si>
  <si>
    <t>Incident INC33765349 created</t>
  </si>
  <si>
    <t>001461</t>
  </si>
  <si>
    <t>001347</t>
  </si>
  <si>
    <t>001348</t>
  </si>
  <si>
    <t>001343</t>
  </si>
  <si>
    <t>003086</t>
  </si>
  <si>
    <t>*Variance in some final numbers due to pending MyCloud entries and transfers to/from other locations.</t>
  </si>
  <si>
    <t>003084</t>
  </si>
  <si>
    <t>003085</t>
  </si>
  <si>
    <t>003087</t>
  </si>
  <si>
    <t>2022 Facility*</t>
  </si>
  <si>
    <t>2022 New Hires</t>
  </si>
  <si>
    <t>001078 - Kent,WA - USWHS</t>
  </si>
  <si>
    <t>Kent,WA - USWHS</t>
  </si>
  <si>
    <t>001079 - Grand Prairie,TX - USWHS</t>
  </si>
  <si>
    <t>Grand Prairie,TX - USWHS</t>
  </si>
  <si>
    <t>001080 - Denver,CO - USWHS</t>
  </si>
  <si>
    <t>Denver,CO - USWHS</t>
  </si>
  <si>
    <t>001090 - Plymouth,MN - USWHS</t>
  </si>
  <si>
    <t>Plymouth,MN - USWHS</t>
  </si>
  <si>
    <t>001105 - Carol Stream,IL - USWHS</t>
  </si>
  <si>
    <t>Carol Stream,IL - USWHS</t>
  </si>
  <si>
    <t>001127 - Houston,TX - USWHS</t>
  </si>
  <si>
    <t>Houston,TX - USWHS</t>
  </si>
  <si>
    <t>001135 - Fremont,CA - USWHS</t>
  </si>
  <si>
    <t>Fremont,CA - USWHS</t>
  </si>
  <si>
    <t>001165 - Weston,FL - USWHS</t>
  </si>
  <si>
    <t>Weston,FL - USWHS</t>
  </si>
  <si>
    <t>001170 - Hamilton,OH - USWHS</t>
  </si>
  <si>
    <t>Hamilton,OH - USWHS</t>
  </si>
  <si>
    <t>001214 - Buford,GA - USWHS</t>
  </si>
  <si>
    <t>Buford,GA - USWHS</t>
  </si>
  <si>
    <t>001315 - Jessup MD Satellite - USWHS</t>
  </si>
  <si>
    <t>Jessup MD Satellite - USWHS</t>
  </si>
  <si>
    <t>001324 - Lexington, KY - USWHS</t>
  </si>
  <si>
    <t>Lexington, KY - USWHS</t>
  </si>
  <si>
    <t>001334 - Romulus MI PF Satellite - USWHS</t>
  </si>
  <si>
    <t>Romulus MI PF Satellite - USWHS</t>
  </si>
  <si>
    <t>001336 - Sterling VA PF Satellite - USWHS</t>
  </si>
  <si>
    <t>Sterling VA PF Satellite - USWHS</t>
  </si>
  <si>
    <t>001338 - Elmwood LA PF Satellite - USWHS</t>
  </si>
  <si>
    <t>Elmwood LA PF Satellite - USWHS</t>
  </si>
  <si>
    <t>001340 - Aliquippa PA PF Satellite - USWHS</t>
  </si>
  <si>
    <t>Aliquippa PA PF Satellite - USWHS</t>
  </si>
  <si>
    <t>001344 - Green Bay WI PF Satellite - USWHS</t>
  </si>
  <si>
    <t>Green Bay WI PF Satellite - USWHS</t>
  </si>
  <si>
    <t>003013 - Garden Grove, CA - USWHS</t>
  </si>
  <si>
    <t>Garden Grove, CA - USWHS</t>
  </si>
  <si>
    <t>003048 - Sumner, WA - USWHS</t>
  </si>
  <si>
    <t>Sumner, WA - USWHS</t>
  </si>
  <si>
    <t>003049 - Buford, GA - USWHS</t>
  </si>
  <si>
    <t>Buford, GA - USWHS</t>
  </si>
  <si>
    <t>003053 - Grand Pairie, TX - USWHS</t>
  </si>
  <si>
    <t>Grand Pairie, TX - USWHS</t>
  </si>
  <si>
    <t>003057 - Dallas, TX - USWHS</t>
  </si>
  <si>
    <t>Dallas, TX - USWHS</t>
  </si>
  <si>
    <t>003059 - Dallas TX XDK - USWHS</t>
  </si>
  <si>
    <t>Dallas TX XDK - USWHS</t>
  </si>
  <si>
    <t>003063 - Orlando,FL - USWHS</t>
  </si>
  <si>
    <t>Orlando,FL - USWHS</t>
  </si>
  <si>
    <t>003077 - Jackson,MS - USWHS</t>
  </si>
  <si>
    <t>Jackson,MS - USWHS</t>
  </si>
  <si>
    <t>003082 - DIW Newville PA - USWHS</t>
  </si>
  <si>
    <t>DIW Newville PA - USWHS</t>
  </si>
  <si>
    <t>005101 - Phoenix,AZ - USWHS</t>
  </si>
  <si>
    <t>Phoenix,AZ - USWHS</t>
  </si>
  <si>
    <t>005125 - Signal Hill,CA - USWHS</t>
  </si>
  <si>
    <t>Signal Hill,CA - USWHS</t>
  </si>
  <si>
    <t>005910 - Newville,PA - USWHS</t>
  </si>
  <si>
    <t>Newville,PA - USWHS</t>
  </si>
  <si>
    <t>006869 - Itasca, IL - USWHS</t>
  </si>
  <si>
    <t>Itasca, IL - USWHS</t>
  </si>
  <si>
    <t>006874 - Edwardsville, KS - USWHS</t>
  </si>
  <si>
    <t>Edwardsville, KS - USWHS</t>
  </si>
  <si>
    <t>006876 - Orlando, FL - USWHS</t>
  </si>
  <si>
    <t>Orlando, FL - USWHS</t>
  </si>
  <si>
    <t>006877 - Columbus, OH - USWHS</t>
  </si>
  <si>
    <t>Columbus, OH - USWHS</t>
  </si>
  <si>
    <t>006883 - Waipahu, HI - USWHS</t>
  </si>
  <si>
    <t>Waipahu, HI - USWHS</t>
  </si>
  <si>
    <t>006888 - Hilo, HI - USWHS</t>
  </si>
  <si>
    <t>Hilo, HI - USWHS</t>
  </si>
  <si>
    <t>006889 - Lihue, HI - USWHS</t>
  </si>
  <si>
    <t>Lihue, HI - USWHS</t>
  </si>
  <si>
    <t>006890 - Kahului, HI - USWHS</t>
  </si>
  <si>
    <t>Kahului, HI - USWHS</t>
  </si>
  <si>
    <t>006891 - Carolina, PR - USSTO</t>
  </si>
  <si>
    <t>Carolina, PR - USWHS</t>
  </si>
  <si>
    <t>006896 - Chicago, IL - USWHS</t>
  </si>
  <si>
    <t>Chicago, IL - USWHS</t>
  </si>
  <si>
    <t>006897 - Bloomington, IL - USWHS</t>
  </si>
  <si>
    <t>Bloomington, IL - USWHS</t>
  </si>
  <si>
    <t>006907 - Harrisburg, PA - USWHS</t>
  </si>
  <si>
    <t>Harrisburg, PA - USWHS</t>
  </si>
  <si>
    <t>006908 - Bethlehem, PA - USWHS</t>
  </si>
  <si>
    <t>Bethlehem, PA - USWHS</t>
  </si>
  <si>
    <t>006911 - Naugatuck, CT - USWHS</t>
  </si>
  <si>
    <t>Naugatuck, CT - USWHS</t>
  </si>
  <si>
    <t>006913 - Chesapeake, VA - USWHS</t>
  </si>
  <si>
    <t>Chesapeake, VA - USWHS</t>
  </si>
  <si>
    <t>006914 - Richmond, VA - USWHS</t>
  </si>
  <si>
    <t>Richmond, VA - USWHS</t>
  </si>
  <si>
    <t>006917 - Earth City, MO - USWHS</t>
  </si>
  <si>
    <t>Earth City, MO - USWHS</t>
  </si>
  <si>
    <t>006925 - Middleburg Heights, OH - USWHS</t>
  </si>
  <si>
    <t>Middleburg Heights, OH - USWHS</t>
  </si>
  <si>
    <t>006929 - Indianapolis, IN - USWHS</t>
  </si>
  <si>
    <t>Indianapolis, IN - USWHS</t>
  </si>
  <si>
    <t>006932 - Nashville, TN - USWHS</t>
  </si>
  <si>
    <t>Nashville, TN - USWHS</t>
  </si>
  <si>
    <t>006949 - Louisville, KY - USWHS</t>
  </si>
  <si>
    <t>Louisville, KY - USWHS</t>
  </si>
  <si>
    <t>006965 - San Diego, CA - USWHS</t>
  </si>
  <si>
    <t>San Diego, CA - USWHS</t>
  </si>
  <si>
    <t>006968 - West Sacramento, CA - USWHS</t>
  </si>
  <si>
    <t>West Sacramento, CA - USWHS</t>
  </si>
  <si>
    <t>Everett, WA - USWHS</t>
  </si>
  <si>
    <t>Tangent, OR - USWHS</t>
  </si>
  <si>
    <t>Divisional Field - USWHS</t>
  </si>
  <si>
    <t>Taylor, MI - USWHS</t>
  </si>
  <si>
    <t>Hayward, CA - USWHS</t>
  </si>
  <si>
    <t>Bristol, PA - USWHS</t>
  </si>
  <si>
    <t>New Berlin, WI - USWHS</t>
  </si>
  <si>
    <t>Miramar, FL - USWHS</t>
  </si>
  <si>
    <t>Billerica, MA - USWHS</t>
  </si>
  <si>
    <t>Spokane, WA - USWHS</t>
  </si>
  <si>
    <t>West - Distribution</t>
  </si>
  <si>
    <t>South - Distribution</t>
  </si>
  <si>
    <t>North - Distribution</t>
  </si>
  <si>
    <t>Southeast - Distribution</t>
  </si>
  <si>
    <t>No Region - Distribution</t>
  </si>
  <si>
    <t>2021 NH</t>
  </si>
  <si>
    <t>2021 - 05.20.2021</t>
  </si>
  <si>
    <t>006941 - Boston, MA - USSSD</t>
  </si>
  <si>
    <t>001078 - Tacoma,WA - USSSD</t>
  </si>
  <si>
    <t>005125 - Thousand Oaks,CA - USSSD</t>
  </si>
  <si>
    <t>006890 - Hanalei, HI - USSSD</t>
  </si>
  <si>
    <t>006871 - King of Prussia, PA - USSSD</t>
  </si>
  <si>
    <t>006883 - Honolulu, HI - USSSD</t>
  </si>
  <si>
    <t>006869 - East St. Louis, IL - USSSD</t>
  </si>
  <si>
    <t>001170 - Lima,OH - USSSD</t>
  </si>
  <si>
    <t>006968 - Lodi, CA - USSSD</t>
  </si>
  <si>
    <t>005101 - Scottsdale,AZ - USSSD</t>
  </si>
  <si>
    <t>001080 - Aspen,CO - USSSD</t>
  </si>
  <si>
    <t>001079 - Fort Worth,TX - USSSD</t>
  </si>
  <si>
    <t>001135 - Big Sur,CA - USSSD</t>
  </si>
  <si>
    <t>003013 - La Hoya, CA - USSSD</t>
  </si>
  <si>
    <t>006899 - Green Bay, WI - USSSD</t>
  </si>
  <si>
    <t>001315 - Baltimore MD Satellite - USSSD</t>
  </si>
  <si>
    <t>001127 - Corpus Christie,TX - USSSD</t>
  </si>
  <si>
    <t>005910 - Erie,PA - USSSD</t>
  </si>
  <si>
    <t>001214 - Buckhead,GA - USSSD</t>
  </si>
  <si>
    <t>003049 - Buckhead, GA - USSSD</t>
  </si>
  <si>
    <t>006874 - Kansas City, KS - USSSD</t>
  </si>
  <si>
    <t>003059 - Grapevine TX XDK - USSSD</t>
  </si>
  <si>
    <t>003063 - Lake Buena Vista,FL - USSSD</t>
  </si>
  <si>
    <t>006932 - Memphis, TN - USSSD</t>
  </si>
  <si>
    <t>006888 - Kona, HI - USSSD</t>
  </si>
  <si>
    <t>006877 - Dayton, OH - USSSD</t>
  </si>
  <si>
    <t>001165 - Davie,FL - USSSD</t>
  </si>
  <si>
    <t>001105 - Peoria,IL - USSSD</t>
  </si>
  <si>
    <t>006896 - Lake Forest, IL - USSSD</t>
  </si>
  <si>
    <t>006876 - Lake Buena Vista, FL - USSSD</t>
  </si>
  <si>
    <t>001090 - St. Paul,MN - USSSD</t>
  </si>
  <si>
    <t>006917 - St. Louis, MO - USSSD</t>
  </si>
  <si>
    <t>003048 - Olympia, WA - USSSD</t>
  </si>
  <si>
    <t>006949 - Lexington, KY - USSSD</t>
  </si>
  <si>
    <t>006891 - San Juan, PR - USSSD</t>
  </si>
  <si>
    <t>003077 - Biloxi,MS - USSSD</t>
  </si>
  <si>
    <t>006965 - Coronado, CA - USSSD</t>
  </si>
  <si>
    <t>003054</t>
  </si>
  <si>
    <t>001340 - Three Rivers PA PF Satellite - USSSD</t>
  </si>
  <si>
    <t>006925 - Toledo, OH - USSSD</t>
  </si>
  <si>
    <t>006929 - Lincoln, IN - USWHS</t>
  </si>
  <si>
    <t>006914 - Virginia Beach, VA - USWHS</t>
  </si>
  <si>
    <t>006913 - Virginia City, VA - USWHS</t>
  </si>
  <si>
    <t>006911 - Hartford, CT - USWHS</t>
  </si>
  <si>
    <t>006908 - Pitt, PA - USWHS</t>
  </si>
  <si>
    <t>006907 - Gettysburg, PA - USWHS</t>
  </si>
  <si>
    <t>006897 - Chicago, IL - USWHS</t>
  </si>
  <si>
    <t>006889 - Wailea, HI - USWHS</t>
  </si>
  <si>
    <t>003082 - DIW Pittsburgh PA - USWHS</t>
  </si>
  <si>
    <t>003057 - Grapevine, TX - USWHS</t>
  </si>
  <si>
    <t>003053 - Corpus Christie, TX - USWHS</t>
  </si>
  <si>
    <t>001344 - Milwaukee WI PF Satellite - USWHS</t>
  </si>
  <si>
    <t>001338 - Baton Rouge LA PF Satellite - USWHS</t>
  </si>
  <si>
    <t>001336 - Virginia Beach VA PF Satellite - USWHS</t>
  </si>
  <si>
    <r>
      <rPr>
        <b/>
        <sz val="9.5"/>
        <color rgb="FFFF0000"/>
        <rFont val="Calibri"/>
        <family val="2"/>
        <scheme val="minor"/>
      </rPr>
      <t>Red</t>
    </r>
    <r>
      <rPr>
        <b/>
        <sz val="9.5"/>
        <color theme="1"/>
        <rFont val="Calibri"/>
        <family val="2"/>
        <scheme val="minor"/>
      </rPr>
      <t xml:space="preserve">: Over LY / </t>
    </r>
    <r>
      <rPr>
        <b/>
        <sz val="9.5"/>
        <color rgb="FF00B050"/>
        <rFont val="Calibri"/>
        <family val="2"/>
        <scheme val="minor"/>
      </rPr>
      <t>Green</t>
    </r>
    <r>
      <rPr>
        <b/>
        <sz val="9.5"/>
        <color theme="1"/>
        <rFont val="Calibri"/>
        <family val="2"/>
        <scheme val="minor"/>
      </rPr>
      <t>: Under LY</t>
    </r>
  </si>
  <si>
    <t>Tacoma,WA - USSSD</t>
  </si>
  <si>
    <t>Fort Worth,TX - USSSD</t>
  </si>
  <si>
    <t>Aspen,CO - USSSD</t>
  </si>
  <si>
    <t>St. Paul,MN - USSSD</t>
  </si>
  <si>
    <t>Peoria,IL - USSSD</t>
  </si>
  <si>
    <t>Corpus Christie,TX - USSSD</t>
  </si>
  <si>
    <t>Big Sur,CA - USSSD</t>
  </si>
  <si>
    <t>Davie,FL - USSSD</t>
  </si>
  <si>
    <t>Lima,OH - USSSD</t>
  </si>
  <si>
    <t>Buckhead,GA - USSSD</t>
  </si>
  <si>
    <t>Baltimore MD Satellite - USSSD</t>
  </si>
  <si>
    <t>Grapevine TX Returns - USWHS</t>
  </si>
  <si>
    <t>Royal Oak MI PF Satellite - USWHS</t>
  </si>
  <si>
    <t>Virginia Beach VA PF Satellite - USWHS</t>
  </si>
  <si>
    <t>Baton Rouge LA PF Satellite - USWHS</t>
  </si>
  <si>
    <t>Three Rivers PA PF Satellite - USSSD</t>
  </si>
  <si>
    <t>Milwaukee WI PF Satellite - USWHS</t>
  </si>
  <si>
    <t>La Hoya, CA - USSSD</t>
  </si>
  <si>
    <t>Olympia, WA - USSSD</t>
  </si>
  <si>
    <t>Buckhead, GA - USSSD</t>
  </si>
  <si>
    <t>Santa Clarita CA Returns - USWHS</t>
  </si>
  <si>
    <t>Corpus Christie, TX - USWHS</t>
  </si>
  <si>
    <t>Grapevine, TX - USWHS</t>
  </si>
  <si>
    <t>Grapevine TX XDK - USSSD</t>
  </si>
  <si>
    <t>Lake Buena Vista,FL - USSSD</t>
  </si>
  <si>
    <t>Biloxi,MS - USSSD</t>
  </si>
  <si>
    <t>DIW Pittsburgh PA - USWHS</t>
  </si>
  <si>
    <t>Scottsdale,AZ - USSSD</t>
  </si>
  <si>
    <t>Thousand Oaks,CA - USSSD</t>
  </si>
  <si>
    <t>Erie,PA - USSSD</t>
  </si>
  <si>
    <t>East St. Louis, IL - USSSD</t>
  </si>
  <si>
    <t>Chicago IL Returns - USWHS</t>
  </si>
  <si>
    <t>Kansas City, KS - USSSD</t>
  </si>
  <si>
    <t>Lake Buena Vista, FL - USSSD</t>
  </si>
  <si>
    <t>Dayton, OH - USSSD</t>
  </si>
  <si>
    <t>Honolulu, HI - USSSD</t>
  </si>
  <si>
    <t>Kona, HI - USSSD</t>
  </si>
  <si>
    <t>Wailea, HI - USWHS</t>
  </si>
  <si>
    <t>Hanalei, HI - USSSD</t>
  </si>
  <si>
    <t>San Juan, PR - USSSD</t>
  </si>
  <si>
    <t>Lake Forest, IL - USSSD</t>
  </si>
  <si>
    <t>Atlanta,GA - USWHS</t>
  </si>
  <si>
    <t>Gettysburg, PA - USWHS</t>
  </si>
  <si>
    <t>Pitt, PA - USWHS</t>
  </si>
  <si>
    <t>Hartford, CT - USWHS</t>
  </si>
  <si>
    <t>Virginia City, VA - USWHS</t>
  </si>
  <si>
    <t>Virginia Beach, VA - USWHS</t>
  </si>
  <si>
    <t>St. Louis, MO - USSSD</t>
  </si>
  <si>
    <t>Boulder CO - Fleet - USWHS</t>
  </si>
  <si>
    <t>Toledo, OH - USSSD</t>
  </si>
  <si>
    <t>Lincoln, IN - USWHS</t>
  </si>
  <si>
    <t>Memphis, TN - USSSD</t>
  </si>
  <si>
    <t xml:space="preserve"> Milwaukee WI Satellite - USWHS</t>
  </si>
  <si>
    <t>Coronado, CA - USSSD</t>
  </si>
  <si>
    <t>Lodi, CA - USSSD</t>
  </si>
  <si>
    <t>Seattle, WA - USWHS</t>
  </si>
  <si>
    <t>Tacoma WA PF Satellite - USWHS</t>
  </si>
  <si>
    <t>Portland, OR - USWHS</t>
  </si>
  <si>
    <t>Support - USWHS</t>
  </si>
  <si>
    <t>Madison WI - Satellite - USWHS</t>
  </si>
  <si>
    <t>6924 - Davie, FL</t>
  </si>
  <si>
    <t>Dec-LY</t>
  </si>
  <si>
    <t>1090 - St. Paul,MN</t>
  </si>
  <si>
    <t>1105 - Peoria,IL</t>
  </si>
  <si>
    <t>1315 - Baltimore MD Satellite</t>
  </si>
  <si>
    <t>5910 - Erie,PA</t>
  </si>
  <si>
    <t>6869 - East St. Louis, IL</t>
  </si>
  <si>
    <t>1079 - Fort Worth,TX</t>
  </si>
  <si>
    <t>1080 - Aspen,CO</t>
  </si>
  <si>
    <t>1127 - Corpus Christie,TX</t>
  </si>
  <si>
    <t>3059 - Grapevine TX XDK</t>
  </si>
  <si>
    <t>3077 - Biloxi,MS</t>
  </si>
  <si>
    <t>5101 - Scottsdale,AZ</t>
  </si>
  <si>
    <t>6874 - Kansas City, KS</t>
  </si>
  <si>
    <t>6917 - St. Louis, MO</t>
  </si>
  <si>
    <t>1165 - Davie,FL</t>
  </si>
  <si>
    <t>1170 - Lima,OH</t>
  </si>
  <si>
    <t>1214 - Buckhead,GA</t>
  </si>
  <si>
    <t>1340 - Three Rivers PA PF Satellite</t>
  </si>
  <si>
    <t>3049 - Buckhead, GA</t>
  </si>
  <si>
    <t>3063 - Lake Buena Vista,FL</t>
  </si>
  <si>
    <t>6876 - Lake Buena Vista, FL</t>
  </si>
  <si>
    <t>6877 - Dayton, OH</t>
  </si>
  <si>
    <t>6891 - San Juan, PR</t>
  </si>
  <si>
    <t>6925 - Toledo, OH</t>
  </si>
  <si>
    <t>6932 - Memphis, TN</t>
  </si>
  <si>
    <t>6949 - Lexington, KY</t>
  </si>
  <si>
    <t>1078 - Tacoma,WA</t>
  </si>
  <si>
    <t>1135 - Big Sur,CA</t>
  </si>
  <si>
    <t>3013 - La Hoya, CA</t>
  </si>
  <si>
    <t>3048 - Olympia, WA</t>
  </si>
  <si>
    <t>5125 - Thousand Oaks,CA</t>
  </si>
  <si>
    <t>6883 - Honolulu, HI</t>
  </si>
  <si>
    <t>6888 - Kona, HI</t>
  </si>
  <si>
    <t>6890 - Hanalei, HI</t>
  </si>
  <si>
    <t>6965 - Coronado, CA</t>
  </si>
  <si>
    <t>6968 - Lodi, CA</t>
  </si>
  <si>
    <t>1336 - Virginia Beach VA PF Satellite</t>
  </si>
  <si>
    <t>1461 - Madison WI - Satellite</t>
  </si>
  <si>
    <t>3082 - DIW Pittsburgh PA</t>
  </si>
  <si>
    <t>6897 - Chicago, IL</t>
  </si>
  <si>
    <t>6907 - Gettysburg, PA</t>
  </si>
  <si>
    <t>6908 - Pitt, PA</t>
  </si>
  <si>
    <t>6911 - Hartford, CT</t>
  </si>
  <si>
    <t>6913 - Virginia City, VA</t>
  </si>
  <si>
    <t>6914 - Virginia Beach, VA</t>
  </si>
  <si>
    <t>1338 - Baton Rouge LA PF Satellite</t>
  </si>
  <si>
    <t>3053 - Corpus Christie, TX</t>
  </si>
  <si>
    <t>3084 - Grapevine TX Returns</t>
  </si>
  <si>
    <t>1334 - Royal Oak MI PF Satellite</t>
  </si>
  <si>
    <t>6929 - Lincoln, IN</t>
  </si>
  <si>
    <t>3087 - Santa Clarita CA Returns</t>
  </si>
  <si>
    <t>6889 - Wailea, HI</t>
  </si>
  <si>
    <t>6970 - Seattle, WA</t>
  </si>
  <si>
    <t>6973 - Portland, OR</t>
  </si>
  <si>
    <t>St. Paul,MN</t>
  </si>
  <si>
    <t>Peoria,IL</t>
  </si>
  <si>
    <t>Baltimore MD Satellite</t>
  </si>
  <si>
    <t>Virginia Beach VA PF Satellite</t>
  </si>
  <si>
    <t>Madison WISatellite</t>
  </si>
  <si>
    <t>DIW Pittsburgh PA</t>
  </si>
  <si>
    <t>Erie,PA</t>
  </si>
  <si>
    <t>East St. Louis, IL</t>
  </si>
  <si>
    <t>Gettysburg, PA</t>
  </si>
  <si>
    <t>Pitt, PA</t>
  </si>
  <si>
    <t>Hartford, CT</t>
  </si>
  <si>
    <t>Virginia City, VA</t>
  </si>
  <si>
    <t>Virginia Beach, VA</t>
  </si>
  <si>
    <t>Fort Worth,TX</t>
  </si>
  <si>
    <t>Aspen,CO</t>
  </si>
  <si>
    <t>Corpus Christie,TX</t>
  </si>
  <si>
    <t>Baton Rouge LA PF Satellite</t>
  </si>
  <si>
    <t>Corpus Christie, TX</t>
  </si>
  <si>
    <t>Grapevine TX Returns</t>
  </si>
  <si>
    <t>Grapevine TX XDK</t>
  </si>
  <si>
    <t>Biloxi,MS</t>
  </si>
  <si>
    <t>Scottsdale,AZ</t>
  </si>
  <si>
    <t>Kansas City, KS</t>
  </si>
  <si>
    <t>St. Louis, MO</t>
  </si>
  <si>
    <t>Davie,FL</t>
  </si>
  <si>
    <t>Lima,OH</t>
  </si>
  <si>
    <t>Buckhead,GA</t>
  </si>
  <si>
    <t>Royal Oak MI PF Satellite</t>
  </si>
  <si>
    <t>Three Rivers PA PF Satellite</t>
  </si>
  <si>
    <t>Buckhead, GA</t>
  </si>
  <si>
    <t>Lake Buena Vista,FL</t>
  </si>
  <si>
    <t>Lake Buena Vista, FL</t>
  </si>
  <si>
    <t>Dayton, OH</t>
  </si>
  <si>
    <t>San Juan, PR</t>
  </si>
  <si>
    <t>Toledo, OH</t>
  </si>
  <si>
    <t>Lincoln, IN</t>
  </si>
  <si>
    <t>Memphis, TN</t>
  </si>
  <si>
    <t>Tacoma,WA</t>
  </si>
  <si>
    <t>Big Sur,CA</t>
  </si>
  <si>
    <t>La Hoya, CA</t>
  </si>
  <si>
    <t>Olympia, WA</t>
  </si>
  <si>
    <t>Santa Clarita CA Returns</t>
  </si>
  <si>
    <t>Thousand Oaks,CA</t>
  </si>
  <si>
    <t>Honolulu, HI</t>
  </si>
  <si>
    <t>Kona, HI</t>
  </si>
  <si>
    <t>Wailea, HI</t>
  </si>
  <si>
    <t>Hanalei, HI</t>
  </si>
  <si>
    <t>Coronado, CA</t>
  </si>
  <si>
    <t>Lodi, CA</t>
  </si>
  <si>
    <t>Seattle, WA</t>
  </si>
  <si>
    <t>Portland, OR</t>
  </si>
  <si>
    <t>*Current Info</t>
  </si>
  <si>
    <r>
      <rPr>
        <sz val="14"/>
        <color theme="0"/>
        <rFont val="Calibri"/>
        <family val="2"/>
        <scheme val="minor"/>
      </rPr>
      <t>Supply Chain Turnover Analysis Report by Location</t>
    </r>
    <r>
      <rPr>
        <sz val="10"/>
        <color theme="0"/>
        <rFont val="Calibri"/>
        <family val="2"/>
        <scheme val="minor"/>
      </rPr>
      <t xml:space="preserve">
(Active 'Original' locations)
Current Data</t>
    </r>
  </si>
  <si>
    <t>Headcount Jan-01</t>
  </si>
  <si>
    <t>Select 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</si>
</sst>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9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.5"/>
      <color theme="1"/>
      <name val="Calibri"/>
      <family val="2"/>
      <scheme val="minor"/>
    </font>
    <font>
      <b/>
      <sz val="9.5"/>
      <color rgb="FFFF0000"/>
      <name val="Calibri"/>
      <family val="2"/>
      <scheme val="minor"/>
    </font>
    <font>
      <b/>
      <sz val="9.5"/>
      <color rgb="FF00B05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9.5"/>
      <color theme="8" tint="0.79998168889431442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0"/>
      <color theme="8" tint="0.79998168889431442"/>
      <name val="Calibri"/>
      <family val="2"/>
      <scheme val="minor"/>
    </font>
    <font>
      <b/>
      <i/>
      <sz val="10"/>
      <color theme="8" tint="0.79998168889431442"/>
      <name val="Calibri"/>
      <family val="2"/>
      <scheme val="minor"/>
    </font>
    <font>
      <sz val="10"/>
      <color theme="8" tint="0.79998168889431442"/>
      <name val="Calibri"/>
      <family val="2"/>
      <scheme val="minor"/>
    </font>
    <font>
      <b/>
      <sz val="10"/>
      <color indexed="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5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1" tint="0.249977111117893"/>
      </left>
      <right/>
      <top style="medium">
        <color theme="1" tint="0.249977111117893"/>
      </top>
      <bottom/>
      <diagonal/>
    </border>
    <border>
      <left/>
      <right/>
      <top style="medium">
        <color theme="1" tint="0.249977111117893"/>
      </top>
      <bottom/>
      <diagonal/>
    </border>
    <border>
      <left/>
      <right style="medium">
        <color theme="1" tint="0.249977111117893"/>
      </right>
      <top style="medium">
        <color theme="1" tint="0.249977111117893"/>
      </top>
      <bottom/>
      <diagonal/>
    </border>
    <border>
      <left style="medium">
        <color theme="1" tint="0.249977111117893"/>
      </left>
      <right/>
      <top/>
      <bottom/>
      <diagonal/>
    </border>
    <border>
      <left/>
      <right style="medium">
        <color theme="1" tint="0.249977111117893"/>
      </right>
      <top/>
      <bottom/>
      <diagonal/>
    </border>
    <border>
      <left style="medium">
        <color theme="1" tint="0.249977111117893"/>
      </left>
      <right/>
      <top/>
      <bottom style="medium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 style="medium">
        <color theme="1" tint="0.249977111117893"/>
      </right>
      <top/>
      <bottom style="medium">
        <color theme="1" tint="0.249977111117893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8" tint="-0.499984740745262"/>
      </left>
      <right/>
      <top/>
      <bottom/>
      <diagonal/>
    </border>
    <border>
      <left/>
      <right style="thin">
        <color theme="8" tint="-0.499984740745262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8" tint="-0.499984740745262"/>
      </left>
      <right/>
      <top/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indexed="64"/>
      </bottom>
      <diagonal/>
    </border>
    <border>
      <left/>
      <right/>
      <top style="thin">
        <color theme="0" tint="-0.249977111117893"/>
      </top>
      <bottom style="medium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/>
      <right style="thin">
        <color theme="8" tint="-0.499984740745262"/>
      </right>
      <top/>
      <bottom style="medium">
        <color indexed="64"/>
      </bottom>
      <diagonal/>
    </border>
    <border>
      <left style="thin">
        <color indexed="64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thin">
        <color indexed="64"/>
      </right>
      <top/>
      <bottom style="hair">
        <color theme="8"/>
      </bottom>
      <diagonal/>
    </border>
    <border>
      <left style="thin">
        <color indexed="64"/>
      </left>
      <right style="hair">
        <color theme="8"/>
      </right>
      <top/>
      <bottom/>
      <diagonal/>
    </border>
    <border>
      <left style="hair">
        <color theme="8"/>
      </left>
      <right style="hair">
        <color theme="8"/>
      </right>
      <top/>
      <bottom/>
      <diagonal/>
    </border>
    <border>
      <left style="hair">
        <color theme="8"/>
      </left>
      <right style="thin">
        <color indexed="64"/>
      </right>
      <top/>
      <bottom/>
      <diagonal/>
    </border>
    <border>
      <left/>
      <right style="hair">
        <color theme="8"/>
      </right>
      <top/>
      <bottom/>
      <diagonal/>
    </border>
    <border>
      <left style="hair">
        <color theme="8"/>
      </left>
      <right/>
      <top/>
      <bottom/>
      <diagonal/>
    </border>
    <border>
      <left style="hair">
        <color theme="8"/>
      </left>
      <right style="medium">
        <color indexed="64"/>
      </right>
      <top/>
      <bottom/>
      <diagonal/>
    </border>
    <border>
      <left/>
      <right/>
      <top/>
      <bottom style="thin">
        <color theme="8" tint="-0.49998474074526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theme="8"/>
      </left>
      <right/>
      <top/>
      <bottom style="hair">
        <color theme="8"/>
      </bottom>
      <diagonal/>
    </border>
    <border>
      <left style="thin">
        <color indexed="64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theme="8"/>
      </left>
      <right style="thin">
        <color indexed="64"/>
      </right>
      <top style="thin">
        <color indexed="64"/>
      </top>
      <bottom style="hair">
        <color theme="8"/>
      </bottom>
      <diagonal/>
    </border>
    <border>
      <left/>
      <right style="hair">
        <color theme="8"/>
      </right>
      <top/>
      <bottom style="hair">
        <color theme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theme="8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double">
        <color indexed="64"/>
      </bottom>
      <diagonal/>
    </border>
    <border>
      <left/>
      <right/>
      <top style="thin">
        <color theme="0" tint="-0.249977111117893"/>
      </top>
      <bottom style="double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theme="8" tint="-0.499984740745262"/>
      </right>
      <top/>
      <bottom style="double">
        <color indexed="64"/>
      </bottom>
      <diagonal/>
    </border>
    <border>
      <left/>
      <right/>
      <top style="thin">
        <color theme="8" tint="-0.499984740745262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 applyNumberFormat="0" applyFont="0" applyFill="0" applyBorder="0" applyProtection="0"/>
    <xf numFmtId="0" fontId="21" fillId="0" borderId="0"/>
    <xf numFmtId="0" fontId="25" fillId="0" borderId="0"/>
  </cellStyleXfs>
  <cellXfs count="66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3" borderId="0" xfId="0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6" fillId="3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7" borderId="2" xfId="0" applyFill="1" applyBorder="1"/>
    <xf numFmtId="0" fontId="0" fillId="7" borderId="3" xfId="0" applyFill="1" applyBorder="1"/>
    <xf numFmtId="0" fontId="2" fillId="7" borderId="3" xfId="0" applyFont="1" applyFill="1" applyBorder="1"/>
    <xf numFmtId="0" fontId="0" fillId="7" borderId="5" xfId="0" applyFill="1" applyBorder="1"/>
    <xf numFmtId="0" fontId="2" fillId="7" borderId="0" xfId="0" applyFont="1" applyFill="1" applyAlignment="1">
      <alignment horizontal="center"/>
    </xf>
    <xf numFmtId="0" fontId="2" fillId="7" borderId="0" xfId="0" applyFont="1" applyFill="1"/>
    <xf numFmtId="0" fontId="0" fillId="7" borderId="0" xfId="0" applyFill="1"/>
    <xf numFmtId="0" fontId="0" fillId="7" borderId="6" xfId="0" applyFill="1" applyBorder="1"/>
    <xf numFmtId="0" fontId="4" fillId="7" borderId="0" xfId="0" applyFont="1" applyFill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2" fillId="2" borderId="3" xfId="0" applyFont="1" applyFill="1" applyBorder="1"/>
    <xf numFmtId="10" fontId="2" fillId="2" borderId="3" xfId="0" applyNumberFormat="1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4" fillId="2" borderId="0" xfId="0" applyFont="1" applyFill="1"/>
    <xf numFmtId="10" fontId="2" fillId="2" borderId="6" xfId="0" applyNumberFormat="1" applyFont="1" applyFill="1" applyBorder="1" applyAlignment="1">
      <alignment horizontal="center"/>
    </xf>
    <xf numFmtId="0" fontId="3" fillId="2" borderId="0" xfId="0" applyFont="1" applyFill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3" fillId="2" borderId="0" xfId="0" applyFont="1" applyFill="1" applyAlignment="1">
      <alignment horizontal="center"/>
    </xf>
    <xf numFmtId="0" fontId="2" fillId="2" borderId="8" xfId="0" applyFont="1" applyFill="1" applyBorder="1"/>
    <xf numFmtId="10" fontId="2" fillId="2" borderId="8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 vertical="top"/>
    </xf>
    <xf numFmtId="0" fontId="2" fillId="2" borderId="8" xfId="0" applyFont="1" applyFill="1" applyBorder="1" applyAlignment="1">
      <alignment vertical="top"/>
    </xf>
    <xf numFmtId="10" fontId="2" fillId="2" borderId="8" xfId="0" applyNumberFormat="1" applyFont="1" applyFill="1" applyBorder="1" applyAlignment="1">
      <alignment horizontal="center" vertical="top"/>
    </xf>
    <xf numFmtId="10" fontId="2" fillId="2" borderId="9" xfId="0" applyNumberFormat="1" applyFont="1" applyFill="1" applyBorder="1" applyAlignment="1">
      <alignment horizontal="center" vertical="top"/>
    </xf>
    <xf numFmtId="10" fontId="6" fillId="2" borderId="5" xfId="0" applyNumberFormat="1" applyFont="1" applyFill="1" applyBorder="1" applyAlignment="1">
      <alignment horizontal="center"/>
    </xf>
    <xf numFmtId="10" fontId="2" fillId="2" borderId="5" xfId="0" applyNumberFormat="1" applyFont="1" applyFill="1" applyBorder="1" applyAlignment="1">
      <alignment horizontal="center"/>
    </xf>
    <xf numFmtId="10" fontId="0" fillId="2" borderId="5" xfId="0" applyNumberForma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0" fillId="7" borderId="4" xfId="0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2" fillId="7" borderId="9" xfId="0" applyFont="1" applyFill="1" applyBorder="1"/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/>
    <xf numFmtId="10" fontId="2" fillId="7" borderId="5" xfId="1" applyNumberFormat="1" applyFont="1" applyFill="1" applyBorder="1" applyAlignment="1">
      <alignment horizontal="center"/>
    </xf>
    <xf numFmtId="10" fontId="2" fillId="7" borderId="7" xfId="1" applyNumberFormat="1" applyFont="1" applyFill="1" applyBorder="1" applyAlignment="1">
      <alignment horizontal="center"/>
    </xf>
    <xf numFmtId="0" fontId="3" fillId="7" borderId="0" xfId="0" applyFont="1" applyFill="1"/>
    <xf numFmtId="0" fontId="3" fillId="7" borderId="0" xfId="0" applyFont="1" applyFill="1" applyAlignment="1">
      <alignment horizontal="center"/>
    </xf>
    <xf numFmtId="0" fontId="3" fillId="7" borderId="6" xfId="0" applyFont="1" applyFill="1" applyBorder="1"/>
    <xf numFmtId="0" fontId="3" fillId="7" borderId="6" xfId="0" applyFont="1" applyFill="1" applyBorder="1" applyAlignment="1">
      <alignment horizontal="center"/>
    </xf>
    <xf numFmtId="10" fontId="2" fillId="7" borderId="2" xfId="1" applyNumberFormat="1" applyFont="1" applyFill="1" applyBorder="1" applyAlignment="1">
      <alignment horizontal="center"/>
    </xf>
    <xf numFmtId="0" fontId="4" fillId="7" borderId="3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4" fillId="7" borderId="8" xfId="0" applyFont="1" applyFill="1" applyBorder="1"/>
    <xf numFmtId="0" fontId="3" fillId="7" borderId="8" xfId="0" applyFont="1" applyFill="1" applyBorder="1"/>
    <xf numFmtId="0" fontId="3" fillId="7" borderId="9" xfId="0" applyFont="1" applyFill="1" applyBorder="1"/>
    <xf numFmtId="0" fontId="2" fillId="2" borderId="0" xfId="0" applyFont="1" applyFill="1" applyAlignment="1">
      <alignment horizontal="left"/>
    </xf>
    <xf numFmtId="0" fontId="2" fillId="2" borderId="6" xfId="0" applyFont="1" applyFill="1" applyBorder="1" applyAlignment="1">
      <alignment horizontal="center"/>
    </xf>
    <xf numFmtId="10" fontId="6" fillId="2" borderId="6" xfId="0" applyNumberFormat="1" applyFont="1" applyFill="1" applyBorder="1" applyAlignment="1">
      <alignment horizontal="center"/>
    </xf>
    <xf numFmtId="10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2" borderId="0" xfId="0" applyFont="1" applyFill="1"/>
    <xf numFmtId="0" fontId="7" fillId="2" borderId="0" xfId="0" applyFont="1" applyFill="1" applyAlignment="1">
      <alignment horizontal="center"/>
    </xf>
    <xf numFmtId="0" fontId="2" fillId="7" borderId="11" xfId="0" applyFont="1" applyFill="1" applyBorder="1"/>
    <xf numFmtId="0" fontId="2" fillId="7" borderId="13" xfId="0" applyFont="1" applyFill="1" applyBorder="1"/>
    <xf numFmtId="0" fontId="2" fillId="7" borderId="11" xfId="0" applyFont="1" applyFill="1" applyBorder="1" applyAlignment="1">
      <alignment horizontal="center"/>
    </xf>
    <xf numFmtId="0" fontId="0" fillId="7" borderId="13" xfId="0" applyFill="1" applyBorder="1"/>
    <xf numFmtId="0" fontId="0" fillId="7" borderId="12" xfId="0" applyFill="1" applyBorder="1"/>
    <xf numFmtId="0" fontId="2" fillId="7" borderId="11" xfId="0" applyFont="1" applyFill="1" applyBorder="1" applyAlignment="1">
      <alignment vertical="top"/>
    </xf>
    <xf numFmtId="10" fontId="2" fillId="7" borderId="13" xfId="0" applyNumberFormat="1" applyFont="1" applyFill="1" applyBorder="1" applyAlignment="1">
      <alignment horizontal="center" vertical="top"/>
    </xf>
    <xf numFmtId="0" fontId="2" fillId="7" borderId="13" xfId="0" applyFont="1" applyFill="1" applyBorder="1" applyAlignment="1">
      <alignment vertical="top"/>
    </xf>
    <xf numFmtId="10" fontId="2" fillId="7" borderId="12" xfId="0" applyNumberFormat="1" applyFont="1" applyFill="1" applyBorder="1" applyAlignment="1">
      <alignment horizontal="center" vertical="top"/>
    </xf>
    <xf numFmtId="0" fontId="2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7" borderId="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 wrapText="1"/>
    </xf>
    <xf numFmtId="0" fontId="8" fillId="7" borderId="3" xfId="0" applyFont="1" applyFill="1" applyBorder="1" applyAlignment="1">
      <alignment horizontal="center" wrapText="1"/>
    </xf>
    <xf numFmtId="0" fontId="2" fillId="6" borderId="16" xfId="0" applyFont="1" applyFill="1" applyBorder="1" applyAlignment="1">
      <alignment horizontal="center"/>
    </xf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0" fillId="7" borderId="30" xfId="0" applyFill="1" applyBorder="1"/>
    <xf numFmtId="0" fontId="0" fillId="7" borderId="31" xfId="0" applyFill="1" applyBorder="1"/>
    <xf numFmtId="0" fontId="7" fillId="7" borderId="31" xfId="0" applyFont="1" applyFill="1" applyBorder="1" applyAlignment="1">
      <alignment horizontal="center"/>
    </xf>
    <xf numFmtId="0" fontId="0" fillId="7" borderId="32" xfId="0" applyFill="1" applyBorder="1"/>
    <xf numFmtId="0" fontId="0" fillId="7" borderId="33" xfId="0" applyFill="1" applyBorder="1"/>
    <xf numFmtId="0" fontId="2" fillId="7" borderId="33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left"/>
    </xf>
    <xf numFmtId="0" fontId="7" fillId="7" borderId="33" xfId="0" applyFont="1" applyFill="1" applyBorder="1" applyAlignment="1">
      <alignment horizontal="center"/>
    </xf>
    <xf numFmtId="0" fontId="7" fillId="7" borderId="34" xfId="0" applyFont="1" applyFill="1" applyBorder="1" applyAlignment="1">
      <alignment horizontal="center"/>
    </xf>
    <xf numFmtId="0" fontId="2" fillId="7" borderId="0" xfId="0" applyFont="1" applyFill="1" applyAlignment="1">
      <alignment horizontal="left"/>
    </xf>
    <xf numFmtId="0" fontId="2" fillId="2" borderId="0" xfId="0" applyFont="1" applyFill="1" applyAlignment="1">
      <alignment vertical="top"/>
    </xf>
    <xf numFmtId="10" fontId="2" fillId="2" borderId="0" xfId="0" applyNumberFormat="1" applyFont="1" applyFill="1" applyAlignment="1">
      <alignment horizontal="center" vertical="top"/>
    </xf>
    <xf numFmtId="10" fontId="1" fillId="0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6" xfId="0" applyBorder="1"/>
    <xf numFmtId="10" fontId="2" fillId="2" borderId="0" xfId="1" applyNumberFormat="1" applyFont="1" applyFill="1" applyBorder="1" applyAlignment="1">
      <alignment horizontal="center"/>
    </xf>
    <xf numFmtId="0" fontId="15" fillId="2" borderId="0" xfId="0" applyFont="1" applyFill="1"/>
    <xf numFmtId="0" fontId="16" fillId="2" borderId="5" xfId="0" applyFont="1" applyFill="1" applyBorder="1"/>
    <xf numFmtId="0" fontId="16" fillId="7" borderId="0" xfId="0" applyFont="1" applyFill="1"/>
    <xf numFmtId="0" fontId="0" fillId="0" borderId="3" xfId="0" applyBorder="1"/>
    <xf numFmtId="0" fontId="16" fillId="2" borderId="0" xfId="0" applyFont="1" applyFill="1"/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7" fillId="3" borderId="0" xfId="0" applyFont="1" applyFill="1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10" fontId="2" fillId="0" borderId="6" xfId="1" applyNumberFormat="1" applyFont="1" applyBorder="1" applyAlignment="1">
      <alignment horizontal="center"/>
    </xf>
    <xf numFmtId="10" fontId="2" fillId="3" borderId="14" xfId="0" applyNumberFormat="1" applyFont="1" applyFill="1" applyBorder="1" applyAlignment="1">
      <alignment horizontal="center"/>
    </xf>
    <xf numFmtId="0" fontId="18" fillId="2" borderId="0" xfId="0" applyFont="1" applyFill="1"/>
    <xf numFmtId="10" fontId="2" fillId="0" borderId="9" xfId="1" applyNumberFormat="1" applyFont="1" applyBorder="1" applyAlignment="1">
      <alignment horizontal="center"/>
    </xf>
    <xf numFmtId="10" fontId="0" fillId="3" borderId="0" xfId="0" applyNumberFormat="1" applyFill="1"/>
    <xf numFmtId="0" fontId="2" fillId="0" borderId="10" xfId="0" applyFont="1" applyBorder="1" applyAlignment="1">
      <alignment horizontal="center"/>
    </xf>
    <xf numFmtId="10" fontId="3" fillId="2" borderId="6" xfId="0" applyNumberFormat="1" applyFont="1" applyFill="1" applyBorder="1" applyAlignment="1">
      <alignment horizontal="center"/>
    </xf>
    <xf numFmtId="10" fontId="3" fillId="3" borderId="0" xfId="0" applyNumberFormat="1" applyFont="1" applyFill="1" applyAlignment="1">
      <alignment horizontal="center"/>
    </xf>
    <xf numFmtId="10" fontId="2" fillId="0" borderId="0" xfId="1" applyNumberFormat="1" applyFont="1" applyBorder="1" applyAlignment="1">
      <alignment horizontal="center"/>
    </xf>
    <xf numFmtId="0" fontId="7" fillId="2" borderId="0" xfId="0" applyFont="1" applyFill="1"/>
    <xf numFmtId="0" fontId="0" fillId="7" borderId="0" xfId="0" applyFill="1" applyAlignment="1">
      <alignment horizontal="left"/>
    </xf>
    <xf numFmtId="0" fontId="2" fillId="2" borderId="14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2" fillId="16" borderId="56" xfId="0" applyFont="1" applyFill="1" applyBorder="1" applyAlignment="1">
      <alignment vertical="center" wrapText="1"/>
    </xf>
    <xf numFmtId="0" fontId="22" fillId="16" borderId="57" xfId="0" applyFont="1" applyFill="1" applyBorder="1" applyAlignment="1">
      <alignment vertical="center" wrapText="1"/>
    </xf>
    <xf numFmtId="0" fontId="24" fillId="16" borderId="56" xfId="0" applyFont="1" applyFill="1" applyBorder="1" applyAlignment="1">
      <alignment vertical="center" wrapText="1"/>
    </xf>
    <xf numFmtId="0" fontId="24" fillId="16" borderId="59" xfId="0" applyFont="1" applyFill="1" applyBorder="1" applyAlignment="1">
      <alignment vertical="center" wrapText="1"/>
    </xf>
    <xf numFmtId="0" fontId="24" fillId="16" borderId="8" xfId="0" applyFont="1" applyFill="1" applyBorder="1" applyAlignment="1">
      <alignment vertical="center" wrapText="1"/>
    </xf>
    <xf numFmtId="0" fontId="24" fillId="16" borderId="8" xfId="0" applyFont="1" applyFill="1" applyBorder="1" applyAlignment="1">
      <alignment vertical="center"/>
    </xf>
    <xf numFmtId="164" fontId="14" fillId="0" borderId="60" xfId="1" applyNumberFormat="1" applyFont="1" applyBorder="1" applyAlignment="1">
      <alignment horizontal="center" vertical="center" wrapText="1"/>
    </xf>
    <xf numFmtId="164" fontId="14" fillId="0" borderId="61" xfId="1" applyNumberFormat="1" applyFont="1" applyBorder="1" applyAlignment="1">
      <alignment horizontal="center" vertical="center" wrapText="1"/>
    </xf>
    <xf numFmtId="164" fontId="14" fillId="0" borderId="62" xfId="1" applyNumberFormat="1" applyFont="1" applyBorder="1" applyAlignment="1">
      <alignment horizontal="center" vertical="center" wrapText="1"/>
    </xf>
    <xf numFmtId="164" fontId="14" fillId="0" borderId="8" xfId="1" applyNumberFormat="1" applyFont="1" applyBorder="1" applyAlignment="1">
      <alignment horizontal="center" vertical="center" wrapText="1"/>
    </xf>
    <xf numFmtId="164" fontId="14" fillId="0" borderId="63" xfId="1" applyNumberFormat="1" applyFont="1" applyBorder="1" applyAlignment="1">
      <alignment horizontal="center" vertical="center" wrapText="1"/>
    </xf>
    <xf numFmtId="10" fontId="26" fillId="0" borderId="64" xfId="1" applyNumberFormat="1" applyFont="1" applyBorder="1" applyAlignment="1">
      <alignment horizontal="center" vertical="center"/>
    </xf>
    <xf numFmtId="164" fontId="26" fillId="0" borderId="64" xfId="1" applyNumberFormat="1" applyFont="1" applyBorder="1" applyAlignment="1">
      <alignment horizontal="center" vertical="center"/>
    </xf>
    <xf numFmtId="164" fontId="26" fillId="0" borderId="65" xfId="1" applyNumberFormat="1" applyFont="1" applyBorder="1" applyAlignment="1">
      <alignment horizontal="center" vertical="center"/>
    </xf>
    <xf numFmtId="164" fontId="26" fillId="0" borderId="66" xfId="1" applyNumberFormat="1" applyFont="1" applyBorder="1" applyAlignment="1">
      <alignment horizontal="center" vertical="center"/>
    </xf>
    <xf numFmtId="164" fontId="24" fillId="16" borderId="67" xfId="1" applyNumberFormat="1" applyFont="1" applyFill="1" applyBorder="1" applyAlignment="1">
      <alignment horizontal="center" vertical="center"/>
    </xf>
    <xf numFmtId="164" fontId="24" fillId="16" borderId="68" xfId="1" applyNumberFormat="1" applyFont="1" applyFill="1" applyBorder="1" applyAlignment="1">
      <alignment horizontal="center" vertical="center"/>
    </xf>
    <xf numFmtId="164" fontId="24" fillId="16" borderId="69" xfId="1" applyNumberFormat="1" applyFont="1" applyFill="1" applyBorder="1" applyAlignment="1">
      <alignment horizontal="center" vertical="center"/>
    </xf>
    <xf numFmtId="164" fontId="24" fillId="16" borderId="70" xfId="1" applyNumberFormat="1" applyFont="1" applyFill="1" applyBorder="1" applyAlignment="1">
      <alignment horizontal="center" vertical="center"/>
    </xf>
    <xf numFmtId="164" fontId="24" fillId="16" borderId="72" xfId="1" applyNumberFormat="1" applyFont="1" applyFill="1" applyBorder="1" applyAlignment="1">
      <alignment horizontal="center" vertical="center"/>
    </xf>
    <xf numFmtId="0" fontId="24" fillId="16" borderId="73" xfId="0" applyFont="1" applyFill="1" applyBorder="1" applyAlignment="1">
      <alignment horizontal="center" vertical="center" wrapText="1"/>
    </xf>
    <xf numFmtId="164" fontId="24" fillId="16" borderId="71" xfId="1" applyNumberFormat="1" applyFont="1" applyFill="1" applyBorder="1" applyAlignment="1">
      <alignment horizontal="center" vertical="center"/>
    </xf>
    <xf numFmtId="0" fontId="26" fillId="13" borderId="7" xfId="4" applyFont="1" applyFill="1" applyBorder="1" applyAlignment="1">
      <alignment wrapText="1"/>
    </xf>
    <xf numFmtId="10" fontId="7" fillId="12" borderId="8" xfId="1" applyNumberFormat="1" applyFont="1" applyFill="1" applyBorder="1" applyAlignment="1">
      <alignment horizontal="center"/>
    </xf>
    <xf numFmtId="164" fontId="7" fillId="12" borderId="8" xfId="1" applyNumberFormat="1" applyFont="1" applyFill="1" applyBorder="1" applyAlignment="1">
      <alignment horizontal="center"/>
    </xf>
    <xf numFmtId="164" fontId="7" fillId="12" borderId="74" xfId="1" applyNumberFormat="1" applyFont="1" applyFill="1" applyBorder="1" applyAlignment="1">
      <alignment horizontal="center"/>
    </xf>
    <xf numFmtId="164" fontId="5" fillId="0" borderId="0" xfId="1" applyNumberFormat="1" applyFont="1" applyBorder="1"/>
    <xf numFmtId="0" fontId="2" fillId="5" borderId="2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53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0" fontId="0" fillId="0" borderId="18" xfId="0" applyBorder="1"/>
    <xf numFmtId="0" fontId="0" fillId="3" borderId="17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0" fontId="0" fillId="0" borderId="17" xfId="0" applyBorder="1"/>
    <xf numFmtId="2" fontId="2" fillId="19" borderId="11" xfId="0" applyNumberFormat="1" applyFont="1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2" fillId="4" borderId="11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3" fillId="5" borderId="75" xfId="0" applyFont="1" applyFill="1" applyBorder="1" applyAlignment="1">
      <alignment horizontal="center" vertical="center"/>
    </xf>
    <xf numFmtId="0" fontId="13" fillId="5" borderId="44" xfId="0" applyFont="1" applyFill="1" applyBorder="1" applyAlignment="1">
      <alignment vertical="center"/>
    </xf>
    <xf numFmtId="164" fontId="13" fillId="5" borderId="51" xfId="1" applyNumberFormat="1" applyFont="1" applyFill="1" applyBorder="1" applyAlignment="1">
      <alignment horizontal="center" vertical="center" wrapText="1"/>
    </xf>
    <xf numFmtId="0" fontId="14" fillId="5" borderId="51" xfId="0" applyFont="1" applyFill="1" applyBorder="1" applyAlignment="1">
      <alignment horizontal="center" vertical="center" wrapText="1"/>
    </xf>
    <xf numFmtId="0" fontId="14" fillId="5" borderId="76" xfId="0" applyFont="1" applyFill="1" applyBorder="1" applyAlignment="1">
      <alignment horizontal="center" vertical="center" wrapText="1"/>
    </xf>
    <xf numFmtId="0" fontId="13" fillId="5" borderId="76" xfId="0" applyFont="1" applyFill="1" applyBorder="1" applyAlignment="1">
      <alignment horizontal="left" vertical="center"/>
    </xf>
    <xf numFmtId="0" fontId="3" fillId="5" borderId="48" xfId="0" applyFont="1" applyFill="1" applyBorder="1" applyAlignment="1">
      <alignment horizontal="center" wrapText="1"/>
    </xf>
    <xf numFmtId="0" fontId="3" fillId="5" borderId="51" xfId="0" applyFont="1" applyFill="1" applyBorder="1" applyAlignment="1">
      <alignment horizontal="center" wrapText="1"/>
    </xf>
    <xf numFmtId="0" fontId="29" fillId="5" borderId="51" xfId="0" applyFont="1" applyFill="1" applyBorder="1" applyAlignment="1">
      <alignment horizontal="center" wrapText="1"/>
    </xf>
    <xf numFmtId="0" fontId="2" fillId="5" borderId="52" xfId="0" applyFont="1" applyFill="1" applyBorder="1" applyAlignment="1">
      <alignment horizontal="center" wrapText="1"/>
    </xf>
    <xf numFmtId="0" fontId="4" fillId="5" borderId="75" xfId="0" applyFont="1" applyFill="1" applyBorder="1" applyAlignment="1">
      <alignment horizontal="center" wrapText="1"/>
    </xf>
    <xf numFmtId="0" fontId="4" fillId="5" borderId="42" xfId="0" applyFont="1" applyFill="1" applyBorder="1" applyAlignment="1">
      <alignment horizontal="center" wrapText="1"/>
    </xf>
    <xf numFmtId="0" fontId="4" fillId="5" borderId="49" xfId="0" applyFont="1" applyFill="1" applyBorder="1" applyAlignment="1">
      <alignment horizont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3" fillId="5" borderId="75" xfId="0" applyFont="1" applyFill="1" applyBorder="1" applyAlignment="1">
      <alignment horizontal="center" wrapText="1"/>
    </xf>
    <xf numFmtId="0" fontId="3" fillId="5" borderId="42" xfId="0" applyFont="1" applyFill="1" applyBorder="1" applyAlignment="1">
      <alignment horizontal="center" wrapText="1"/>
    </xf>
    <xf numFmtId="0" fontId="3" fillId="5" borderId="79" xfId="0" applyFont="1" applyFill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2" fillId="4" borderId="11" xfId="0" applyFont="1" applyFill="1" applyBorder="1"/>
    <xf numFmtId="0" fontId="2" fillId="4" borderId="13" xfId="0" applyFont="1" applyFill="1" applyBorder="1"/>
    <xf numFmtId="0" fontId="2" fillId="4" borderId="12" xfId="0" applyFont="1" applyFill="1" applyBorder="1"/>
    <xf numFmtId="0" fontId="13" fillId="5" borderId="51" xfId="0" applyFont="1" applyFill="1" applyBorder="1"/>
    <xf numFmtId="0" fontId="14" fillId="5" borderId="13" xfId="0" applyFont="1" applyFill="1" applyBorder="1" applyAlignment="1">
      <alignment horizontal="center" vertical="center" wrapText="1"/>
    </xf>
    <xf numFmtId="0" fontId="4" fillId="5" borderId="51" xfId="0" applyFont="1" applyFill="1" applyBorder="1" applyAlignment="1">
      <alignment horizontal="center" vertical="center" wrapText="1"/>
    </xf>
    <xf numFmtId="0" fontId="4" fillId="5" borderId="52" xfId="0" applyFont="1" applyFill="1" applyBorder="1" applyAlignment="1">
      <alignment horizontal="center" vertical="center" wrapText="1"/>
    </xf>
    <xf numFmtId="0" fontId="13" fillId="5" borderId="75" xfId="0" applyFont="1" applyFill="1" applyBorder="1" applyAlignment="1">
      <alignment horizontal="center"/>
    </xf>
    <xf numFmtId="0" fontId="13" fillId="5" borderId="42" xfId="0" applyFont="1" applyFill="1" applyBorder="1"/>
    <xf numFmtId="164" fontId="13" fillId="5" borderId="42" xfId="1" applyNumberFormat="1" applyFont="1" applyFill="1" applyBorder="1" applyAlignment="1">
      <alignment horizontal="center" vertical="center" wrapText="1"/>
    </xf>
    <xf numFmtId="0" fontId="14" fillId="5" borderId="42" xfId="0" applyFont="1" applyFill="1" applyBorder="1" applyAlignment="1">
      <alignment horizontal="center" vertical="center" wrapText="1"/>
    </xf>
    <xf numFmtId="0" fontId="14" fillId="5" borderId="79" xfId="0" applyFont="1" applyFill="1" applyBorder="1" applyAlignment="1">
      <alignment horizontal="center" vertical="center" wrapText="1"/>
    </xf>
    <xf numFmtId="0" fontId="13" fillId="5" borderId="79" xfId="0" applyFont="1" applyFill="1" applyBorder="1" applyAlignment="1">
      <alignment horizontal="left" vertical="center"/>
    </xf>
    <xf numFmtId="0" fontId="29" fillId="5" borderId="42" xfId="0" applyFont="1" applyFill="1" applyBorder="1" applyAlignment="1">
      <alignment horizontal="center" wrapText="1"/>
    </xf>
    <xf numFmtId="0" fontId="2" fillId="5" borderId="49" xfId="0" applyFont="1" applyFill="1" applyBorder="1" applyAlignment="1">
      <alignment horizontal="center" wrapText="1"/>
    </xf>
    <xf numFmtId="0" fontId="3" fillId="5" borderId="49" xfId="0" applyFont="1" applyFill="1" applyBorder="1" applyAlignment="1">
      <alignment horizontal="center" wrapText="1"/>
    </xf>
    <xf numFmtId="0" fontId="2" fillId="0" borderId="0" xfId="0" applyFont="1" applyAlignment="1">
      <alignment vertical="top"/>
    </xf>
    <xf numFmtId="0" fontId="2" fillId="0" borderId="7" xfId="0" applyFont="1" applyBorder="1"/>
    <xf numFmtId="0" fontId="4" fillId="5" borderId="50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4" borderId="12" xfId="0" applyFont="1" applyFill="1" applyBorder="1" applyAlignment="1">
      <alignment horizontal="center"/>
    </xf>
    <xf numFmtId="0" fontId="0" fillId="0" borderId="50" xfId="0" applyBorder="1"/>
    <xf numFmtId="0" fontId="0" fillId="0" borderId="46" xfId="0" applyBorder="1" applyAlignment="1">
      <alignment horizontal="center"/>
    </xf>
    <xf numFmtId="2" fontId="0" fillId="0" borderId="54" xfId="0" applyNumberFormat="1" applyBorder="1" applyAlignment="1">
      <alignment horizontal="center"/>
    </xf>
    <xf numFmtId="0" fontId="0" fillId="0" borderId="47" xfId="0" applyBorder="1"/>
    <xf numFmtId="0" fontId="2" fillId="19" borderId="10" xfId="0" applyFont="1" applyFill="1" applyBorder="1" applyAlignment="1">
      <alignment horizontal="center"/>
    </xf>
    <xf numFmtId="0" fontId="2" fillId="4" borderId="52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4" borderId="13" xfId="0" applyFill="1" applyBorder="1"/>
    <xf numFmtId="0" fontId="0" fillId="4" borderId="12" xfId="0" applyFill="1" applyBorder="1"/>
    <xf numFmtId="0" fontId="2" fillId="5" borderId="80" xfId="0" applyFont="1" applyFill="1" applyBorder="1" applyAlignment="1">
      <alignment horizontal="center" vertical="center"/>
    </xf>
    <xf numFmtId="0" fontId="2" fillId="5" borderId="77" xfId="0" applyFont="1" applyFill="1" applyBorder="1" applyAlignment="1">
      <alignment horizontal="center" vertical="center"/>
    </xf>
    <xf numFmtId="0" fontId="2" fillId="5" borderId="78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2" fillId="11" borderId="10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32" fillId="5" borderId="76" xfId="0" applyFont="1" applyFill="1" applyBorder="1" applyAlignment="1">
      <alignment horizontal="center" wrapText="1"/>
    </xf>
    <xf numFmtId="0" fontId="0" fillId="0" borderId="13" xfId="0" applyBorder="1"/>
    <xf numFmtId="0" fontId="2" fillId="5" borderId="80" xfId="0" applyFont="1" applyFill="1" applyBorder="1" applyAlignment="1">
      <alignment horizontal="center" vertical="center" wrapText="1"/>
    </xf>
    <xf numFmtId="0" fontId="2" fillId="5" borderId="78" xfId="0" applyFont="1" applyFill="1" applyBorder="1" applyAlignment="1">
      <alignment horizontal="center" vertical="center" wrapText="1"/>
    </xf>
    <xf numFmtId="10" fontId="2" fillId="2" borderId="0" xfId="0" applyNumberFormat="1" applyFont="1" applyFill="1" applyAlignment="1">
      <alignment horizontal="center"/>
    </xf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4" fillId="5" borderId="36" xfId="0" applyFont="1" applyFill="1" applyBorder="1" applyAlignment="1">
      <alignment horizontal="center" vertical="center" wrapText="1"/>
    </xf>
    <xf numFmtId="0" fontId="4" fillId="5" borderId="37" xfId="0" applyFont="1" applyFill="1" applyBorder="1" applyAlignment="1">
      <alignment horizontal="center" vertical="center" wrapText="1"/>
    </xf>
    <xf numFmtId="164" fontId="13" fillId="5" borderId="48" xfId="1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left"/>
    </xf>
    <xf numFmtId="0" fontId="4" fillId="5" borderId="38" xfId="0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/>
    </xf>
    <xf numFmtId="0" fontId="35" fillId="2" borderId="0" xfId="0" applyFont="1" applyFill="1" applyAlignment="1">
      <alignment horizontal="center"/>
    </xf>
    <xf numFmtId="0" fontId="36" fillId="2" borderId="0" xfId="0" applyFont="1" applyFill="1"/>
    <xf numFmtId="0" fontId="37" fillId="2" borderId="0" xfId="0" applyFont="1" applyFill="1"/>
    <xf numFmtId="0" fontId="37" fillId="2" borderId="6" xfId="0" applyFont="1" applyFill="1" applyBorder="1"/>
    <xf numFmtId="0" fontId="38" fillId="2" borderId="0" xfId="0" applyFont="1" applyFill="1" applyAlignment="1">
      <alignment horizontal="center"/>
    </xf>
    <xf numFmtId="0" fontId="35" fillId="2" borderId="0" xfId="0" applyFont="1" applyFill="1"/>
    <xf numFmtId="0" fontId="37" fillId="2" borderId="6" xfId="0" applyFont="1" applyFill="1" applyBorder="1" applyAlignment="1">
      <alignment horizontal="center"/>
    </xf>
    <xf numFmtId="0" fontId="38" fillId="2" borderId="0" xfId="0" applyFont="1" applyFill="1"/>
    <xf numFmtId="0" fontId="40" fillId="2" borderId="0" xfId="0" applyFont="1" applyFill="1"/>
    <xf numFmtId="0" fontId="39" fillId="2" borderId="0" xfId="0" applyFont="1" applyFill="1"/>
    <xf numFmtId="10" fontId="35" fillId="2" borderId="0" xfId="0" applyNumberFormat="1" applyFont="1" applyFill="1" applyAlignment="1">
      <alignment horizontal="center"/>
    </xf>
    <xf numFmtId="10" fontId="35" fillId="2" borderId="0" xfId="1" applyNumberFormat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7" borderId="3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164" fontId="26" fillId="0" borderId="85" xfId="1" applyNumberFormat="1" applyFont="1" applyBorder="1" applyAlignment="1">
      <alignment horizontal="center" vertical="center"/>
    </xf>
    <xf numFmtId="164" fontId="26" fillId="0" borderId="86" xfId="1" applyNumberFormat="1" applyFont="1" applyBorder="1" applyAlignment="1">
      <alignment horizontal="center" vertical="center"/>
    </xf>
    <xf numFmtId="164" fontId="26" fillId="0" borderId="87" xfId="1" applyNumberFormat="1" applyFont="1" applyBorder="1" applyAlignment="1">
      <alignment horizontal="center" vertical="center"/>
    </xf>
    <xf numFmtId="164" fontId="26" fillId="0" borderId="88" xfId="1" applyNumberFormat="1" applyFont="1" applyBorder="1" applyAlignment="1">
      <alignment horizontal="center" vertical="center"/>
    </xf>
    <xf numFmtId="164" fontId="26" fillId="0" borderId="89" xfId="1" applyNumberFormat="1" applyFont="1" applyBorder="1" applyAlignment="1">
      <alignment horizontal="center" vertical="center"/>
    </xf>
    <xf numFmtId="164" fontId="26" fillId="0" borderId="67" xfId="1" applyNumberFormat="1" applyFont="1" applyBorder="1" applyAlignment="1">
      <alignment horizontal="center" vertical="center"/>
    </xf>
    <xf numFmtId="164" fontId="26" fillId="0" borderId="70" xfId="1" applyNumberFormat="1" applyFont="1" applyBorder="1" applyAlignment="1">
      <alignment horizontal="center" vertical="center"/>
    </xf>
    <xf numFmtId="164" fontId="26" fillId="0" borderId="90" xfId="1" applyNumberFormat="1" applyFont="1" applyBorder="1" applyAlignment="1">
      <alignment horizontal="center" vertical="center"/>
    </xf>
    <xf numFmtId="164" fontId="24" fillId="16" borderId="90" xfId="1" applyNumberFormat="1" applyFont="1" applyFill="1" applyBorder="1" applyAlignment="1">
      <alignment horizontal="center" vertical="center"/>
    </xf>
    <xf numFmtId="164" fontId="7" fillId="12" borderId="84" xfId="1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1" fillId="7" borderId="12" xfId="0" applyFont="1" applyFill="1" applyBorder="1" applyAlignment="1">
      <alignment horizontal="center"/>
    </xf>
    <xf numFmtId="10" fontId="26" fillId="0" borderId="92" xfId="1" applyNumberFormat="1" applyFont="1" applyBorder="1" applyAlignment="1">
      <alignment horizontal="center" vertical="center"/>
    </xf>
    <xf numFmtId="0" fontId="24" fillId="16" borderId="5" xfId="4" applyFont="1" applyFill="1" applyBorder="1" applyAlignment="1">
      <alignment wrapText="1"/>
    </xf>
    <xf numFmtId="0" fontId="7" fillId="7" borderId="0" xfId="0" applyFont="1" applyFill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3" borderId="24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32" fillId="5" borderId="79" xfId="0" applyFont="1" applyFill="1" applyBorder="1" applyAlignment="1">
      <alignment horizontal="center" wrapText="1"/>
    </xf>
    <xf numFmtId="0" fontId="30" fillId="0" borderId="0" xfId="0" applyFont="1" applyAlignment="1">
      <alignment horizontal="center" wrapText="1"/>
    </xf>
    <xf numFmtId="0" fontId="31" fillId="0" borderId="0" xfId="0" applyFont="1" applyAlignment="1">
      <alignment horizontal="center" wrapText="1"/>
    </xf>
    <xf numFmtId="0" fontId="2" fillId="5" borderId="75" xfId="0" applyFont="1" applyFill="1" applyBorder="1" applyAlignment="1">
      <alignment horizontal="center" vertical="center"/>
    </xf>
    <xf numFmtId="0" fontId="2" fillId="5" borderId="42" xfId="0" applyFont="1" applyFill="1" applyBorder="1" applyAlignment="1">
      <alignment horizontal="center" vertical="center"/>
    </xf>
    <xf numFmtId="0" fontId="2" fillId="5" borderId="49" xfId="0" applyFont="1" applyFill="1" applyBorder="1" applyAlignment="1">
      <alignment horizontal="center" vertical="center"/>
    </xf>
    <xf numFmtId="0" fontId="4" fillId="5" borderId="75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49" xfId="0" applyFont="1" applyFill="1" applyBorder="1" applyAlignment="1">
      <alignment horizontal="center" vertical="center" wrapText="1"/>
    </xf>
    <xf numFmtId="0" fontId="2" fillId="22" borderId="2" xfId="0" applyFont="1" applyFill="1" applyBorder="1" applyAlignment="1">
      <alignment horizontal="center"/>
    </xf>
    <xf numFmtId="0" fontId="2" fillId="22" borderId="3" xfId="0" applyFont="1" applyFill="1" applyBorder="1"/>
    <xf numFmtId="10" fontId="2" fillId="22" borderId="24" xfId="1" applyNumberFormat="1" applyFont="1" applyFill="1" applyBorder="1" applyAlignment="1">
      <alignment horizontal="center"/>
    </xf>
    <xf numFmtId="10" fontId="2" fillId="22" borderId="25" xfId="1" applyNumberFormat="1" applyFont="1" applyFill="1" applyBorder="1" applyAlignment="1">
      <alignment horizontal="center"/>
    </xf>
    <xf numFmtId="0" fontId="0" fillId="22" borderId="25" xfId="0" applyFill="1" applyBorder="1" applyAlignment="1">
      <alignment horizontal="center"/>
    </xf>
    <xf numFmtId="0" fontId="0" fillId="22" borderId="53" xfId="0" applyFill="1" applyBorder="1" applyAlignment="1">
      <alignment horizontal="left"/>
    </xf>
    <xf numFmtId="0" fontId="0" fillId="22" borderId="1" xfId="0" applyFill="1" applyBorder="1" applyAlignment="1">
      <alignment horizontal="center"/>
    </xf>
    <xf numFmtId="2" fontId="0" fillId="22" borderId="25" xfId="0" applyNumberFormat="1" applyFill="1" applyBorder="1" applyAlignment="1">
      <alignment horizontal="center"/>
    </xf>
    <xf numFmtId="0" fontId="0" fillId="22" borderId="42" xfId="0" applyFill="1" applyBorder="1" applyAlignment="1">
      <alignment horizontal="center"/>
    </xf>
    <xf numFmtId="0" fontId="0" fillId="22" borderId="26" xfId="0" applyFill="1" applyBorder="1" applyAlignment="1">
      <alignment horizontal="center"/>
    </xf>
    <xf numFmtId="0" fontId="0" fillId="22" borderId="17" xfId="0" applyFill="1" applyBorder="1" applyAlignment="1">
      <alignment horizontal="center"/>
    </xf>
    <xf numFmtId="0" fontId="0" fillId="22" borderId="18" xfId="0" applyFill="1" applyBorder="1" applyAlignment="1">
      <alignment horizontal="center"/>
    </xf>
    <xf numFmtId="10" fontId="1" fillId="22" borderId="17" xfId="1" applyNumberFormat="1" applyFont="1" applyFill="1" applyBorder="1" applyAlignment="1">
      <alignment horizontal="center"/>
    </xf>
    <xf numFmtId="10" fontId="1" fillId="22" borderId="1" xfId="1" applyNumberFormat="1" applyFont="1" applyFill="1" applyBorder="1" applyAlignment="1">
      <alignment horizontal="center"/>
    </xf>
    <xf numFmtId="10" fontId="1" fillId="22" borderId="18" xfId="1" applyNumberFormat="1" applyFont="1" applyFill="1" applyBorder="1" applyAlignment="1">
      <alignment horizontal="center"/>
    </xf>
    <xf numFmtId="0" fontId="0" fillId="22" borderId="22" xfId="0" applyFill="1" applyBorder="1" applyAlignment="1">
      <alignment horizontal="center"/>
    </xf>
    <xf numFmtId="0" fontId="2" fillId="22" borderId="2" xfId="0" applyFont="1" applyFill="1" applyBorder="1"/>
    <xf numFmtId="10" fontId="2" fillId="22" borderId="37" xfId="1" applyNumberFormat="1" applyFont="1" applyFill="1" applyBorder="1" applyAlignment="1">
      <alignment horizontal="center"/>
    </xf>
    <xf numFmtId="10" fontId="2" fillId="22" borderId="26" xfId="1" applyNumberFormat="1" applyFont="1" applyFill="1" applyBorder="1" applyAlignment="1">
      <alignment horizontal="center"/>
    </xf>
    <xf numFmtId="0" fontId="0" fillId="22" borderId="41" xfId="0" applyFill="1" applyBorder="1" applyAlignment="1">
      <alignment horizontal="center"/>
    </xf>
    <xf numFmtId="0" fontId="2" fillId="22" borderId="5" xfId="0" applyFont="1" applyFill="1" applyBorder="1" applyAlignment="1">
      <alignment horizontal="center"/>
    </xf>
    <xf numFmtId="0" fontId="2" fillId="22" borderId="0" xfId="0" applyFont="1" applyFill="1"/>
    <xf numFmtId="10" fontId="2" fillId="22" borderId="36" xfId="1" applyNumberFormat="1" applyFont="1" applyFill="1" applyBorder="1" applyAlignment="1">
      <alignment horizontal="center"/>
    </xf>
    <xf numFmtId="10" fontId="2" fillId="22" borderId="1" xfId="1" applyNumberFormat="1" applyFont="1" applyFill="1" applyBorder="1" applyAlignment="1">
      <alignment horizontal="center"/>
    </xf>
    <xf numFmtId="0" fontId="0" fillId="22" borderId="37" xfId="0" applyFill="1" applyBorder="1" applyAlignment="1">
      <alignment horizontal="center"/>
    </xf>
    <xf numFmtId="0" fontId="0" fillId="22" borderId="22" xfId="0" applyFill="1" applyBorder="1" applyAlignment="1">
      <alignment horizontal="left"/>
    </xf>
    <xf numFmtId="2" fontId="0" fillId="22" borderId="37" xfId="0" applyNumberFormat="1" applyFill="1" applyBorder="1" applyAlignment="1">
      <alignment horizontal="center"/>
    </xf>
    <xf numFmtId="0" fontId="0" fillId="22" borderId="46" xfId="0" applyFill="1" applyBorder="1" applyAlignment="1">
      <alignment horizontal="center"/>
    </xf>
    <xf numFmtId="0" fontId="2" fillId="22" borderId="5" xfId="0" applyFont="1" applyFill="1" applyBorder="1"/>
    <xf numFmtId="0" fontId="2" fillId="22" borderId="6" xfId="0" applyFont="1" applyFill="1" applyBorder="1"/>
    <xf numFmtId="2" fontId="0" fillId="22" borderId="1" xfId="0" applyNumberFormat="1" applyFill="1" applyBorder="1" applyAlignment="1">
      <alignment horizontal="center"/>
    </xf>
    <xf numFmtId="10" fontId="2" fillId="22" borderId="17" xfId="1" applyNumberFormat="1" applyFont="1" applyFill="1" applyBorder="1" applyAlignment="1">
      <alignment horizontal="center"/>
    </xf>
    <xf numFmtId="10" fontId="2" fillId="22" borderId="18" xfId="1" applyNumberFormat="1" applyFont="1" applyFill="1" applyBorder="1" applyAlignment="1">
      <alignment horizontal="center"/>
    </xf>
    <xf numFmtId="0" fontId="0" fillId="22" borderId="39" xfId="0" applyFill="1" applyBorder="1" applyAlignment="1">
      <alignment horizontal="center"/>
    </xf>
    <xf numFmtId="0" fontId="0" fillId="22" borderId="54" xfId="0" applyFill="1" applyBorder="1" applyAlignment="1">
      <alignment horizontal="left"/>
    </xf>
    <xf numFmtId="0" fontId="0" fillId="22" borderId="40" xfId="0" applyFill="1" applyBorder="1" applyAlignment="1">
      <alignment horizontal="center"/>
    </xf>
    <xf numFmtId="0" fontId="2" fillId="22" borderId="7" xfId="0" applyFont="1" applyFill="1" applyBorder="1" applyAlignment="1">
      <alignment horizontal="center"/>
    </xf>
    <xf numFmtId="0" fontId="2" fillId="22" borderId="8" xfId="0" applyFont="1" applyFill="1" applyBorder="1"/>
    <xf numFmtId="10" fontId="2" fillId="22" borderId="19" xfId="1" applyNumberFormat="1" applyFont="1" applyFill="1" applyBorder="1" applyAlignment="1">
      <alignment horizontal="center"/>
    </xf>
    <xf numFmtId="10" fontId="2" fillId="22" borderId="55" xfId="1" applyNumberFormat="1" applyFont="1" applyFill="1" applyBorder="1" applyAlignment="1">
      <alignment horizontal="center"/>
    </xf>
    <xf numFmtId="0" fontId="0" fillId="22" borderId="55" xfId="0" applyFill="1" applyBorder="1" applyAlignment="1">
      <alignment horizontal="center"/>
    </xf>
    <xf numFmtId="0" fontId="0" fillId="22" borderId="74" xfId="0" applyFill="1" applyBorder="1" applyAlignment="1">
      <alignment horizontal="left"/>
    </xf>
    <xf numFmtId="2" fontId="0" fillId="22" borderId="20" xfId="0" applyNumberFormat="1" applyFill="1" applyBorder="1" applyAlignment="1">
      <alignment horizontal="center"/>
    </xf>
    <xf numFmtId="0" fontId="0" fillId="22" borderId="20" xfId="0" applyFill="1" applyBorder="1" applyAlignment="1">
      <alignment horizontal="center"/>
    </xf>
    <xf numFmtId="0" fontId="0" fillId="22" borderId="21" xfId="0" applyFill="1" applyBorder="1" applyAlignment="1">
      <alignment horizontal="center"/>
    </xf>
    <xf numFmtId="0" fontId="0" fillId="22" borderId="19" xfId="0" applyFill="1" applyBorder="1" applyAlignment="1">
      <alignment horizontal="center"/>
    </xf>
    <xf numFmtId="10" fontId="1" fillId="22" borderId="19" xfId="1" applyNumberFormat="1" applyFont="1" applyFill="1" applyBorder="1" applyAlignment="1">
      <alignment horizontal="center"/>
    </xf>
    <xf numFmtId="10" fontId="1" fillId="22" borderId="20" xfId="1" applyNumberFormat="1" applyFont="1" applyFill="1" applyBorder="1" applyAlignment="1">
      <alignment horizontal="center"/>
    </xf>
    <xf numFmtId="10" fontId="1" fillId="22" borderId="21" xfId="1" applyNumberFormat="1" applyFont="1" applyFill="1" applyBorder="1" applyAlignment="1">
      <alignment horizontal="center"/>
    </xf>
    <xf numFmtId="0" fontId="0" fillId="22" borderId="23" xfId="0" applyFill="1" applyBorder="1" applyAlignment="1">
      <alignment horizontal="center"/>
    </xf>
    <xf numFmtId="0" fontId="2" fillId="22" borderId="7" xfId="0" applyFont="1" applyFill="1" applyBorder="1"/>
    <xf numFmtId="0" fontId="2" fillId="22" borderId="9" xfId="0" applyFont="1" applyFill="1" applyBorder="1"/>
    <xf numFmtId="10" fontId="2" fillId="22" borderId="20" xfId="1" applyNumberFormat="1" applyFont="1" applyFill="1" applyBorder="1" applyAlignment="1">
      <alignment horizontal="center"/>
    </xf>
    <xf numFmtId="0" fontId="0" fillId="22" borderId="20" xfId="0" applyFill="1" applyBorder="1" applyAlignment="1">
      <alignment horizontal="left"/>
    </xf>
    <xf numFmtId="10" fontId="2" fillId="22" borderId="21" xfId="1" applyNumberFormat="1" applyFont="1" applyFill="1" applyBorder="1" applyAlignment="1">
      <alignment horizontal="center"/>
    </xf>
    <xf numFmtId="0" fontId="0" fillId="22" borderId="43" xfId="0" applyFill="1" applyBorder="1" applyAlignment="1">
      <alignment horizontal="center"/>
    </xf>
    <xf numFmtId="0" fontId="2" fillId="22" borderId="11" xfId="0" applyFont="1" applyFill="1" applyBorder="1"/>
    <xf numFmtId="0" fontId="2" fillId="22" borderId="12" xfId="0" applyFont="1" applyFill="1" applyBorder="1"/>
    <xf numFmtId="10" fontId="2" fillId="22" borderId="81" xfId="1" applyNumberFormat="1" applyFont="1" applyFill="1" applyBorder="1" applyAlignment="1">
      <alignment horizontal="center"/>
    </xf>
    <xf numFmtId="10" fontId="2" fillId="22" borderId="51" xfId="1" applyNumberFormat="1" applyFont="1" applyFill="1" applyBorder="1" applyAlignment="1">
      <alignment horizontal="center"/>
    </xf>
    <xf numFmtId="0" fontId="0" fillId="22" borderId="51" xfId="0" applyFill="1" applyBorder="1" applyAlignment="1">
      <alignment horizontal="center"/>
    </xf>
    <xf numFmtId="0" fontId="0" fillId="22" borderId="76" xfId="0" applyFill="1" applyBorder="1" applyAlignment="1">
      <alignment horizontal="left"/>
    </xf>
    <xf numFmtId="2" fontId="0" fillId="22" borderId="51" xfId="0" applyNumberFormat="1" applyFill="1" applyBorder="1" applyAlignment="1">
      <alignment horizontal="center"/>
    </xf>
    <xf numFmtId="0" fontId="0" fillId="22" borderId="52" xfId="0" applyFill="1" applyBorder="1" applyAlignment="1">
      <alignment horizontal="center"/>
    </xf>
    <xf numFmtId="0" fontId="0" fillId="22" borderId="48" xfId="0" applyFill="1" applyBorder="1" applyAlignment="1">
      <alignment horizontal="center"/>
    </xf>
    <xf numFmtId="10" fontId="1" fillId="22" borderId="48" xfId="1" applyNumberFormat="1" applyFont="1" applyFill="1" applyBorder="1" applyAlignment="1">
      <alignment horizontal="center"/>
    </xf>
    <xf numFmtId="10" fontId="1" fillId="22" borderId="51" xfId="1" applyNumberFormat="1" applyFont="1" applyFill="1" applyBorder="1" applyAlignment="1">
      <alignment horizontal="center"/>
    </xf>
    <xf numFmtId="10" fontId="1" fillId="22" borderId="52" xfId="1" applyNumberFormat="1" applyFont="1" applyFill="1" applyBorder="1" applyAlignment="1">
      <alignment horizontal="center"/>
    </xf>
    <xf numFmtId="0" fontId="0" fillId="22" borderId="76" xfId="0" applyFill="1" applyBorder="1" applyAlignment="1">
      <alignment horizontal="center"/>
    </xf>
    <xf numFmtId="0" fontId="0" fillId="22" borderId="51" xfId="0" applyFill="1" applyBorder="1" applyAlignment="1">
      <alignment horizontal="left"/>
    </xf>
    <xf numFmtId="0" fontId="0" fillId="22" borderId="24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10" fontId="1" fillId="22" borderId="24" xfId="1" applyNumberFormat="1" applyFont="1" applyFill="1" applyBorder="1" applyAlignment="1">
      <alignment horizontal="center"/>
    </xf>
    <xf numFmtId="10" fontId="1" fillId="22" borderId="25" xfId="1" applyNumberFormat="1" applyFont="1" applyFill="1" applyBorder="1" applyAlignment="1">
      <alignment horizontal="center"/>
    </xf>
    <xf numFmtId="10" fontId="1" fillId="22" borderId="26" xfId="1" applyNumberFormat="1" applyFont="1" applyFill="1" applyBorder="1" applyAlignment="1">
      <alignment horizontal="center"/>
    </xf>
    <xf numFmtId="0" fontId="0" fillId="22" borderId="53" xfId="0" applyFill="1" applyBorder="1" applyAlignment="1">
      <alignment horizontal="center"/>
    </xf>
    <xf numFmtId="0" fontId="0" fillId="11" borderId="41" xfId="0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11" borderId="20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43" xfId="0" applyFill="1" applyBorder="1" applyAlignment="1">
      <alignment horizontal="center"/>
    </xf>
    <xf numFmtId="0" fontId="13" fillId="5" borderId="48" xfId="0" applyFont="1" applyFill="1" applyBorder="1" applyAlignment="1">
      <alignment horizontal="center"/>
    </xf>
    <xf numFmtId="164" fontId="13" fillId="5" borderId="76" xfId="1" applyNumberFormat="1" applyFont="1" applyFill="1" applyBorder="1" applyAlignment="1">
      <alignment horizontal="center" vertical="center" wrapText="1"/>
    </xf>
    <xf numFmtId="164" fontId="13" fillId="5" borderId="10" xfId="1" applyNumberFormat="1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81" xfId="0" applyFont="1" applyFill="1" applyBorder="1" applyAlignment="1">
      <alignment horizontal="center" vertical="center" wrapText="1"/>
    </xf>
    <xf numFmtId="0" fontId="2" fillId="5" borderId="48" xfId="0" applyFont="1" applyFill="1" applyBorder="1" applyAlignment="1">
      <alignment horizontal="center" vertical="center" wrapText="1"/>
    </xf>
    <xf numFmtId="0" fontId="2" fillId="5" borderId="52" xfId="0" applyFont="1" applyFill="1" applyBorder="1" applyAlignment="1">
      <alignment horizontal="center" vertical="center" wrapText="1"/>
    </xf>
    <xf numFmtId="0" fontId="2" fillId="5" borderId="48" xfId="0" applyFont="1" applyFill="1" applyBorder="1" applyAlignment="1">
      <alignment horizontal="center" vertical="center"/>
    </xf>
    <xf numFmtId="0" fontId="2" fillId="5" borderId="51" xfId="0" applyFont="1" applyFill="1" applyBorder="1" applyAlignment="1">
      <alignment horizontal="center" vertical="center"/>
    </xf>
    <xf numFmtId="0" fontId="2" fillId="5" borderId="52" xfId="0" applyFont="1" applyFill="1" applyBorder="1" applyAlignment="1">
      <alignment horizontal="center" vertical="center"/>
    </xf>
    <xf numFmtId="164" fontId="13" fillId="5" borderId="52" xfId="1" applyNumberFormat="1" applyFont="1" applyFill="1" applyBorder="1" applyAlignment="1">
      <alignment horizontal="center" vertical="center" wrapText="1"/>
    </xf>
    <xf numFmtId="164" fontId="13" fillId="5" borderId="75" xfId="1" applyNumberFormat="1" applyFont="1" applyFill="1" applyBorder="1" applyAlignment="1">
      <alignment horizontal="center" vertical="center" wrapText="1"/>
    </xf>
    <xf numFmtId="0" fontId="42" fillId="22" borderId="24" xfId="0" applyFont="1" applyFill="1" applyBorder="1" applyAlignment="1">
      <alignment horizontal="center"/>
    </xf>
    <xf numFmtId="0" fontId="42" fillId="22" borderId="25" xfId="0" applyFont="1" applyFill="1" applyBorder="1" applyAlignment="1">
      <alignment horizontal="left"/>
    </xf>
    <xf numFmtId="0" fontId="43" fillId="22" borderId="25" xfId="0" applyFont="1" applyFill="1" applyBorder="1" applyAlignment="1">
      <alignment horizontal="center"/>
    </xf>
    <xf numFmtId="0" fontId="43" fillId="22" borderId="53" xfId="0" applyFont="1" applyFill="1" applyBorder="1" applyAlignment="1">
      <alignment horizontal="left"/>
    </xf>
    <xf numFmtId="10" fontId="1" fillId="22" borderId="36" xfId="1" applyNumberFormat="1" applyFont="1" applyFill="1" applyBorder="1" applyAlignment="1">
      <alignment horizontal="center"/>
    </xf>
    <xf numFmtId="10" fontId="1" fillId="22" borderId="37" xfId="1" applyNumberFormat="1" applyFont="1" applyFill="1" applyBorder="1" applyAlignment="1">
      <alignment horizontal="center"/>
    </xf>
    <xf numFmtId="0" fontId="42" fillId="22" borderId="17" xfId="0" applyFont="1" applyFill="1" applyBorder="1" applyAlignment="1">
      <alignment horizontal="center"/>
    </xf>
    <xf numFmtId="0" fontId="42" fillId="22" borderId="1" xfId="0" applyFont="1" applyFill="1" applyBorder="1" applyAlignment="1">
      <alignment horizontal="left"/>
    </xf>
    <xf numFmtId="0" fontId="43" fillId="22" borderId="1" xfId="0" applyFont="1" applyFill="1" applyBorder="1" applyAlignment="1">
      <alignment horizontal="center"/>
    </xf>
    <xf numFmtId="0" fontId="43" fillId="22" borderId="22" xfId="0" applyFont="1" applyFill="1" applyBorder="1" applyAlignment="1">
      <alignment horizontal="left"/>
    </xf>
    <xf numFmtId="10" fontId="1" fillId="22" borderId="50" xfId="1" applyNumberFormat="1" applyFont="1" applyFill="1" applyBorder="1" applyAlignment="1">
      <alignment horizontal="center"/>
    </xf>
    <xf numFmtId="10" fontId="1" fillId="22" borderId="46" xfId="1" applyNumberFormat="1" applyFont="1" applyFill="1" applyBorder="1" applyAlignment="1">
      <alignment horizontal="center"/>
    </xf>
    <xf numFmtId="10" fontId="1" fillId="22" borderId="47" xfId="1" applyNumberFormat="1" applyFont="1" applyFill="1" applyBorder="1" applyAlignment="1">
      <alignment horizontal="center"/>
    </xf>
    <xf numFmtId="0" fontId="42" fillId="22" borderId="50" xfId="0" applyFont="1" applyFill="1" applyBorder="1" applyAlignment="1">
      <alignment horizontal="center"/>
    </xf>
    <xf numFmtId="0" fontId="42" fillId="22" borderId="46" xfId="0" applyFont="1" applyFill="1" applyBorder="1" applyAlignment="1">
      <alignment horizontal="left"/>
    </xf>
    <xf numFmtId="10" fontId="2" fillId="22" borderId="46" xfId="1" applyNumberFormat="1" applyFont="1" applyFill="1" applyBorder="1" applyAlignment="1">
      <alignment horizontal="center"/>
    </xf>
    <xf numFmtId="0" fontId="43" fillId="22" borderId="46" xfId="0" applyFont="1" applyFill="1" applyBorder="1" applyAlignment="1">
      <alignment horizontal="center"/>
    </xf>
    <xf numFmtId="0" fontId="43" fillId="22" borderId="54" xfId="0" applyFont="1" applyFill="1" applyBorder="1" applyAlignment="1">
      <alignment horizontal="left"/>
    </xf>
    <xf numFmtId="2" fontId="0" fillId="22" borderId="46" xfId="0" applyNumberFormat="1" applyFill="1" applyBorder="1" applyAlignment="1">
      <alignment horizontal="center"/>
    </xf>
    <xf numFmtId="0" fontId="0" fillId="22" borderId="47" xfId="0" applyFill="1" applyBorder="1" applyAlignment="1">
      <alignment horizontal="center"/>
    </xf>
    <xf numFmtId="0" fontId="42" fillId="21" borderId="20" xfId="0" applyFont="1" applyFill="1" applyBorder="1" applyAlignment="1">
      <alignment horizontal="center"/>
    </xf>
    <xf numFmtId="0" fontId="42" fillId="21" borderId="20" xfId="0" applyFont="1" applyFill="1" applyBorder="1" applyAlignment="1">
      <alignment horizontal="left"/>
    </xf>
    <xf numFmtId="10" fontId="2" fillId="21" borderId="20" xfId="1" applyNumberFormat="1" applyFont="1" applyFill="1" applyBorder="1" applyAlignment="1">
      <alignment horizontal="center"/>
    </xf>
    <xf numFmtId="0" fontId="0" fillId="21" borderId="20" xfId="0" applyFill="1" applyBorder="1" applyAlignment="1">
      <alignment horizontal="center"/>
    </xf>
    <xf numFmtId="0" fontId="0" fillId="21" borderId="20" xfId="0" applyFill="1" applyBorder="1" applyAlignment="1">
      <alignment horizontal="left"/>
    </xf>
    <xf numFmtId="2" fontId="0" fillId="21" borderId="20" xfId="0" applyNumberForma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10" fontId="2" fillId="21" borderId="1" xfId="1" applyNumberFormat="1" applyFont="1" applyFill="1" applyBorder="1" applyAlignment="1">
      <alignment horizontal="center"/>
    </xf>
    <xf numFmtId="3" fontId="0" fillId="0" borderId="0" xfId="0" applyNumberFormat="1"/>
    <xf numFmtId="49" fontId="0" fillId="7" borderId="6" xfId="0" applyNumberFormat="1" applyFill="1" applyBorder="1" applyAlignment="1">
      <alignment horizontal="left"/>
    </xf>
    <xf numFmtId="49" fontId="0" fillId="7" borderId="9" xfId="0" applyNumberFormat="1" applyFill="1" applyBorder="1" applyAlignment="1">
      <alignment horizontal="left"/>
    </xf>
    <xf numFmtId="49" fontId="2" fillId="7" borderId="4" xfId="0" applyNumberFormat="1" applyFont="1" applyFill="1" applyBorder="1"/>
    <xf numFmtId="49" fontId="2" fillId="0" borderId="0" xfId="0" applyNumberFormat="1" applyFont="1" applyAlignment="1">
      <alignment horizontal="center"/>
    </xf>
    <xf numFmtId="0" fontId="2" fillId="4" borderId="45" xfId="0" applyFont="1" applyFill="1" applyBorder="1"/>
    <xf numFmtId="0" fontId="2" fillId="4" borderId="93" xfId="0" applyFont="1" applyFill="1" applyBorder="1"/>
    <xf numFmtId="0" fontId="0" fillId="21" borderId="19" xfId="0" applyFill="1" applyBorder="1" applyAlignment="1">
      <alignment horizontal="center"/>
    </xf>
    <xf numFmtId="0" fontId="0" fillId="21" borderId="21" xfId="0" applyFill="1" applyBorder="1" applyAlignment="1">
      <alignment horizontal="center"/>
    </xf>
    <xf numFmtId="0" fontId="2" fillId="3" borderId="82" xfId="0" applyFont="1" applyFill="1" applyBorder="1" applyAlignment="1">
      <alignment horizontal="center"/>
    </xf>
    <xf numFmtId="0" fontId="2" fillId="3" borderId="45" xfId="0" applyFont="1" applyFill="1" applyBorder="1" applyAlignment="1">
      <alignment horizontal="center"/>
    </xf>
    <xf numFmtId="0" fontId="3" fillId="5" borderId="49" xfId="0" applyFont="1" applyFill="1" applyBorder="1" applyAlignment="1">
      <alignment horizontal="center" vertical="center" wrapText="1"/>
    </xf>
    <xf numFmtId="49" fontId="0" fillId="0" borderId="0" xfId="0" applyNumberFormat="1"/>
    <xf numFmtId="0" fontId="11" fillId="7" borderId="13" xfId="0" applyFont="1" applyFill="1" applyBorder="1"/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/>
    <xf numFmtId="10" fontId="3" fillId="5" borderId="6" xfId="0" applyNumberFormat="1" applyFont="1" applyFill="1" applyBorder="1" applyAlignment="1">
      <alignment horizontal="center"/>
    </xf>
    <xf numFmtId="10" fontId="2" fillId="5" borderId="6" xfId="0" applyNumberFormat="1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/>
    <xf numFmtId="0" fontId="2" fillId="5" borderId="9" xfId="0" applyFont="1" applyFill="1" applyBorder="1" applyAlignment="1">
      <alignment horizontal="center"/>
    </xf>
    <xf numFmtId="10" fontId="2" fillId="7" borderId="13" xfId="0" applyNumberFormat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vertical="center"/>
    </xf>
    <xf numFmtId="10" fontId="2" fillId="7" borderId="12" xfId="0" applyNumberFormat="1" applyFont="1" applyFill="1" applyBorder="1" applyAlignment="1">
      <alignment horizontal="center" vertical="center"/>
    </xf>
    <xf numFmtId="10" fontId="0" fillId="0" borderId="0" xfId="1" applyNumberFormat="1" applyFont="1"/>
    <xf numFmtId="0" fontId="0" fillId="7" borderId="8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7" borderId="4" xfId="0" applyFont="1" applyFill="1" applyBorder="1"/>
    <xf numFmtId="49" fontId="2" fillId="7" borderId="6" xfId="0" applyNumberFormat="1" applyFont="1" applyFill="1" applyBorder="1" applyAlignment="1">
      <alignment horizontal="left"/>
    </xf>
    <xf numFmtId="10" fontId="2" fillId="0" borderId="46" xfId="1" applyNumberFormat="1" applyFont="1" applyFill="1" applyBorder="1" applyAlignment="1">
      <alignment horizontal="center"/>
    </xf>
    <xf numFmtId="10" fontId="2" fillId="0" borderId="1" xfId="1" applyNumberFormat="1" applyFont="1" applyFill="1" applyBorder="1" applyAlignment="1">
      <alignment horizontal="center"/>
    </xf>
    <xf numFmtId="1" fontId="43" fillId="22" borderId="25" xfId="0" applyNumberFormat="1" applyFont="1" applyFill="1" applyBorder="1" applyAlignment="1">
      <alignment horizontal="center"/>
    </xf>
    <xf numFmtId="1" fontId="43" fillId="22" borderId="1" xfId="0" applyNumberFormat="1" applyFont="1" applyFill="1" applyBorder="1" applyAlignment="1">
      <alignment horizontal="center"/>
    </xf>
    <xf numFmtId="1" fontId="43" fillId="22" borderId="46" xfId="0" applyNumberFormat="1" applyFont="1" applyFill="1" applyBorder="1" applyAlignment="1">
      <alignment horizontal="center"/>
    </xf>
    <xf numFmtId="1" fontId="0" fillId="21" borderId="20" xfId="0" applyNumberFormat="1" applyFill="1" applyBorder="1" applyAlignment="1">
      <alignment horizontal="center"/>
    </xf>
    <xf numFmtId="10" fontId="2" fillId="7" borderId="13" xfId="1" applyNumberFormat="1" applyFont="1" applyFill="1" applyBorder="1" applyAlignment="1">
      <alignment horizontal="center"/>
    </xf>
    <xf numFmtId="10" fontId="2" fillId="7" borderId="12" xfId="1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24" fillId="16" borderId="0" xfId="0" applyFont="1" applyFill="1" applyAlignment="1">
      <alignment horizontal="center" vertical="center" wrapText="1"/>
    </xf>
    <xf numFmtId="0" fontId="22" fillId="16" borderId="0" xfId="0" applyFont="1" applyFill="1" applyAlignment="1">
      <alignment vertical="center" wrapText="1"/>
    </xf>
    <xf numFmtId="0" fontId="24" fillId="16" borderId="0" xfId="0" applyFont="1" applyFill="1" applyAlignment="1">
      <alignment vertical="center" wrapText="1"/>
    </xf>
    <xf numFmtId="0" fontId="24" fillId="16" borderId="0" xfId="0" applyFont="1" applyFill="1" applyAlignment="1">
      <alignment vertical="center"/>
    </xf>
    <xf numFmtId="164" fontId="14" fillId="0" borderId="96" xfId="1" applyNumberFormat="1" applyFont="1" applyBorder="1" applyAlignment="1">
      <alignment horizontal="center" vertical="center" wrapText="1"/>
    </xf>
    <xf numFmtId="164" fontId="14" fillId="0" borderId="97" xfId="1" applyNumberFormat="1" applyFont="1" applyBorder="1" applyAlignment="1">
      <alignment horizontal="center" vertical="center" wrapText="1"/>
    </xf>
    <xf numFmtId="164" fontId="14" fillId="0" borderId="98" xfId="1" applyNumberFormat="1" applyFont="1" applyBorder="1" applyAlignment="1">
      <alignment horizontal="center" vertical="center" wrapText="1"/>
    </xf>
    <xf numFmtId="164" fontId="14" fillId="0" borderId="99" xfId="1" applyNumberFormat="1" applyFont="1" applyBorder="1" applyAlignment="1">
      <alignment horizontal="center" vertical="center" wrapText="1"/>
    </xf>
    <xf numFmtId="164" fontId="14" fillId="0" borderId="100" xfId="1" applyNumberFormat="1" applyFont="1" applyBorder="1" applyAlignment="1">
      <alignment horizontal="center" vertical="center" wrapText="1"/>
    </xf>
    <xf numFmtId="0" fontId="26" fillId="0" borderId="14" xfId="4" applyFont="1" applyBorder="1" applyAlignment="1">
      <alignment wrapText="1"/>
    </xf>
    <xf numFmtId="0" fontId="7" fillId="0" borderId="0" xfId="0" applyFont="1" applyAlignment="1">
      <alignment horizontal="left"/>
    </xf>
    <xf numFmtId="0" fontId="26" fillId="16" borderId="0" xfId="0" applyFont="1" applyFill="1" applyAlignment="1">
      <alignment horizontal="center" vertical="center" wrapText="1"/>
    </xf>
    <xf numFmtId="0" fontId="9" fillId="16" borderId="0" xfId="0" applyFont="1" applyFill="1" applyAlignment="1">
      <alignment horizontal="center" vertical="center" wrapText="1"/>
    </xf>
    <xf numFmtId="0" fontId="26" fillId="0" borderId="15" xfId="4" applyFont="1" applyBorder="1" applyAlignment="1">
      <alignment wrapText="1"/>
    </xf>
    <xf numFmtId="0" fontId="7" fillId="0" borderId="0" xfId="0" quotePrefix="1" applyFont="1" applyAlignment="1">
      <alignment horizontal="left"/>
    </xf>
    <xf numFmtId="0" fontId="27" fillId="0" borderId="0" xfId="4" quotePrefix="1" applyFont="1" applyAlignment="1">
      <alignment horizontal="left" wrapText="1"/>
    </xf>
    <xf numFmtId="0" fontId="24" fillId="16" borderId="101" xfId="4" applyFont="1" applyFill="1" applyBorder="1" applyAlignment="1">
      <alignment wrapText="1"/>
    </xf>
    <xf numFmtId="0" fontId="27" fillId="0" borderId="14" xfId="4" applyFont="1" applyBorder="1" applyAlignment="1">
      <alignment wrapText="1"/>
    </xf>
    <xf numFmtId="0" fontId="26" fillId="0" borderId="5" xfId="4" quotePrefix="1" applyFont="1" applyBorder="1" applyAlignment="1">
      <alignment horizontal="left" wrapText="1"/>
    </xf>
    <xf numFmtId="0" fontId="27" fillId="0" borderId="15" xfId="4" applyFont="1" applyBorder="1" applyAlignment="1">
      <alignment wrapText="1"/>
    </xf>
    <xf numFmtId="0" fontId="27" fillId="0" borderId="5" xfId="4" quotePrefix="1" applyFont="1" applyBorder="1" applyAlignment="1">
      <alignment horizontal="left" wrapText="1"/>
    </xf>
    <xf numFmtId="0" fontId="26" fillId="0" borderId="16" xfId="4" applyFont="1" applyBorder="1" applyAlignment="1">
      <alignment wrapText="1"/>
    </xf>
    <xf numFmtId="0" fontId="27" fillId="0" borderId="16" xfId="4" applyFont="1" applyBorder="1" applyAlignment="1">
      <alignment wrapText="1"/>
    </xf>
    <xf numFmtId="0" fontId="24" fillId="16" borderId="0" xfId="4" applyFont="1" applyFill="1" applyAlignment="1">
      <alignment wrapText="1"/>
    </xf>
    <xf numFmtId="0" fontId="28" fillId="0" borderId="0" xfId="4" applyFont="1" applyAlignment="1">
      <alignment wrapText="1"/>
    </xf>
    <xf numFmtId="0" fontId="5" fillId="0" borderId="0" xfId="0" applyFont="1"/>
    <xf numFmtId="164" fontId="14" fillId="0" borderId="0" xfId="1" applyNumberFormat="1" applyFont="1" applyBorder="1" applyAlignment="1">
      <alignment horizontal="center" vertical="center" wrapText="1"/>
    </xf>
    <xf numFmtId="0" fontId="7" fillId="0" borderId="0" xfId="0" applyFont="1"/>
    <xf numFmtId="10" fontId="26" fillId="0" borderId="0" xfId="1" applyNumberFormat="1" applyFont="1" applyBorder="1" applyAlignment="1">
      <alignment horizontal="center" vertical="center"/>
    </xf>
    <xf numFmtId="0" fontId="26" fillId="0" borderId="0" xfId="0" applyFont="1"/>
    <xf numFmtId="164" fontId="26" fillId="0" borderId="64" xfId="1" applyNumberFormat="1" applyFont="1" applyFill="1" applyBorder="1" applyAlignment="1">
      <alignment horizontal="center" vertical="center"/>
    </xf>
    <xf numFmtId="164" fontId="26" fillId="0" borderId="65" xfId="1" applyNumberFormat="1" applyFont="1" applyFill="1" applyBorder="1" applyAlignment="1">
      <alignment horizontal="center" vertical="center"/>
    </xf>
    <xf numFmtId="164" fontId="26" fillId="0" borderId="85" xfId="1" applyNumberFormat="1" applyFont="1" applyFill="1" applyBorder="1" applyAlignment="1">
      <alignment horizontal="center" vertical="center"/>
    </xf>
    <xf numFmtId="164" fontId="26" fillId="0" borderId="66" xfId="1" applyNumberFormat="1" applyFont="1" applyFill="1" applyBorder="1" applyAlignment="1">
      <alignment horizontal="center" vertical="center"/>
    </xf>
    <xf numFmtId="164" fontId="26" fillId="0" borderId="89" xfId="1" applyNumberFormat="1" applyFont="1" applyFill="1" applyBorder="1" applyAlignment="1">
      <alignment horizontal="center" vertical="center"/>
    </xf>
    <xf numFmtId="164" fontId="26" fillId="0" borderId="0" xfId="1" applyNumberFormat="1" applyFont="1" applyBorder="1" applyAlignment="1">
      <alignment horizontal="center" vertical="center"/>
    </xf>
    <xf numFmtId="10" fontId="24" fillId="16" borderId="0" xfId="1" applyNumberFormat="1" applyFont="1" applyFill="1" applyBorder="1" applyAlignment="1">
      <alignment horizontal="center"/>
    </xf>
    <xf numFmtId="164" fontId="24" fillId="16" borderId="0" xfId="1" applyNumberFormat="1" applyFont="1" applyFill="1" applyBorder="1" applyAlignment="1">
      <alignment horizontal="center" vertical="center"/>
    </xf>
    <xf numFmtId="0" fontId="9" fillId="0" borderId="0" xfId="0" applyFont="1"/>
    <xf numFmtId="164" fontId="5" fillId="0" borderId="0" xfId="1" applyNumberFormat="1" applyFont="1" applyBorder="1" applyAlignment="1">
      <alignment horizontal="right"/>
    </xf>
    <xf numFmtId="0" fontId="41" fillId="10" borderId="35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10" fontId="2" fillId="0" borderId="2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1" xfId="0" applyNumberFormat="1" applyBorder="1" applyAlignment="1">
      <alignment horizontal="left"/>
    </xf>
    <xf numFmtId="10" fontId="0" fillId="5" borderId="0" xfId="0" applyNumberFormat="1" applyFill="1" applyAlignment="1">
      <alignment horizontal="center"/>
    </xf>
    <xf numFmtId="0" fontId="42" fillId="0" borderId="24" xfId="0" applyFont="1" applyBorder="1" applyAlignment="1">
      <alignment horizontal="center"/>
    </xf>
    <xf numFmtId="10" fontId="2" fillId="0" borderId="25" xfId="1" applyNumberFormat="1" applyFont="1" applyFill="1" applyBorder="1" applyAlignment="1">
      <alignment horizontal="center"/>
    </xf>
    <xf numFmtId="10" fontId="2" fillId="0" borderId="37" xfId="1" applyNumberFormat="1" applyFont="1" applyFill="1" applyBorder="1" applyAlignment="1">
      <alignment horizontal="center"/>
    </xf>
    <xf numFmtId="0" fontId="42" fillId="0" borderId="17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0" fontId="42" fillId="0" borderId="50" xfId="0" applyFont="1" applyBorder="1" applyAlignment="1">
      <alignment horizontal="center"/>
    </xf>
    <xf numFmtId="0" fontId="42" fillId="0" borderId="20" xfId="0" applyFont="1" applyBorder="1" applyAlignment="1">
      <alignment horizontal="left"/>
    </xf>
    <xf numFmtId="10" fontId="3" fillId="5" borderId="8" xfId="0" applyNumberFormat="1" applyFont="1" applyFill="1" applyBorder="1" applyAlignment="1">
      <alignment horizontal="center"/>
    </xf>
    <xf numFmtId="0" fontId="44" fillId="3" borderId="91" xfId="0" applyFont="1" applyFill="1" applyBorder="1" applyAlignment="1">
      <alignment horizontal="center"/>
    </xf>
    <xf numFmtId="0" fontId="44" fillId="3" borderId="102" xfId="0" applyFont="1" applyFill="1" applyBorder="1" applyAlignment="1">
      <alignment horizontal="center"/>
    </xf>
    <xf numFmtId="0" fontId="44" fillId="0" borderId="91" xfId="0" applyFont="1" applyBorder="1" applyAlignment="1">
      <alignment horizontal="center"/>
    </xf>
    <xf numFmtId="0" fontId="44" fillId="0" borderId="83" xfId="0" applyFont="1" applyBorder="1" applyAlignment="1">
      <alignment horizontal="center"/>
    </xf>
    <xf numFmtId="0" fontId="44" fillId="0" borderId="102" xfId="0" applyFont="1" applyBorder="1" applyAlignment="1">
      <alignment horizontal="center"/>
    </xf>
    <xf numFmtId="0" fontId="44" fillId="0" borderId="104" xfId="0" applyFont="1" applyBorder="1" applyAlignment="1">
      <alignment horizontal="center"/>
    </xf>
    <xf numFmtId="0" fontId="2" fillId="3" borderId="91" xfId="0" applyFont="1" applyFill="1" applyBorder="1" applyAlignment="1">
      <alignment horizontal="center"/>
    </xf>
    <xf numFmtId="0" fontId="2" fillId="3" borderId="83" xfId="0" applyFont="1" applyFill="1" applyBorder="1" applyAlignment="1">
      <alignment horizontal="center"/>
    </xf>
    <xf numFmtId="0" fontId="2" fillId="3" borderId="102" xfId="0" applyFont="1" applyFill="1" applyBorder="1" applyAlignment="1">
      <alignment horizontal="center"/>
    </xf>
    <xf numFmtId="0" fontId="2" fillId="3" borderId="104" xfId="0" applyFont="1" applyFill="1" applyBorder="1" applyAlignment="1">
      <alignment horizontal="center"/>
    </xf>
    <xf numFmtId="16" fontId="13" fillId="5" borderId="49" xfId="1" applyNumberFormat="1" applyFont="1" applyFill="1" applyBorder="1" applyAlignment="1">
      <alignment horizontal="center" vertical="center" wrapText="1"/>
    </xf>
    <xf numFmtId="0" fontId="2" fillId="0" borderId="18" xfId="1" applyNumberFormat="1" applyFont="1" applyFill="1" applyBorder="1" applyAlignment="1">
      <alignment horizontal="center"/>
    </xf>
    <xf numFmtId="0" fontId="4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0" fontId="3" fillId="5" borderId="0" xfId="0" applyNumberFormat="1" applyFont="1" applyFill="1" applyAlignment="1">
      <alignment horizontal="center"/>
    </xf>
    <xf numFmtId="0" fontId="0" fillId="0" borderId="1" xfId="0" applyBorder="1" applyAlignment="1">
      <alignment horizontal="left"/>
    </xf>
    <xf numFmtId="0" fontId="2" fillId="0" borderId="91" xfId="0" applyFont="1" applyBorder="1" applyAlignment="1">
      <alignment horizontal="center"/>
    </xf>
    <xf numFmtId="0" fontId="2" fillId="0" borderId="102" xfId="0" applyFont="1" applyBorder="1" applyAlignment="1">
      <alignment horizontal="center"/>
    </xf>
    <xf numFmtId="0" fontId="2" fillId="0" borderId="104" xfId="0" applyFont="1" applyBorder="1" applyAlignment="1">
      <alignment horizontal="center"/>
    </xf>
    <xf numFmtId="0" fontId="0" fillId="0" borderId="1" xfId="0" applyBorder="1"/>
    <xf numFmtId="49" fontId="2" fillId="0" borderId="0" xfId="0" applyNumberFormat="1" applyFont="1"/>
    <xf numFmtId="49" fontId="2" fillId="0" borderId="0" xfId="0" applyNumberFormat="1" applyFont="1" applyAlignment="1">
      <alignment horizontal="right"/>
    </xf>
    <xf numFmtId="0" fontId="0" fillId="9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/>
    <xf numFmtId="0" fontId="2" fillId="9" borderId="9" xfId="0" applyFont="1" applyFill="1" applyBorder="1"/>
    <xf numFmtId="0" fontId="2" fillId="9" borderId="0" xfId="0" applyFont="1" applyFill="1"/>
    <xf numFmtId="0" fontId="0" fillId="9" borderId="0" xfId="0" applyFill="1" applyAlignment="1">
      <alignment horizontal="center"/>
    </xf>
    <xf numFmtId="10" fontId="2" fillId="9" borderId="2" xfId="1" applyNumberFormat="1" applyFont="1" applyFill="1" applyBorder="1" applyAlignment="1">
      <alignment horizontal="center"/>
    </xf>
    <xf numFmtId="10" fontId="2" fillId="9" borderId="5" xfId="1" applyNumberFormat="1" applyFont="1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6" xfId="0" applyFont="1" applyFill="1" applyBorder="1"/>
    <xf numFmtId="10" fontId="2" fillId="9" borderId="7" xfId="1" applyNumberFormat="1" applyFont="1" applyFill="1" applyBorder="1" applyAlignment="1">
      <alignment horizontal="center"/>
    </xf>
    <xf numFmtId="0" fontId="4" fillId="9" borderId="0" xfId="0" applyFont="1" applyFill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10" fontId="2" fillId="9" borderId="0" xfId="0" applyNumberFormat="1" applyFont="1" applyFill="1" applyAlignment="1">
      <alignment horizontal="center"/>
    </xf>
    <xf numFmtId="10" fontId="2" fillId="9" borderId="3" xfId="0" applyNumberFormat="1" applyFont="1" applyFill="1" applyBorder="1" applyAlignment="1">
      <alignment horizontal="center"/>
    </xf>
    <xf numFmtId="10" fontId="2" fillId="9" borderId="4" xfId="0" applyNumberFormat="1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34" fillId="9" borderId="13" xfId="0" applyFont="1" applyFill="1" applyBorder="1"/>
    <xf numFmtId="0" fontId="0" fillId="9" borderId="13" xfId="0" applyFill="1" applyBorder="1"/>
    <xf numFmtId="0" fontId="0" fillId="9" borderId="12" xfId="0" applyFill="1" applyBorder="1"/>
    <xf numFmtId="0" fontId="2" fillId="9" borderId="0" xfId="0" applyFont="1" applyFill="1" applyAlignment="1">
      <alignment horizontal="left"/>
    </xf>
    <xf numFmtId="0" fontId="2" fillId="9" borderId="6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10" fontId="0" fillId="9" borderId="0" xfId="0" applyNumberFormat="1" applyFill="1" applyAlignment="1">
      <alignment horizontal="center"/>
    </xf>
    <xf numFmtId="10" fontId="6" fillId="9" borderId="6" xfId="0" applyNumberFormat="1" applyFont="1" applyFill="1" applyBorder="1" applyAlignment="1">
      <alignment horizontal="center"/>
    </xf>
    <xf numFmtId="10" fontId="6" fillId="9" borderId="0" xfId="0" applyNumberFormat="1" applyFont="1" applyFill="1" applyAlignment="1">
      <alignment horizontal="center"/>
    </xf>
    <xf numFmtId="10" fontId="6" fillId="9" borderId="5" xfId="0" applyNumberFormat="1" applyFont="1" applyFill="1" applyBorder="1" applyAlignment="1">
      <alignment horizontal="center"/>
    </xf>
    <xf numFmtId="10" fontId="3" fillId="9" borderId="6" xfId="0" applyNumberFormat="1" applyFont="1" applyFill="1" applyBorder="1" applyAlignment="1">
      <alignment horizontal="center"/>
    </xf>
    <xf numFmtId="0" fontId="2" fillId="9" borderId="8" xfId="0" applyFont="1" applyFill="1" applyBorder="1"/>
    <xf numFmtId="0" fontId="4" fillId="9" borderId="3" xfId="0" applyFont="1" applyFill="1" applyBorder="1"/>
    <xf numFmtId="10" fontId="2" fillId="9" borderId="5" xfId="0" applyNumberFormat="1" applyFont="1" applyFill="1" applyBorder="1" applyAlignment="1">
      <alignment horizontal="center"/>
    </xf>
    <xf numFmtId="10" fontId="3" fillId="9" borderId="0" xfId="0" applyNumberFormat="1" applyFont="1" applyFill="1" applyAlignment="1">
      <alignment horizontal="center"/>
    </xf>
    <xf numFmtId="10" fontId="0" fillId="9" borderId="5" xfId="0" applyNumberFormat="1" applyFill="1" applyBorder="1" applyAlignment="1">
      <alignment horizontal="center"/>
    </xf>
    <xf numFmtId="10" fontId="0" fillId="9" borderId="6" xfId="0" applyNumberFormat="1" applyFill="1" applyBorder="1" applyAlignment="1">
      <alignment horizontal="center"/>
    </xf>
    <xf numFmtId="0" fontId="4" fillId="9" borderId="8" xfId="0" applyFont="1" applyFill="1" applyBorder="1"/>
    <xf numFmtId="0" fontId="2" fillId="9" borderId="11" xfId="0" applyFont="1" applyFill="1" applyBorder="1"/>
    <xf numFmtId="10" fontId="2" fillId="9" borderId="13" xfId="0" applyNumberFormat="1" applyFont="1" applyFill="1" applyBorder="1" applyAlignment="1">
      <alignment horizontal="center"/>
    </xf>
    <xf numFmtId="0" fontId="2" fillId="9" borderId="13" xfId="0" applyFont="1" applyFill="1" applyBorder="1"/>
    <xf numFmtId="10" fontId="2" fillId="9" borderId="12" xfId="0" applyNumberFormat="1" applyFont="1" applyFill="1" applyBorder="1" applyAlignment="1">
      <alignment horizontal="center"/>
    </xf>
    <xf numFmtId="10" fontId="2" fillId="9" borderId="6" xfId="0" applyNumberFormat="1" applyFont="1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3" xfId="0" applyFont="1" applyFill="1" applyBorder="1"/>
    <xf numFmtId="0" fontId="0" fillId="23" borderId="4" xfId="0" applyFill="1" applyBorder="1"/>
    <xf numFmtId="0" fontId="2" fillId="23" borderId="7" xfId="0" applyFont="1" applyFill="1" applyBorder="1" applyAlignment="1">
      <alignment horizontal="center"/>
    </xf>
    <xf numFmtId="0" fontId="3" fillId="23" borderId="8" xfId="0" applyFont="1" applyFill="1" applyBorder="1"/>
    <xf numFmtId="0" fontId="2" fillId="23" borderId="9" xfId="0" applyFont="1" applyFill="1" applyBorder="1"/>
    <xf numFmtId="10" fontId="2" fillId="23" borderId="2" xfId="1" applyNumberFormat="1" applyFont="1" applyFill="1" applyBorder="1" applyAlignment="1">
      <alignment horizontal="center"/>
    </xf>
    <xf numFmtId="0" fontId="3" fillId="23" borderId="3" xfId="0" applyFont="1" applyFill="1" applyBorder="1"/>
    <xf numFmtId="0" fontId="3" fillId="23" borderId="4" xfId="0" applyFont="1" applyFill="1" applyBorder="1"/>
    <xf numFmtId="10" fontId="2" fillId="23" borderId="5" xfId="1" applyNumberFormat="1" applyFont="1" applyFill="1" applyBorder="1" applyAlignment="1">
      <alignment horizontal="center"/>
    </xf>
    <xf numFmtId="0" fontId="3" fillId="23" borderId="0" xfId="0" applyFont="1" applyFill="1"/>
    <xf numFmtId="0" fontId="3" fillId="23" borderId="6" xfId="0" applyFont="1" applyFill="1" applyBorder="1"/>
    <xf numFmtId="10" fontId="2" fillId="23" borderId="7" xfId="1" applyNumberFormat="1" applyFont="1" applyFill="1" applyBorder="1" applyAlignment="1">
      <alignment horizontal="center"/>
    </xf>
    <xf numFmtId="0" fontId="3" fillId="23" borderId="9" xfId="0" applyFont="1" applyFill="1" applyBorder="1"/>
    <xf numFmtId="0" fontId="2" fillId="7" borderId="12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11" fillId="5" borderId="10" xfId="0" applyFont="1" applyFill="1" applyBorder="1" applyAlignment="1">
      <alignment horizontal="center" vertical="center" wrapText="1"/>
    </xf>
    <xf numFmtId="0" fontId="7" fillId="5" borderId="9" xfId="0" applyFont="1" applyFill="1" applyBorder="1" applyAlignment="1">
      <alignment horizontal="center" wrapText="1"/>
    </xf>
    <xf numFmtId="0" fontId="11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left" wrapText="1"/>
    </xf>
    <xf numFmtId="0" fontId="2" fillId="5" borderId="17" xfId="0" applyFont="1" applyFill="1" applyBorder="1" applyAlignment="1">
      <alignment horizontal="center"/>
    </xf>
    <xf numFmtId="0" fontId="2" fillId="5" borderId="91" xfId="0" applyFont="1" applyFill="1" applyBorder="1" applyAlignment="1">
      <alignment horizontal="center"/>
    </xf>
    <xf numFmtId="0" fontId="2" fillId="5" borderId="83" xfId="0" applyFont="1" applyFill="1" applyBorder="1" applyAlignment="1">
      <alignment horizontal="center"/>
    </xf>
    <xf numFmtId="0" fontId="2" fillId="5" borderId="102" xfId="0" applyFont="1" applyFill="1" applyBorder="1" applyAlignment="1">
      <alignment horizontal="center"/>
    </xf>
    <xf numFmtId="0" fontId="2" fillId="5" borderId="104" xfId="0" applyFont="1" applyFill="1" applyBorder="1" applyAlignment="1">
      <alignment horizontal="center"/>
    </xf>
    <xf numFmtId="0" fontId="45" fillId="5" borderId="91" xfId="0" applyFont="1" applyFill="1" applyBorder="1" applyAlignment="1">
      <alignment horizontal="center"/>
    </xf>
    <xf numFmtId="0" fontId="45" fillId="5" borderId="102" xfId="0" applyFont="1" applyFill="1" applyBorder="1" applyAlignment="1">
      <alignment horizontal="center"/>
    </xf>
    <xf numFmtId="0" fontId="45" fillId="5" borderId="104" xfId="0" applyFont="1" applyFill="1" applyBorder="1" applyAlignment="1">
      <alignment horizontal="center"/>
    </xf>
    <xf numFmtId="0" fontId="45" fillId="5" borderId="83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45" fillId="5" borderId="95" xfId="0" applyFont="1" applyFill="1" applyBorder="1" applyAlignment="1">
      <alignment horizontal="center"/>
    </xf>
    <xf numFmtId="0" fontId="45" fillId="5" borderId="103" xfId="0" applyFont="1" applyFill="1" applyBorder="1" applyAlignment="1">
      <alignment horizontal="center"/>
    </xf>
    <xf numFmtId="0" fontId="45" fillId="5" borderId="94" xfId="0" applyFont="1" applyFill="1" applyBorder="1" applyAlignment="1">
      <alignment horizontal="center"/>
    </xf>
    <xf numFmtId="10" fontId="0" fillId="5" borderId="0" xfId="0" applyNumberFormat="1" applyFill="1" applyAlignment="1">
      <alignment horizontal="center"/>
    </xf>
    <xf numFmtId="10" fontId="3" fillId="5" borderId="8" xfId="0" applyNumberFormat="1" applyFont="1" applyFill="1" applyBorder="1" applyAlignment="1">
      <alignment horizontal="center"/>
    </xf>
    <xf numFmtId="10" fontId="3" fillId="5" borderId="0" xfId="0" applyNumberFormat="1" applyFont="1" applyFill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0" fillId="7" borderId="0" xfId="0" applyFont="1" applyFill="1" applyAlignment="1">
      <alignment horizontal="left" vertical="top" wrapText="1"/>
    </xf>
    <xf numFmtId="0" fontId="10" fillId="7" borderId="8" xfId="0" applyFont="1" applyFill="1" applyBorder="1" applyAlignment="1">
      <alignment horizontal="left" vertical="top" wrapText="1"/>
    </xf>
    <xf numFmtId="0" fontId="12" fillId="4" borderId="1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39" fillId="2" borderId="0" xfId="0" applyFont="1" applyFill="1" applyAlignment="1">
      <alignment horizontal="center"/>
    </xf>
    <xf numFmtId="164" fontId="4" fillId="14" borderId="58" xfId="1" applyNumberFormat="1" applyFont="1" applyFill="1" applyBorder="1" applyAlignment="1">
      <alignment horizontal="center"/>
    </xf>
    <xf numFmtId="164" fontId="4" fillId="18" borderId="0" xfId="1" applyNumberFormat="1" applyFont="1" applyFill="1" applyBorder="1" applyAlignment="1">
      <alignment horizontal="center"/>
    </xf>
    <xf numFmtId="164" fontId="4" fillId="15" borderId="0" xfId="1" applyNumberFormat="1" applyFont="1" applyFill="1" applyBorder="1" applyAlignment="1">
      <alignment horizontal="center"/>
    </xf>
    <xf numFmtId="0" fontId="22" fillId="16" borderId="56" xfId="0" applyFont="1" applyFill="1" applyBorder="1" applyAlignment="1">
      <alignment horizontal="center" vertical="center" wrapText="1"/>
    </xf>
    <xf numFmtId="0" fontId="22" fillId="16" borderId="0" xfId="0" applyFont="1" applyFill="1" applyAlignment="1">
      <alignment horizontal="center" vertical="center" wrapText="1"/>
    </xf>
    <xf numFmtId="0" fontId="22" fillId="16" borderId="57" xfId="0" applyFont="1" applyFill="1" applyBorder="1" applyAlignment="1">
      <alignment horizontal="center" vertical="center" wrapText="1"/>
    </xf>
    <xf numFmtId="17" fontId="7" fillId="17" borderId="0" xfId="1" applyNumberFormat="1" applyFont="1" applyFill="1" applyBorder="1" applyAlignment="1">
      <alignment horizontal="center" wrapText="1"/>
    </xf>
    <xf numFmtId="164" fontId="7" fillId="17" borderId="0" xfId="1" applyNumberFormat="1" applyFont="1" applyFill="1" applyBorder="1" applyAlignment="1">
      <alignment horizontal="center" wrapText="1"/>
    </xf>
    <xf numFmtId="164" fontId="7" fillId="17" borderId="57" xfId="1" applyNumberFormat="1" applyFont="1" applyFill="1" applyBorder="1" applyAlignment="1">
      <alignment horizontal="center" wrapText="1"/>
    </xf>
  </cellXfs>
  <cellStyles count="5">
    <cellStyle name="Normal" xfId="0" builtinId="0"/>
    <cellStyle name="Normal 2" xfId="3" xr:uid="{00000000-0005-0000-0000-000003000000}"/>
    <cellStyle name="Normal 3" xfId="2" xr:uid="{00000000-0005-0000-0000-000004000000}"/>
    <cellStyle name="Normal_Sheet6" xfId="4" xr:uid="{00000000-0005-0000-0000-000005000000}"/>
    <cellStyle name="Percent" xfId="1" builtinId="5"/>
  </cellStyles>
  <dxfs count="9">
    <dxf>
      <font>
        <color rgb="FF00B05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4F8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5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50" b="1" i="0" baseline="0">
                <a:solidFill>
                  <a:schemeClr val="tx1"/>
                </a:solidFill>
              </a:rPr>
              <a:t>Terminations by Reason</a:t>
            </a:r>
          </a:p>
        </c:rich>
      </c:tx>
      <c:layout>
        <c:manualLayout>
          <c:xMode val="edge"/>
          <c:yMode val="edge"/>
          <c:x val="0.16475307807554099"/>
          <c:y val="3.23624595469255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22277307929102"/>
          <c:y val="0.25626694204208078"/>
          <c:w val="0.79612509856021085"/>
          <c:h val="0.6300344219267674"/>
        </c:manualLayout>
      </c:layout>
      <c:pie3D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EF7-41A4-9D8A-3A7966FA7A2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EF7-41A4-9D8A-3A7966FA7A2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EF7-41A4-9D8A-3A7966FA7A2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EF7-41A4-9D8A-3A7966FA7A2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EF7-41A4-9D8A-3A7966FA7A2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EF7-41A4-9D8A-3A7966FA7A2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EF7-41A4-9D8A-3A7966FA7A2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EF7-41A4-9D8A-3A7966FA7A2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EF7-41A4-9D8A-3A7966FA7A22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F7-41A4-9D8A-3A7966FA7A22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F7-41A4-9D8A-3A7966FA7A22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F7-41A4-9D8A-3A7966FA7A22}"/>
                </c:ext>
              </c:extLst>
            </c:dLbl>
            <c:dLbl>
              <c:idx val="3"/>
              <c:layout>
                <c:manualLayout>
                  <c:x val="-2.3867053577120195E-2"/>
                  <c:y val="1.5290022709425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F7-41A4-9D8A-3A7966FA7A22}"/>
                </c:ext>
              </c:extLst>
            </c:dLbl>
            <c:dLbl>
              <c:idx val="4"/>
              <c:layout>
                <c:manualLayout>
                  <c:x val="-6.9899697067961536E-2"/>
                  <c:y val="-5.5320584926884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F7-41A4-9D8A-3A7966FA7A22}"/>
                </c:ext>
              </c:extLst>
            </c:dLbl>
            <c:dLbl>
              <c:idx val="5"/>
              <c:layout>
                <c:manualLayout>
                  <c:x val="-2.0347720526486524E-2"/>
                  <c:y val="-3.808306980495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F7-41A4-9D8A-3A7966FA7A22}"/>
                </c:ext>
              </c:extLst>
            </c:dLbl>
            <c:dLbl>
              <c:idx val="6"/>
              <c:layout>
                <c:manualLayout>
                  <c:x val="0.25257519948338031"/>
                  <c:y val="1.89069762506101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EF7-41A4-9D8A-3A7966FA7A22}"/>
                </c:ext>
              </c:extLst>
            </c:dLbl>
            <c:dLbl>
              <c:idx val="7"/>
              <c:layout>
                <c:manualLayout>
                  <c:x val="0.10662376284273851"/>
                  <c:y val="-4.8736973915996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EF7-41A4-9D8A-3A7966FA7A22}"/>
                </c:ext>
              </c:extLst>
            </c:dLbl>
            <c:dLbl>
              <c:idx val="8"/>
              <c:layout>
                <c:manualLayout>
                  <c:x val="0.11795752299705931"/>
                  <c:y val="-5.0512553855321096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EF7-41A4-9D8A-3A7966FA7A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'Building Snapshot'!$L$7:$L$15</c:f>
              <c:numCache>
                <c:formatCode>0.00%</c:formatCode>
                <c:ptCount val="9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F7-41A4-9D8A-3A7966FA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5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50" b="1" i="0" baseline="0">
                <a:solidFill>
                  <a:schemeClr val="tx1"/>
                </a:solidFill>
              </a:rPr>
              <a:t>Regional Terms by Reason</a:t>
            </a:r>
          </a:p>
        </c:rich>
      </c:tx>
      <c:layout>
        <c:manualLayout>
          <c:xMode val="edge"/>
          <c:yMode val="edge"/>
          <c:x val="0.156918656772841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22277307929102"/>
          <c:y val="0.26719590379071467"/>
          <c:w val="0.79612509856021085"/>
          <c:h val="0.6300344219267674"/>
        </c:manualLayout>
      </c:layout>
      <c:pie3D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52A-4107-87E3-BDAF01C4F9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52A-4107-87E3-BDAF01C4F9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52A-4107-87E3-BDAF01C4F9D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52A-4107-87E3-BDAF01C4F9D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52A-4107-87E3-BDAF01C4F9D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52A-4107-87E3-BDAF01C4F9D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52A-4107-87E3-BDAF01C4F9D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152A-4107-87E3-BDAF01C4F9D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152A-4107-87E3-BDAF01C4F9DB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52A-4107-87E3-BDAF01C4F9DB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2A-4107-87E3-BDAF01C4F9DB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2A-4107-87E3-BDAF01C4F9DB}"/>
                </c:ext>
              </c:extLst>
            </c:dLbl>
            <c:dLbl>
              <c:idx val="3"/>
              <c:layout>
                <c:manualLayout>
                  <c:x val="-5.3355232602097576E-2"/>
                  <c:y val="-8.60652222393769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2A-4107-87E3-BDAF01C4F9DB}"/>
                </c:ext>
              </c:extLst>
            </c:dLbl>
            <c:dLbl>
              <c:idx val="4"/>
              <c:layout>
                <c:manualLayout>
                  <c:x val="-1.6120670101425652E-4"/>
                  <c:y val="-2.2638653011510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52A-4107-87E3-BDAF01C4F9DB}"/>
                </c:ext>
              </c:extLst>
            </c:dLbl>
            <c:dLbl>
              <c:idx val="5"/>
              <c:layout>
                <c:manualLayout>
                  <c:x val="-3.3325772550036187E-2"/>
                  <c:y val="-8.7198291390046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2A-4107-87E3-BDAF01C4F9D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52A-4107-87E3-BDAF01C4F9DB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52A-4107-87E3-BDAF01C4F9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'Building Snapshot'!$L$25:$L$33</c:f>
              <c:numCache>
                <c:formatCode>0.00%</c:formatCode>
                <c:ptCount val="9"/>
                <c:pt idx="0">
                  <c:v>2.4875621890547265E-2</c:v>
                </c:pt>
                <c:pt idx="1">
                  <c:v>0.29850746268656714</c:v>
                </c:pt>
                <c:pt idx="2">
                  <c:v>6.4676616915422883E-2</c:v>
                </c:pt>
                <c:pt idx="3">
                  <c:v>2.4875621890547265E-2</c:v>
                </c:pt>
                <c:pt idx="4">
                  <c:v>1.9900497512437811E-2</c:v>
                </c:pt>
                <c:pt idx="5">
                  <c:v>9.9502487562189053E-3</c:v>
                </c:pt>
                <c:pt idx="6">
                  <c:v>0.54228855721393032</c:v>
                </c:pt>
                <c:pt idx="7">
                  <c:v>0</c:v>
                </c:pt>
                <c:pt idx="8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52A-4107-87E3-BDAF01C4F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5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50" b="1" i="0" baseline="0">
                <a:solidFill>
                  <a:schemeClr val="tx1"/>
                </a:solidFill>
              </a:rPr>
              <a:t>Distribution Terms by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22277307929102"/>
          <c:y val="0.25626694204208078"/>
          <c:w val="0.79612509856021085"/>
          <c:h val="0.6300344219267674"/>
        </c:manualLayout>
      </c:layout>
      <c:pie3D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767-4077-B677-505A381492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767-4077-B677-505A381492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767-4077-B677-505A381492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767-4077-B677-505A3814927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767-4077-B677-505A3814927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767-4077-B677-505A3814927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2767-4077-B677-505A3814927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2767-4077-B677-505A3814927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2767-4077-B677-505A38149278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67-4077-B677-505A38149278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67-4077-B677-505A3814927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67-4077-B677-505A38149278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67-4077-B677-505A38149278}"/>
                </c:ext>
              </c:extLst>
            </c:dLbl>
            <c:dLbl>
              <c:idx val="4"/>
              <c:layout>
                <c:manualLayout>
                  <c:x val="-1.6108231192789961E-4"/>
                  <c:y val="-4.44249886611199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767-4077-B677-505A38149278}"/>
                </c:ext>
              </c:extLst>
            </c:dLbl>
            <c:dLbl>
              <c:idx val="5"/>
              <c:layout>
                <c:manualLayout>
                  <c:x val="5.7949868766404199E-2"/>
                  <c:y val="-5.43298806892040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767-4077-B677-505A38149278}"/>
                </c:ext>
              </c:extLst>
            </c:dLbl>
            <c:dLbl>
              <c:idx val="6"/>
              <c:layout>
                <c:manualLayout>
                  <c:x val="2.9120472440944883E-2"/>
                  <c:y val="-8.20946869023075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767-4077-B677-505A3814927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767-4077-B677-505A38149278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767-4077-B677-505A381492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'Building Snapshot'!$AA$8:$AA$16</c:f>
              <c:numCache>
                <c:formatCode>0.00%</c:formatCode>
                <c:ptCount val="9"/>
                <c:pt idx="0">
                  <c:v>0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0.66666666666666663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767-4077-B677-505A38149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/>
                </a:solidFill>
              </a:rPr>
              <a:t>Transportation Terms by Reason</a:t>
            </a:r>
          </a:p>
        </c:rich>
      </c:tx>
      <c:layout>
        <c:manualLayout>
          <c:xMode val="edge"/>
          <c:yMode val="edge"/>
          <c:x val="0.13630002435262603"/>
          <c:y val="2.178649237472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22277307929102"/>
          <c:y val="0.25626694204208078"/>
          <c:w val="0.79612509856021085"/>
          <c:h val="0.6300344219267674"/>
        </c:manualLayout>
      </c:layout>
      <c:pie3D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750-4B2B-BCA6-66FD63517B3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750-4B2B-BCA6-66FD63517B3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50-4B2B-BCA6-66FD63517B3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750-4B2B-BCA6-66FD63517B3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750-4B2B-BCA6-66FD63517B3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750-4B2B-BCA6-66FD63517B3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750-4B2B-BCA6-66FD63517B3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750-4B2B-BCA6-66FD63517B3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750-4B2B-BCA6-66FD63517B3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750-4B2B-BCA6-66FD63517B3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750-4B2B-BCA6-66FD63517B36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750-4B2B-BCA6-66FD63517B36}"/>
                </c:ext>
              </c:extLst>
            </c:dLbl>
            <c:dLbl>
              <c:idx val="3"/>
              <c:layout>
                <c:manualLayout>
                  <c:x val="5.7531908813817596E-2"/>
                  <c:y val="-9.16803623846084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750-4B2B-BCA6-66FD63517B36}"/>
                </c:ext>
              </c:extLst>
            </c:dLbl>
            <c:dLbl>
              <c:idx val="4"/>
              <c:layout>
                <c:manualLayout>
                  <c:x val="-1.6120670101425652E-4"/>
                  <c:y val="-2.2638653011510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50-4B2B-BCA6-66FD63517B36}"/>
                </c:ext>
              </c:extLst>
            </c:dLbl>
            <c:dLbl>
              <c:idx val="5"/>
              <c:layout>
                <c:manualLayout>
                  <c:x val="-3.3325772550036187E-2"/>
                  <c:y val="-8.7198291390046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50-4B2B-BCA6-66FD63517B36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50-4B2B-BCA6-66FD63517B36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50-4B2B-BCA6-66FD63517B36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750-4B2B-BCA6-66FD63517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'Building Snapshot'!$AA$25:$AA$33</c:f>
              <c:numCache>
                <c:formatCode>0.00%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50-4B2B-BCA6-66FD63517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i="0" baseline="0">
                <a:solidFill>
                  <a:schemeClr val="tx1"/>
                </a:solidFill>
              </a:rPr>
              <a:t>Headcount by Month</a:t>
            </a:r>
          </a:p>
        </c:rich>
      </c:tx>
      <c:layout>
        <c:manualLayout>
          <c:xMode val="edge"/>
          <c:yMode val="edge"/>
          <c:x val="0.248859416880112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535873192675784E-2"/>
          <c:y val="7.945830808634656E-2"/>
          <c:w val="0.93464129483814529"/>
          <c:h val="0.72640456401283171"/>
        </c:manualLayout>
      </c:layout>
      <c:bar3DChart>
        <c:barDir val="col"/>
        <c:grouping val="stacked"/>
        <c:varyColors val="0"/>
        <c:ser>
          <c:idx val="0"/>
          <c:order val="0"/>
          <c:tx>
            <c:v>Headcount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'Headcount Display'!$D$9:$D$20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'Headcount Display'!$E$9:$E$20</c:f>
              <c:numCache>
                <c:formatCode>General</c:formatCode>
                <c:ptCount val="12"/>
                <c:pt idx="0">
                  <c:v>64</c:v>
                </c:pt>
                <c:pt idx="1">
                  <c:v>66</c:v>
                </c:pt>
                <c:pt idx="2">
                  <c:v>68</c:v>
                </c:pt>
                <c:pt idx="3">
                  <c:v>65</c:v>
                </c:pt>
                <c:pt idx="4">
                  <c:v>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F-4422-AA5D-03EFC57CB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8754152"/>
        <c:axId val="228753368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Open Positions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dLbl>
                    <c:idx val="0"/>
                    <c:layout>
                      <c:manualLayout>
                        <c:x val="5.4744541279539167E-3"/>
                        <c:y val="-5.504589144184477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74CF-4422-AA5D-03EFC57CB9F9}"/>
                      </c:ext>
                    </c:extLst>
                  </c:dLbl>
                  <c:dLbl>
                    <c:idx val="1"/>
                    <c:layout>
                      <c:manualLayout>
                        <c:x val="0"/>
                        <c:y val="-3.833252863879739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74CF-4422-AA5D-03EFC57CB9F9}"/>
                      </c:ext>
                    </c:extLst>
                  </c:dLbl>
                  <c:dLbl>
                    <c:idx val="2"/>
                    <c:layout>
                      <c:manualLayout>
                        <c:x val="2.7372270639769709E-3"/>
                        <c:y val="-4.991376454139253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74CF-4422-AA5D-03EFC57CB9F9}"/>
                      </c:ext>
                    </c:extLst>
                  </c:dLbl>
                  <c:dLbl>
                    <c:idx val="3"/>
                    <c:layout>
                      <c:manualLayout>
                        <c:x val="5.4744541279539418E-3"/>
                        <c:y val="-3.887772642656109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74CF-4422-AA5D-03EFC57CB9F9}"/>
                      </c:ext>
                    </c:extLst>
                  </c:dLbl>
                  <c:dLbl>
                    <c:idx val="4"/>
                    <c:layout>
                      <c:manualLayout>
                        <c:x val="2.7372270639769709E-3"/>
                        <c:y val="-3.833252863879739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74CF-4422-AA5D-03EFC57CB9F9}"/>
                      </c:ext>
                    </c:extLst>
                  </c:dLbl>
                  <c:dLbl>
                    <c:idx val="5"/>
                    <c:layout>
                      <c:manualLayout>
                        <c:x val="5.5554932914228666E-3"/>
                        <c:y val="-5.033833771645195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74CF-4422-AA5D-03EFC57CB9F9}"/>
                      </c:ext>
                    </c:extLst>
                  </c:dLbl>
                  <c:dLbl>
                    <c:idx val="6"/>
                    <c:layout>
                      <c:manualLayout>
                        <c:x val="2.7372270639769709E-3"/>
                        <c:y val="-4.510023778007427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74CF-4422-AA5D-03EFC57CB9F9}"/>
                      </c:ext>
                    </c:extLst>
                  </c:dLbl>
                  <c:dLbl>
                    <c:idx val="7"/>
                    <c:layout>
                      <c:manualLayout>
                        <c:x val="8.211675153509037E-3"/>
                        <c:y val="-5.050316019914552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74CF-4422-AA5D-03EFC57CB9F9}"/>
                      </c:ext>
                    </c:extLst>
                  </c:dLbl>
                  <c:dLbl>
                    <c:idx val="8"/>
                    <c:layout>
                      <c:manualLayout>
                        <c:x val="2.7372270639769709E-3"/>
                        <c:y val="-2.9493831753808666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74CF-4422-AA5D-03EFC57CB9F9}"/>
                      </c:ext>
                    </c:extLst>
                  </c:dLbl>
                  <c:dLbl>
                    <c:idx val="9"/>
                    <c:layout>
                      <c:manualLayout>
                        <c:x val="2.7372270639768707E-3"/>
                        <c:y val="-2.598044098958013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74CF-4422-AA5D-03EFC57CB9F9}"/>
                      </c:ext>
                    </c:extLst>
                  </c:dLbl>
                  <c:dLbl>
                    <c:idx val="10"/>
                    <c:layout>
                      <c:manualLayout>
                        <c:x val="2.7372270639768707E-3"/>
                        <c:y val="-3.724245133401590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74CF-4422-AA5D-03EFC57CB9F9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'Headcount Display'!$D$9:$D$20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'Headcount Display'!#REF!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74CF-4422-AA5D-03EFC57CB9F9}"/>
                  </c:ext>
                </c:extLst>
              </c15:ser>
            </c15:filteredBarSeries>
          </c:ext>
        </c:extLst>
      </c:bar3DChart>
      <c:catAx>
        <c:axId val="228754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53368"/>
        <c:crosses val="autoZero"/>
        <c:auto val="1"/>
        <c:lblAlgn val="ctr"/>
        <c:lblOffset val="100"/>
        <c:noMultiLvlLbl val="0"/>
      </c:catAx>
      <c:valAx>
        <c:axId val="228753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75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4553659564819685E-2"/>
          <c:y val="0.87855931822490563"/>
          <c:w val="0.3910383185925394"/>
          <c:h val="8.28140592795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5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1" i="0" baseline="0">
                <a:solidFill>
                  <a:schemeClr val="tx1"/>
                </a:solidFill>
              </a:rPr>
              <a:t>New Hire Comp Ratio Comparison</a:t>
            </a:r>
          </a:p>
        </c:rich>
      </c:tx>
      <c:layout>
        <c:manualLayout>
          <c:xMode val="edge"/>
          <c:yMode val="edge"/>
          <c:x val="0.112103155410242"/>
          <c:y val="1.6422050591178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22277307929102"/>
          <c:y val="0.25626694204208078"/>
          <c:w val="0.79612509856021085"/>
          <c:h val="0.6300344219267674"/>
        </c:manualLayout>
      </c:layout>
      <c:pie3D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FF-43F7-856E-4536CF8D00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FF-43F7-856E-4536CF8D00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FF-43F7-856E-4536CF8D00F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FF-43F7-856E-4536CF8D00F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FF-43F7-856E-4536CF8D00F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FF-43F7-856E-4536CF8D00F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FF-43F7-856E-4536CF8D00F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1FF-43F7-856E-4536CF8D00F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1FF-43F7-856E-4536CF8D00F4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FF-43F7-856E-4536CF8D00F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FF-43F7-856E-4536CF8D00F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FF-43F7-856E-4536CF8D00F4}"/>
                </c:ext>
              </c:extLst>
            </c:dLbl>
            <c:dLbl>
              <c:idx val="3"/>
              <c:layout>
                <c:manualLayout>
                  <c:x val="-2.3867053577120195E-2"/>
                  <c:y val="1.5290022709425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FF-43F7-856E-4536CF8D00F4}"/>
                </c:ext>
              </c:extLst>
            </c:dLbl>
            <c:dLbl>
              <c:idx val="4"/>
              <c:layout>
                <c:manualLayout>
                  <c:x val="-6.9899697067961536E-2"/>
                  <c:y val="-5.53205849268841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FF-43F7-856E-4536CF8D00F4}"/>
                </c:ext>
              </c:extLst>
            </c:dLbl>
            <c:dLbl>
              <c:idx val="5"/>
              <c:layout>
                <c:manualLayout>
                  <c:x val="-2.0347720526486524E-2"/>
                  <c:y val="-3.8083069804953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FF-43F7-856E-4536CF8D00F4}"/>
                </c:ext>
              </c:extLst>
            </c:dLbl>
            <c:dLbl>
              <c:idx val="6"/>
              <c:layout>
                <c:manualLayout>
                  <c:x val="0.11568501725982035"/>
                  <c:y val="-8.3962501438809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FF-43F7-856E-4536CF8D00F4}"/>
                </c:ext>
              </c:extLst>
            </c:dLbl>
            <c:dLbl>
              <c:idx val="7"/>
              <c:layout>
                <c:manualLayout>
                  <c:x val="0.10662376284273851"/>
                  <c:y val="-4.8736973915996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FF-43F7-856E-4536CF8D00F4}"/>
                </c:ext>
              </c:extLst>
            </c:dLbl>
            <c:dLbl>
              <c:idx val="8"/>
              <c:layout>
                <c:manualLayout>
                  <c:x val="0.11795752299705931"/>
                  <c:y val="-5.0512553855321096E-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1FF-43F7-856E-4536CF8D00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'New Hire Comp Ratio'!$J$7:$J$13</c:f>
              <c:numCache>
                <c:formatCode>0.00%</c:formatCode>
                <c:ptCount val="7"/>
                <c:pt idx="0">
                  <c:v>0.5714285714285714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0.42857142857142855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1FF-43F7-856E-4536CF8D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5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50" b="1" i="0" baseline="0">
                <a:solidFill>
                  <a:schemeClr val="tx1"/>
                </a:solidFill>
              </a:rPr>
              <a:t>2018 Regional Terms by Reason</a:t>
            </a:r>
          </a:p>
        </c:rich>
      </c:tx>
      <c:layout>
        <c:manualLayout>
          <c:xMode val="edge"/>
          <c:yMode val="edge"/>
          <c:x val="0.1569186567728416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5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22277307929102"/>
          <c:y val="0.26719590379071467"/>
          <c:w val="0.79612509856021085"/>
          <c:h val="0.6300344219267674"/>
        </c:manualLayout>
      </c:layout>
      <c:pie3D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DCD-4051-91F5-5447AA9656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DCD-4051-91F5-5447AA96569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DCD-4051-91F5-5447AA96569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DCD-4051-91F5-5447AA96569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DCD-4051-91F5-5447AA96569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DCD-4051-91F5-5447AA96569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DCD-4051-91F5-5447AA96569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DCD-4051-91F5-5447AA96569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>
                <a:solidFill>
                  <a:schemeClr val="tx1"/>
                </a:solidFill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  <a:sp3d>
                <a:contourClr>
                  <a:schemeClr val="tx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DCD-4051-91F5-5447AA965695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CD-4051-91F5-5447AA965695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CD-4051-91F5-5447AA965695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CD-4051-91F5-5447AA965695}"/>
                </c:ext>
              </c:extLst>
            </c:dLbl>
            <c:dLbl>
              <c:idx val="3"/>
              <c:layout>
                <c:manualLayout>
                  <c:x val="-5.3355232602097576E-2"/>
                  <c:y val="-8.60652222393769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CD-4051-91F5-5447AA965695}"/>
                </c:ext>
              </c:extLst>
            </c:dLbl>
            <c:dLbl>
              <c:idx val="4"/>
              <c:layout>
                <c:manualLayout>
                  <c:x val="-1.6120670101425652E-4"/>
                  <c:y val="-2.2638653011510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CD-4051-91F5-5447AA965695}"/>
                </c:ext>
              </c:extLst>
            </c:dLbl>
            <c:dLbl>
              <c:idx val="5"/>
              <c:layout>
                <c:manualLayout>
                  <c:x val="-3.3325772550036187E-2"/>
                  <c:y val="-8.7198291390046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CD-4051-91F5-5447AA965695}"/>
                </c:ext>
              </c:extLst>
            </c:dLbl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CD-4051-91F5-5447AA96569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CD-4051-91F5-5447AA9656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val>
            <c:numRef>
              <c:f>'Building Snapshot'!$L$25:$L$33</c:f>
              <c:numCache>
                <c:formatCode>0.00%</c:formatCode>
                <c:ptCount val="9"/>
                <c:pt idx="0">
                  <c:v>2.4875621890547265E-2</c:v>
                </c:pt>
                <c:pt idx="1">
                  <c:v>0.29850746268656714</c:v>
                </c:pt>
                <c:pt idx="2">
                  <c:v>6.4676616915422883E-2</c:v>
                </c:pt>
                <c:pt idx="3">
                  <c:v>2.4875621890547265E-2</c:v>
                </c:pt>
                <c:pt idx="4">
                  <c:v>1.9900497512437811E-2</c:v>
                </c:pt>
                <c:pt idx="5">
                  <c:v>9.9502487562189053E-3</c:v>
                </c:pt>
                <c:pt idx="6">
                  <c:v>0.54228855721393032</c:v>
                </c:pt>
                <c:pt idx="7">
                  <c:v>0</c:v>
                </c:pt>
                <c:pt idx="8">
                  <c:v>1.4925373134328358E-2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CD-4051-91F5-5447AA965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33020</xdr:colOff>
      <xdr:row>2</xdr:row>
      <xdr:rowOff>48260</xdr:rowOff>
    </xdr:from>
    <xdr:to>
      <xdr:col>22</xdr:col>
      <xdr:colOff>535940</xdr:colOff>
      <xdr:row>14</xdr:row>
      <xdr:rowOff>124460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121920</xdr:colOff>
      <xdr:row>18</xdr:row>
      <xdr:rowOff>45720</xdr:rowOff>
    </xdr:from>
    <xdr:to>
      <xdr:col>23</xdr:col>
      <xdr:colOff>0</xdr:colOff>
      <xdr:row>32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160020</xdr:colOff>
      <xdr:row>1</xdr:row>
      <xdr:rowOff>45720</xdr:rowOff>
    </xdr:from>
    <xdr:to>
      <xdr:col>37</xdr:col>
      <xdr:colOff>0</xdr:colOff>
      <xdr:row>14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7620</xdr:colOff>
      <xdr:row>18</xdr:row>
      <xdr:rowOff>38100</xdr:rowOff>
    </xdr:from>
    <xdr:to>
      <xdr:col>37</xdr:col>
      <xdr:colOff>15240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575734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115570</xdr:colOff>
      <xdr:row>2</xdr:row>
      <xdr:rowOff>29210</xdr:rowOff>
    </xdr:from>
    <xdr:to>
      <xdr:col>20</xdr:col>
      <xdr:colOff>558800</xdr:colOff>
      <xdr:row>14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D0FBF-8DF3-4040-9B0A-0FACAEE2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18</xdr:row>
      <xdr:rowOff>184150</xdr:rowOff>
    </xdr:from>
    <xdr:to>
      <xdr:col>21</xdr:col>
      <xdr:colOff>6350</xdr:colOff>
      <xdr:row>31</xdr:row>
      <xdr:rowOff>113030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D66A4E-E1F2-470D-BFE3-FED478481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n-Hood/Desktop/Ian/Reports/Turnover/2016%20Manager%20Turnover%20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count"/>
      <sheetName val="Terms"/>
      <sheetName val="New_Hires"/>
      <sheetName val="Open_Req"/>
      <sheetName val="Managers"/>
      <sheetName val="Calculus"/>
      <sheetName val="Supervisor Snapshot"/>
      <sheetName val="Manager Turnover"/>
      <sheetName val="South"/>
      <sheetName val="Southeast"/>
      <sheetName val="West"/>
      <sheetName val="Northeast"/>
      <sheetName val="Midwest"/>
      <sheetName val="Regions"/>
    </sheetNames>
    <sheetDataSet>
      <sheetData sheetId="0"/>
      <sheetData sheetId="1"/>
      <sheetData sheetId="2"/>
      <sheetData sheetId="3"/>
      <sheetData sheetId="4">
        <row r="2">
          <cell r="B2" t="str">
            <v>Aaron Lutrell</v>
          </cell>
        </row>
        <row r="3">
          <cell r="B3" t="str">
            <v>Abel Yehek</v>
          </cell>
        </row>
        <row r="4">
          <cell r="B4" t="str">
            <v>Abid Ali</v>
          </cell>
        </row>
        <row r="5">
          <cell r="B5" t="str">
            <v>Adam Smith</v>
          </cell>
        </row>
        <row r="6">
          <cell r="B6" t="str">
            <v>Adrian Singletary</v>
          </cell>
        </row>
        <row r="7">
          <cell r="B7" t="str">
            <v>Al Ameer Zughair</v>
          </cell>
        </row>
        <row r="8">
          <cell r="B8" t="str">
            <v>Albert Sandy</v>
          </cell>
        </row>
        <row r="9">
          <cell r="B9" t="str">
            <v>Alexander Krznar</v>
          </cell>
        </row>
        <row r="10">
          <cell r="B10" t="str">
            <v>Alexsander Pimentel</v>
          </cell>
        </row>
        <row r="11">
          <cell r="B11" t="str">
            <v>Allan Chivers</v>
          </cell>
        </row>
        <row r="12">
          <cell r="B12" t="str">
            <v>Alvin Barnes</v>
          </cell>
        </row>
        <row r="13">
          <cell r="B13" t="str">
            <v>Anjanette M Keely</v>
          </cell>
        </row>
        <row r="14">
          <cell r="B14" t="str">
            <v>Anna Tolentino</v>
          </cell>
        </row>
        <row r="15">
          <cell r="B15" t="str">
            <v>Annissia Hanyard</v>
          </cell>
        </row>
        <row r="16">
          <cell r="B16" t="str">
            <v>Anthony Alouise</v>
          </cell>
        </row>
        <row r="17">
          <cell r="B17" t="str">
            <v>Anthony Brown</v>
          </cell>
        </row>
        <row r="18">
          <cell r="B18" t="str">
            <v>Anthony Tonzelli</v>
          </cell>
        </row>
        <row r="19">
          <cell r="B19" t="str">
            <v>Anthony Ward</v>
          </cell>
        </row>
        <row r="20">
          <cell r="B20" t="str">
            <v>Armando Soto</v>
          </cell>
        </row>
        <row r="21">
          <cell r="B21" t="str">
            <v>Aron Olson</v>
          </cell>
        </row>
        <row r="22">
          <cell r="B22" t="str">
            <v>Arturo Olivo</v>
          </cell>
        </row>
        <row r="23">
          <cell r="B23" t="str">
            <v>Ashiq Lakhani</v>
          </cell>
        </row>
        <row r="24">
          <cell r="B24" t="str">
            <v>Beatriz Palau</v>
          </cell>
        </row>
        <row r="25">
          <cell r="B25" t="str">
            <v>Ben Wallace</v>
          </cell>
        </row>
        <row r="26">
          <cell r="B26" t="str">
            <v>Benjamin Aaron Becker</v>
          </cell>
        </row>
        <row r="27">
          <cell r="B27" t="str">
            <v>Benjamin Miller</v>
          </cell>
        </row>
        <row r="28">
          <cell r="B28" t="str">
            <v>Benjamin Salisbury</v>
          </cell>
        </row>
        <row r="29">
          <cell r="B29" t="str">
            <v>Boualem Rabhi</v>
          </cell>
        </row>
        <row r="30">
          <cell r="B30" t="str">
            <v>Brad Cisneros</v>
          </cell>
        </row>
        <row r="31">
          <cell r="B31" t="str">
            <v>Braden Neddermeyer</v>
          </cell>
        </row>
        <row r="32">
          <cell r="B32" t="str">
            <v>Brandon Jackson</v>
          </cell>
        </row>
        <row r="33">
          <cell r="B33" t="str">
            <v>Brandy Leverette</v>
          </cell>
        </row>
        <row r="34">
          <cell r="B34" t="str">
            <v>Brett Greer</v>
          </cell>
        </row>
        <row r="35">
          <cell r="B35" t="str">
            <v>Brian Blasco</v>
          </cell>
        </row>
        <row r="36">
          <cell r="B36" t="str">
            <v>Brian Bundrage</v>
          </cell>
        </row>
        <row r="37">
          <cell r="B37" t="str">
            <v>Brian Collins</v>
          </cell>
        </row>
        <row r="38">
          <cell r="B38" t="str">
            <v>Brian Decker</v>
          </cell>
        </row>
        <row r="39">
          <cell r="B39" t="str">
            <v>Brian Guerrant</v>
          </cell>
        </row>
        <row r="40">
          <cell r="B40" t="str">
            <v>Brian Pendley</v>
          </cell>
        </row>
        <row r="41">
          <cell r="B41" t="str">
            <v>Brian Robinson</v>
          </cell>
        </row>
        <row r="42">
          <cell r="B42" t="str">
            <v>Brian Sullivan</v>
          </cell>
        </row>
        <row r="43">
          <cell r="B43" t="str">
            <v>Brian White</v>
          </cell>
        </row>
        <row r="44">
          <cell r="B44" t="str">
            <v>Brittany Brown</v>
          </cell>
        </row>
        <row r="45">
          <cell r="B45" t="str">
            <v>Bruce Butler</v>
          </cell>
        </row>
        <row r="46">
          <cell r="B46" t="str">
            <v>Bryant Henderson</v>
          </cell>
        </row>
        <row r="47">
          <cell r="B47" t="str">
            <v>Caleb Smart</v>
          </cell>
        </row>
        <row r="48">
          <cell r="B48" t="str">
            <v>Cameron Zumwalt</v>
          </cell>
        </row>
        <row r="49">
          <cell r="B49" t="str">
            <v>Carlos Cornwall</v>
          </cell>
        </row>
        <row r="50">
          <cell r="B50" t="str">
            <v>Carlos Garcia</v>
          </cell>
        </row>
        <row r="51">
          <cell r="B51" t="str">
            <v>Carlos Membreno</v>
          </cell>
        </row>
        <row r="52">
          <cell r="B52" t="str">
            <v>Carlos Olivencia</v>
          </cell>
        </row>
        <row r="53">
          <cell r="B53" t="str">
            <v>Cathy Daimon</v>
          </cell>
        </row>
        <row r="54">
          <cell r="B54" t="str">
            <v>Charmlin Howard</v>
          </cell>
        </row>
        <row r="55">
          <cell r="B55" t="str">
            <v>Cheryl Pelaez</v>
          </cell>
        </row>
        <row r="56">
          <cell r="B56" t="str">
            <v>Christopher Davis</v>
          </cell>
        </row>
        <row r="57">
          <cell r="B57" t="str">
            <v>Christopher Johanson</v>
          </cell>
        </row>
        <row r="58">
          <cell r="B58" t="str">
            <v>Christopher Michaud</v>
          </cell>
        </row>
        <row r="59">
          <cell r="B59" t="str">
            <v>Christopher Miller</v>
          </cell>
        </row>
        <row r="60">
          <cell r="B60" t="str">
            <v>Christopher Vann</v>
          </cell>
        </row>
        <row r="61">
          <cell r="B61" t="str">
            <v>Clair Caliman</v>
          </cell>
        </row>
        <row r="62">
          <cell r="B62" t="str">
            <v>Clinton Miller</v>
          </cell>
        </row>
        <row r="63">
          <cell r="B63" t="str">
            <v>Coby Ryan Foster</v>
          </cell>
        </row>
        <row r="64">
          <cell r="B64" t="str">
            <v>Congetta Mulligan</v>
          </cell>
        </row>
        <row r="65">
          <cell r="B65" t="str">
            <v>Consuelo Bravo</v>
          </cell>
        </row>
        <row r="66">
          <cell r="B66" t="str">
            <v>Corey Peebles</v>
          </cell>
        </row>
        <row r="67">
          <cell r="B67" t="str">
            <v>Courtney Carter</v>
          </cell>
        </row>
        <row r="68">
          <cell r="B68" t="str">
            <v>Craig Nocho</v>
          </cell>
        </row>
        <row r="69">
          <cell r="B69" t="str">
            <v>Craig Stromberg</v>
          </cell>
        </row>
        <row r="70">
          <cell r="B70" t="str">
            <v>Crystal Wells</v>
          </cell>
        </row>
        <row r="71">
          <cell r="B71" t="str">
            <v>Curtis Eby</v>
          </cell>
        </row>
        <row r="72">
          <cell r="B72" t="str">
            <v>Dale Stewart Jr.</v>
          </cell>
        </row>
        <row r="73">
          <cell r="B73" t="str">
            <v>Danie Marshall</v>
          </cell>
        </row>
        <row r="74">
          <cell r="B74" t="str">
            <v>Daniel Kyle O'Neill</v>
          </cell>
        </row>
        <row r="75">
          <cell r="B75" t="str">
            <v>Daniel Poteet</v>
          </cell>
        </row>
        <row r="76">
          <cell r="B76" t="str">
            <v>Daniel Smith</v>
          </cell>
        </row>
        <row r="77">
          <cell r="B77" t="str">
            <v>Daniel T Breen</v>
          </cell>
        </row>
        <row r="78">
          <cell r="B78" t="str">
            <v>Darren Herndon</v>
          </cell>
        </row>
        <row r="79">
          <cell r="B79" t="str">
            <v>Darron C Foose</v>
          </cell>
        </row>
        <row r="80">
          <cell r="B80" t="str">
            <v>Daulton Caro</v>
          </cell>
        </row>
        <row r="81">
          <cell r="B81" t="str">
            <v>David Adair</v>
          </cell>
        </row>
        <row r="82">
          <cell r="B82" t="str">
            <v>David Bobb</v>
          </cell>
        </row>
        <row r="83">
          <cell r="B83" t="str">
            <v>David Buell</v>
          </cell>
        </row>
        <row r="84">
          <cell r="B84" t="str">
            <v>David Helms</v>
          </cell>
        </row>
        <row r="85">
          <cell r="B85" t="str">
            <v>David Kerley</v>
          </cell>
        </row>
        <row r="86">
          <cell r="B86" t="str">
            <v>David Metcalf</v>
          </cell>
        </row>
        <row r="87">
          <cell r="B87" t="str">
            <v>David Miller</v>
          </cell>
        </row>
        <row r="88">
          <cell r="B88" t="str">
            <v>David Morris</v>
          </cell>
        </row>
        <row r="89">
          <cell r="B89" t="str">
            <v>David Newton</v>
          </cell>
        </row>
        <row r="90">
          <cell r="B90" t="str">
            <v>David S Ratzburg</v>
          </cell>
        </row>
        <row r="91">
          <cell r="B91" t="str">
            <v>Deana Harrison</v>
          </cell>
        </row>
        <row r="92">
          <cell r="B92" t="str">
            <v>Delois Powell</v>
          </cell>
        </row>
        <row r="93">
          <cell r="B93" t="str">
            <v>Demitrez Nissenbaum</v>
          </cell>
        </row>
        <row r="94">
          <cell r="B94" t="str">
            <v>Diane Henderson</v>
          </cell>
        </row>
        <row r="95">
          <cell r="B95" t="str">
            <v>Dietrich Winslow</v>
          </cell>
        </row>
        <row r="96">
          <cell r="B96" t="str">
            <v>Dionisio Gil</v>
          </cell>
        </row>
        <row r="97">
          <cell r="B97" t="str">
            <v>Dirk Ryan</v>
          </cell>
        </row>
        <row r="98">
          <cell r="B98" t="str">
            <v>Dominique Yates</v>
          </cell>
        </row>
        <row r="99">
          <cell r="B99" t="str">
            <v>Don Miller</v>
          </cell>
        </row>
        <row r="100">
          <cell r="B100" t="str">
            <v>Donald Fischer</v>
          </cell>
        </row>
        <row r="101">
          <cell r="B101" t="str">
            <v>Donna Howard</v>
          </cell>
        </row>
        <row r="102">
          <cell r="B102" t="str">
            <v>Dustin Page</v>
          </cell>
        </row>
        <row r="103">
          <cell r="B103" t="str">
            <v>Earl Thompson</v>
          </cell>
        </row>
        <row r="104">
          <cell r="B104" t="str">
            <v>Edward Kramer</v>
          </cell>
        </row>
        <row r="105">
          <cell r="B105" t="str">
            <v>Edward Quiles</v>
          </cell>
        </row>
        <row r="106">
          <cell r="B106" t="str">
            <v>Eileen Anka</v>
          </cell>
        </row>
        <row r="107">
          <cell r="B107" t="str">
            <v>Elizabeth Garcia</v>
          </cell>
        </row>
        <row r="108">
          <cell r="B108" t="str">
            <v>Elizabeth Kraujalis</v>
          </cell>
        </row>
        <row r="109">
          <cell r="B109" t="str">
            <v>Emett Koller</v>
          </cell>
        </row>
        <row r="110">
          <cell r="B110" t="str">
            <v>Eminue Eminue</v>
          </cell>
        </row>
        <row r="111">
          <cell r="B111" t="str">
            <v>Enrique Moreno</v>
          </cell>
        </row>
        <row r="112">
          <cell r="B112" t="str">
            <v>Eric Huffington</v>
          </cell>
        </row>
        <row r="113">
          <cell r="B113" t="str">
            <v>Eric Kendrick</v>
          </cell>
        </row>
        <row r="114">
          <cell r="B114" t="str">
            <v>Eric Salewsky</v>
          </cell>
        </row>
        <row r="115">
          <cell r="B115" t="str">
            <v>Erik Seholm</v>
          </cell>
        </row>
        <row r="116">
          <cell r="B116" t="str">
            <v>Eugene Royster</v>
          </cell>
        </row>
        <row r="117">
          <cell r="B117" t="str">
            <v>Everett Garard</v>
          </cell>
        </row>
        <row r="118">
          <cell r="B118" t="str">
            <v>Fessie Brown</v>
          </cell>
        </row>
        <row r="119">
          <cell r="B119" t="str">
            <v>Frank Robinson</v>
          </cell>
        </row>
        <row r="120">
          <cell r="B120" t="str">
            <v>Frank Stodolak</v>
          </cell>
        </row>
        <row r="121">
          <cell r="B121" t="str">
            <v>Gary Stubblefield</v>
          </cell>
        </row>
        <row r="122">
          <cell r="B122" t="str">
            <v>Gaurav Singh</v>
          </cell>
        </row>
        <row r="123">
          <cell r="B123" t="str">
            <v>Geoffrey Dunning</v>
          </cell>
        </row>
        <row r="124">
          <cell r="B124" t="str">
            <v>George Jennett</v>
          </cell>
        </row>
        <row r="125">
          <cell r="B125" t="str">
            <v>Glenn Johnson</v>
          </cell>
        </row>
        <row r="126">
          <cell r="B126" t="str">
            <v>Grant Weires</v>
          </cell>
        </row>
        <row r="127">
          <cell r="B127" t="str">
            <v>Gregory Oliver Jr.</v>
          </cell>
        </row>
        <row r="128">
          <cell r="B128" t="str">
            <v>Guillermo Artunduaga</v>
          </cell>
        </row>
        <row r="129">
          <cell r="B129" t="str">
            <v>Guy Reyes</v>
          </cell>
        </row>
        <row r="130">
          <cell r="B130" t="str">
            <v>Hari Burnama</v>
          </cell>
        </row>
        <row r="131">
          <cell r="B131" t="str">
            <v>Heracleo Hernandez</v>
          </cell>
        </row>
        <row r="132">
          <cell r="B132" t="str">
            <v>Ibrahim Lawal</v>
          </cell>
        </row>
        <row r="133">
          <cell r="B133" t="str">
            <v>Jacob Mamolou</v>
          </cell>
        </row>
        <row r="134">
          <cell r="B134" t="str">
            <v>Jacque Scott</v>
          </cell>
        </row>
        <row r="135">
          <cell r="B135" t="str">
            <v>Jaime Alcarez</v>
          </cell>
        </row>
        <row r="136">
          <cell r="B136" t="str">
            <v>James Araujo</v>
          </cell>
        </row>
        <row r="137">
          <cell r="B137" t="str">
            <v>James Crews</v>
          </cell>
        </row>
        <row r="138">
          <cell r="B138" t="str">
            <v>James Faulkner</v>
          </cell>
        </row>
        <row r="139">
          <cell r="B139" t="str">
            <v>James Grillo</v>
          </cell>
        </row>
        <row r="140">
          <cell r="B140" t="str">
            <v>James Kempf</v>
          </cell>
        </row>
        <row r="141">
          <cell r="B141" t="str">
            <v>James Larkin</v>
          </cell>
        </row>
        <row r="142">
          <cell r="B142" t="str">
            <v>James Rebich</v>
          </cell>
        </row>
        <row r="143">
          <cell r="B143" t="str">
            <v>James Smith</v>
          </cell>
        </row>
        <row r="144">
          <cell r="B144" t="str">
            <v>Jane E Neubert</v>
          </cell>
        </row>
        <row r="145">
          <cell r="B145" t="str">
            <v>Jason Aglietti</v>
          </cell>
        </row>
        <row r="146">
          <cell r="B146" t="str">
            <v>Jason Anderson</v>
          </cell>
        </row>
        <row r="147">
          <cell r="B147" t="str">
            <v>Jason Gray</v>
          </cell>
        </row>
        <row r="148">
          <cell r="B148" t="str">
            <v>Jason Workman</v>
          </cell>
        </row>
        <row r="149">
          <cell r="B149" t="str">
            <v>Javier Garcia</v>
          </cell>
        </row>
        <row r="150">
          <cell r="B150" t="str">
            <v>Javier Perez</v>
          </cell>
        </row>
        <row r="151">
          <cell r="B151" t="str">
            <v>Jay Thurmond</v>
          </cell>
        </row>
        <row r="152">
          <cell r="B152" t="str">
            <v>Jeff Boggess</v>
          </cell>
        </row>
        <row r="153">
          <cell r="B153" t="str">
            <v>Jeffery De Angelo</v>
          </cell>
        </row>
        <row r="154">
          <cell r="B154" t="str">
            <v>Jeffre Beland</v>
          </cell>
        </row>
        <row r="155">
          <cell r="B155" t="str">
            <v>Jeffrey Dawes</v>
          </cell>
        </row>
        <row r="156">
          <cell r="B156" t="str">
            <v>Jeffrey Kyle Wolgamott</v>
          </cell>
        </row>
        <row r="157">
          <cell r="B157" t="str">
            <v>Jeffrey R Clausi</v>
          </cell>
        </row>
        <row r="158">
          <cell r="B158" t="str">
            <v>Jeffrey Sheehan</v>
          </cell>
        </row>
        <row r="159">
          <cell r="B159" t="str">
            <v>Jeffrey Thomas</v>
          </cell>
        </row>
        <row r="160">
          <cell r="B160" t="str">
            <v>Jeffrey Wolfe</v>
          </cell>
        </row>
        <row r="161">
          <cell r="B161" t="str">
            <v>Jennifer A. Roberts</v>
          </cell>
        </row>
        <row r="162">
          <cell r="B162" t="str">
            <v>Jennifer Meier Lopez</v>
          </cell>
        </row>
        <row r="163">
          <cell r="B163" t="str">
            <v>Jerry Rose</v>
          </cell>
        </row>
        <row r="164">
          <cell r="B164" t="str">
            <v>Jilayne J Gottsch</v>
          </cell>
        </row>
        <row r="165">
          <cell r="B165" t="str">
            <v>Joe Pierce</v>
          </cell>
        </row>
        <row r="166">
          <cell r="B166" t="str">
            <v>John Alibrio</v>
          </cell>
        </row>
        <row r="167">
          <cell r="B167" t="str">
            <v>John Benninger</v>
          </cell>
        </row>
        <row r="168">
          <cell r="B168" t="str">
            <v>John Butler</v>
          </cell>
        </row>
        <row r="169">
          <cell r="B169" t="str">
            <v>John E Wilkerson</v>
          </cell>
        </row>
        <row r="170">
          <cell r="B170" t="str">
            <v>John Edward Smith Jr.</v>
          </cell>
        </row>
        <row r="171">
          <cell r="B171" t="str">
            <v>John James Wiley</v>
          </cell>
        </row>
        <row r="172">
          <cell r="B172" t="str">
            <v>John Koury</v>
          </cell>
        </row>
        <row r="173">
          <cell r="B173" t="str">
            <v>John Mayer Alibrio</v>
          </cell>
        </row>
        <row r="174">
          <cell r="B174" t="str">
            <v>John Reed</v>
          </cell>
        </row>
        <row r="175">
          <cell r="B175" t="str">
            <v>John T. Marro</v>
          </cell>
        </row>
        <row r="176">
          <cell r="B176" t="str">
            <v>John Vinyard</v>
          </cell>
        </row>
        <row r="177">
          <cell r="B177" t="str">
            <v>Johnathan Brooks</v>
          </cell>
        </row>
        <row r="178">
          <cell r="B178" t="str">
            <v>Jonathan Kuilan</v>
          </cell>
        </row>
        <row r="179">
          <cell r="B179" t="str">
            <v>Jonathan Nguyen</v>
          </cell>
        </row>
        <row r="180">
          <cell r="B180" t="str">
            <v>Jonathan Pachter</v>
          </cell>
        </row>
        <row r="181">
          <cell r="B181" t="str">
            <v>Jonathan Ray</v>
          </cell>
        </row>
        <row r="182">
          <cell r="B182" t="str">
            <v>Jose Dominguez</v>
          </cell>
        </row>
        <row r="183">
          <cell r="B183" t="str">
            <v>Jose Perez</v>
          </cell>
        </row>
        <row r="184">
          <cell r="B184" t="str">
            <v>Joseph Cabale</v>
          </cell>
        </row>
        <row r="185">
          <cell r="B185" t="str">
            <v>Joseph Cigna</v>
          </cell>
        </row>
        <row r="186">
          <cell r="B186" t="str">
            <v>Joseph Kissoon</v>
          </cell>
        </row>
        <row r="187">
          <cell r="B187" t="str">
            <v>Joshua Johnson</v>
          </cell>
        </row>
        <row r="188">
          <cell r="B188" t="str">
            <v>Joshua Littig</v>
          </cell>
        </row>
        <row r="189">
          <cell r="B189" t="str">
            <v>Juan Rivera</v>
          </cell>
        </row>
        <row r="190">
          <cell r="B190" t="str">
            <v>Justin Soummers</v>
          </cell>
        </row>
        <row r="191">
          <cell r="B191" t="str">
            <v>Keith Seager</v>
          </cell>
        </row>
        <row r="192">
          <cell r="B192" t="str">
            <v>Kenneth Dunham Jr.</v>
          </cell>
        </row>
        <row r="193">
          <cell r="B193" t="str">
            <v>Kenneth Yates</v>
          </cell>
        </row>
        <row r="194">
          <cell r="B194" t="str">
            <v>Keri Fagan</v>
          </cell>
        </row>
        <row r="195">
          <cell r="B195" t="str">
            <v>Ketphachanh Luangpraseuth</v>
          </cell>
        </row>
        <row r="196">
          <cell r="B196" t="str">
            <v>Kevin Allen</v>
          </cell>
        </row>
        <row r="197">
          <cell r="B197" t="str">
            <v>Kevin Hochstedler</v>
          </cell>
        </row>
        <row r="198">
          <cell r="B198" t="str">
            <v>Kevin Kearney</v>
          </cell>
        </row>
        <row r="199">
          <cell r="B199" t="str">
            <v>Kevin Thompson</v>
          </cell>
        </row>
        <row r="200">
          <cell r="B200" t="str">
            <v>Kirstin McClune</v>
          </cell>
        </row>
        <row r="201">
          <cell r="B201" t="str">
            <v>Konstantinos Serevetas</v>
          </cell>
        </row>
        <row r="202">
          <cell r="B202" t="str">
            <v>Kurtis Anderson</v>
          </cell>
        </row>
        <row r="203">
          <cell r="B203" t="str">
            <v>Kyle Bryson</v>
          </cell>
        </row>
        <row r="204">
          <cell r="B204" t="str">
            <v>Kyle Henry</v>
          </cell>
        </row>
        <row r="205">
          <cell r="B205" t="str">
            <v>Lamont Jackson</v>
          </cell>
        </row>
        <row r="206">
          <cell r="B206" t="str">
            <v>Lanny Hall</v>
          </cell>
        </row>
        <row r="207">
          <cell r="B207" t="str">
            <v>Larry Michael Dorgelo</v>
          </cell>
        </row>
        <row r="208">
          <cell r="B208" t="str">
            <v>Laura Rabon</v>
          </cell>
        </row>
        <row r="209">
          <cell r="B209" t="str">
            <v>Lee Ann Yoshie Kapaku</v>
          </cell>
        </row>
        <row r="210">
          <cell r="B210" t="str">
            <v>Lee Gurtler</v>
          </cell>
        </row>
        <row r="211">
          <cell r="B211" t="str">
            <v>Lee Monestine</v>
          </cell>
        </row>
        <row r="212">
          <cell r="B212" t="str">
            <v>Leon James</v>
          </cell>
        </row>
        <row r="213">
          <cell r="B213" t="str">
            <v>Lisa Profit</v>
          </cell>
        </row>
        <row r="214">
          <cell r="B214" t="str">
            <v>Lormina Antoine</v>
          </cell>
        </row>
        <row r="215">
          <cell r="B215" t="str">
            <v>Lubert Quenum</v>
          </cell>
        </row>
        <row r="216">
          <cell r="B216" t="str">
            <v>Luis Bustamante</v>
          </cell>
        </row>
        <row r="217">
          <cell r="B217" t="str">
            <v>Luis Eduardo Martinez-Orbe</v>
          </cell>
        </row>
        <row r="218">
          <cell r="B218" t="str">
            <v>Luis Rodriguez</v>
          </cell>
        </row>
        <row r="219">
          <cell r="B219" t="str">
            <v>Marc T Seagraves</v>
          </cell>
        </row>
        <row r="220">
          <cell r="B220" t="str">
            <v>Marc Watkins</v>
          </cell>
        </row>
        <row r="221">
          <cell r="B221" t="str">
            <v>Marcos Nevarez</v>
          </cell>
        </row>
        <row r="222">
          <cell r="B222" t="str">
            <v>Marcos Skeens</v>
          </cell>
        </row>
        <row r="223">
          <cell r="B223" t="str">
            <v>Mario Alaniz</v>
          </cell>
        </row>
        <row r="224">
          <cell r="B224" t="str">
            <v>Mark Bloom</v>
          </cell>
        </row>
        <row r="225">
          <cell r="B225" t="str">
            <v>Mark Marrs</v>
          </cell>
        </row>
        <row r="226">
          <cell r="B226" t="str">
            <v>Mark Mc Gill</v>
          </cell>
        </row>
        <row r="227">
          <cell r="B227" t="str">
            <v>Mark P Crumpler</v>
          </cell>
        </row>
        <row r="228">
          <cell r="B228" t="str">
            <v>Marty Whitehead</v>
          </cell>
        </row>
        <row r="229">
          <cell r="B229" t="str">
            <v>Mary Holliday</v>
          </cell>
        </row>
        <row r="230">
          <cell r="B230" t="str">
            <v>Matthew Avila</v>
          </cell>
        </row>
        <row r="231">
          <cell r="B231" t="str">
            <v>Matthew Demming</v>
          </cell>
        </row>
        <row r="232">
          <cell r="B232" t="str">
            <v>Melinda Quinn</v>
          </cell>
        </row>
        <row r="233">
          <cell r="B233" t="str">
            <v>Melissa Rogan</v>
          </cell>
        </row>
        <row r="234">
          <cell r="B234" t="str">
            <v>Melissa Stinson</v>
          </cell>
        </row>
        <row r="235">
          <cell r="B235" t="str">
            <v>Mensur Mustafic</v>
          </cell>
        </row>
        <row r="236">
          <cell r="B236" t="str">
            <v>Micahel Russom</v>
          </cell>
        </row>
        <row r="237">
          <cell r="B237" t="str">
            <v>Michael E Stanton</v>
          </cell>
        </row>
        <row r="238">
          <cell r="B238" t="str">
            <v>Michael Kevin Carter</v>
          </cell>
        </row>
        <row r="239">
          <cell r="B239" t="str">
            <v>Michael Morgan</v>
          </cell>
        </row>
        <row r="240">
          <cell r="B240" t="str">
            <v>Michael Quadri</v>
          </cell>
        </row>
        <row r="241">
          <cell r="B241" t="str">
            <v>Michael Russom</v>
          </cell>
        </row>
        <row r="242">
          <cell r="B242" t="str">
            <v>Michael Santillo</v>
          </cell>
        </row>
        <row r="243">
          <cell r="B243" t="str">
            <v>Michael Van Hees</v>
          </cell>
        </row>
        <row r="244">
          <cell r="B244" t="str">
            <v>Mike Henderson</v>
          </cell>
        </row>
        <row r="245">
          <cell r="B245" t="str">
            <v>Mohamed Bile</v>
          </cell>
        </row>
        <row r="246">
          <cell r="B246" t="str">
            <v>Mohamed Mohamed</v>
          </cell>
        </row>
        <row r="247">
          <cell r="B247" t="str">
            <v>Mohammed Sissoko</v>
          </cell>
        </row>
        <row r="248">
          <cell r="B248" t="str">
            <v>Nathan Sisneros</v>
          </cell>
        </row>
        <row r="249">
          <cell r="B249" t="str">
            <v>Navleen Chand</v>
          </cell>
        </row>
        <row r="250">
          <cell r="B250" t="str">
            <v>Nawfal Radoine</v>
          </cell>
        </row>
        <row r="251">
          <cell r="B251" t="str">
            <v>Nicole Maland</v>
          </cell>
        </row>
        <row r="252">
          <cell r="B252" t="str">
            <v>Nikk Hetrick</v>
          </cell>
        </row>
        <row r="253">
          <cell r="B253" t="str">
            <v>Omar Barrera</v>
          </cell>
        </row>
        <row r="254">
          <cell r="B254" t="str">
            <v>Orlando Wyatt</v>
          </cell>
        </row>
        <row r="255">
          <cell r="B255" t="str">
            <v>Oscar Cruz</v>
          </cell>
        </row>
        <row r="256">
          <cell r="B256" t="str">
            <v>Oscar Solis</v>
          </cell>
        </row>
        <row r="257">
          <cell r="B257" t="str">
            <v>Owens Asemota</v>
          </cell>
        </row>
        <row r="258">
          <cell r="B258" t="str">
            <v>Patricia Baji</v>
          </cell>
        </row>
        <row r="259">
          <cell r="B259" t="str">
            <v>Patricia Haney</v>
          </cell>
        </row>
        <row r="260">
          <cell r="B260" t="str">
            <v>Patrick Corby</v>
          </cell>
        </row>
        <row r="261">
          <cell r="B261" t="str">
            <v>Paul Hendershot</v>
          </cell>
        </row>
        <row r="262">
          <cell r="B262" t="str">
            <v>Paul Kealoha Fritz</v>
          </cell>
        </row>
        <row r="263">
          <cell r="B263" t="str">
            <v>Paula Mae Antonio-Boone</v>
          </cell>
        </row>
        <row r="264">
          <cell r="B264" t="str">
            <v>Pavel Khromets</v>
          </cell>
        </row>
        <row r="265">
          <cell r="B265" t="str">
            <v>Philip H Russell</v>
          </cell>
        </row>
        <row r="266">
          <cell r="B266" t="str">
            <v>Rachel Coley</v>
          </cell>
        </row>
        <row r="267">
          <cell r="B267" t="str">
            <v>Rafael Vazquez</v>
          </cell>
        </row>
        <row r="268">
          <cell r="B268" t="str">
            <v>Ramon Perez</v>
          </cell>
        </row>
        <row r="269">
          <cell r="B269" t="str">
            <v>Randy Domingo</v>
          </cell>
        </row>
        <row r="270">
          <cell r="B270" t="str">
            <v>Raul Vargas</v>
          </cell>
        </row>
        <row r="271">
          <cell r="B271" t="str">
            <v>Rayn Smith</v>
          </cell>
        </row>
        <row r="272">
          <cell r="B272" t="str">
            <v>Rebecca J Walters</v>
          </cell>
        </row>
        <row r="273">
          <cell r="B273" t="str">
            <v>Rich Duran</v>
          </cell>
        </row>
        <row r="274">
          <cell r="B274" t="str">
            <v>Richard Bressler</v>
          </cell>
        </row>
        <row r="275">
          <cell r="B275" t="str">
            <v>Richard Jones</v>
          </cell>
        </row>
        <row r="276">
          <cell r="B276" t="str">
            <v>Richard L Rains</v>
          </cell>
        </row>
        <row r="277">
          <cell r="B277" t="str">
            <v>Richard Walters</v>
          </cell>
        </row>
        <row r="278">
          <cell r="B278" t="str">
            <v>Rick Alan Smith</v>
          </cell>
        </row>
        <row r="279">
          <cell r="B279" t="str">
            <v>Rickey Grubbs</v>
          </cell>
        </row>
        <row r="280">
          <cell r="B280" t="str">
            <v>Rita Sud</v>
          </cell>
        </row>
        <row r="281">
          <cell r="B281" t="str">
            <v>Robert Baker</v>
          </cell>
        </row>
        <row r="282">
          <cell r="B282" t="str">
            <v>Robert Eikenberry</v>
          </cell>
        </row>
        <row r="283">
          <cell r="B283" t="str">
            <v>Robert G Jones</v>
          </cell>
        </row>
        <row r="284">
          <cell r="B284" t="str">
            <v>Robert Lutzick</v>
          </cell>
        </row>
        <row r="285">
          <cell r="B285" t="str">
            <v>Robert Mackey</v>
          </cell>
        </row>
        <row r="286">
          <cell r="B286" t="str">
            <v>Robert Moyer</v>
          </cell>
        </row>
        <row r="287">
          <cell r="B287" t="str">
            <v>Robert Stewart</v>
          </cell>
        </row>
        <row r="288">
          <cell r="B288" t="str">
            <v>Robert Taylor</v>
          </cell>
        </row>
        <row r="289">
          <cell r="B289" t="str">
            <v>Roderic Foy</v>
          </cell>
        </row>
        <row r="290">
          <cell r="B290" t="str">
            <v>Rodrigo Gaviria</v>
          </cell>
        </row>
        <row r="291">
          <cell r="B291" t="str">
            <v>Ron Nitz</v>
          </cell>
        </row>
        <row r="292">
          <cell r="B292" t="str">
            <v>Ronald Bobee</v>
          </cell>
        </row>
        <row r="293">
          <cell r="B293" t="str">
            <v>Ronald Broughton</v>
          </cell>
        </row>
        <row r="294">
          <cell r="B294" t="str">
            <v>Rory Mc Ilvenny</v>
          </cell>
        </row>
        <row r="295">
          <cell r="B295" t="str">
            <v>Rosa Sanchez</v>
          </cell>
        </row>
        <row r="296">
          <cell r="B296" t="str">
            <v>Ross Copeland</v>
          </cell>
        </row>
        <row r="297">
          <cell r="B297" t="str">
            <v>Roxann Hiatt</v>
          </cell>
        </row>
        <row r="298">
          <cell r="B298" t="str">
            <v>Ruben Dario Rivas</v>
          </cell>
        </row>
        <row r="299">
          <cell r="B299" t="str">
            <v>Ruben Reyes</v>
          </cell>
        </row>
        <row r="300">
          <cell r="B300" t="str">
            <v>Russell Higginson</v>
          </cell>
        </row>
        <row r="301">
          <cell r="B301" t="str">
            <v>Safraz Khan</v>
          </cell>
        </row>
        <row r="302">
          <cell r="B302" t="str">
            <v>Samantha Melber</v>
          </cell>
        </row>
        <row r="303">
          <cell r="B303" t="str">
            <v>Samantha Whistler</v>
          </cell>
        </row>
        <row r="304">
          <cell r="B304" t="str">
            <v>Samuel Munoz Jr.</v>
          </cell>
        </row>
        <row r="305">
          <cell r="B305" t="str">
            <v>Sarah Altepeter</v>
          </cell>
        </row>
        <row r="306">
          <cell r="B306" t="str">
            <v>Saul Garcia</v>
          </cell>
        </row>
        <row r="307">
          <cell r="B307" t="str">
            <v>Scott A Schneider</v>
          </cell>
        </row>
        <row r="308">
          <cell r="B308" t="str">
            <v>Scott Enstall</v>
          </cell>
        </row>
        <row r="309">
          <cell r="B309" t="str">
            <v>Scott Takeya</v>
          </cell>
        </row>
        <row r="310">
          <cell r="B310" t="str">
            <v>Sergii Boiko</v>
          </cell>
        </row>
        <row r="311">
          <cell r="B311" t="str">
            <v>Shawn Greiner</v>
          </cell>
        </row>
        <row r="312">
          <cell r="B312" t="str">
            <v>Shawn Salazar</v>
          </cell>
        </row>
        <row r="313">
          <cell r="B313" t="str">
            <v>Shayla Martin</v>
          </cell>
        </row>
        <row r="314">
          <cell r="B314" t="str">
            <v>Sheila Williams</v>
          </cell>
        </row>
        <row r="315">
          <cell r="B315" t="str">
            <v>Sherri Jordan</v>
          </cell>
        </row>
        <row r="316">
          <cell r="B316" t="str">
            <v>Shonyell White</v>
          </cell>
        </row>
        <row r="317">
          <cell r="B317" t="str">
            <v>Stephen Brannam</v>
          </cell>
        </row>
        <row r="318">
          <cell r="B318" t="str">
            <v>Stephen Schwedrsky</v>
          </cell>
        </row>
        <row r="319">
          <cell r="B319" t="str">
            <v>Steve Jones</v>
          </cell>
        </row>
        <row r="320">
          <cell r="B320" t="str">
            <v>Steve M Minnicucci</v>
          </cell>
        </row>
        <row r="321">
          <cell r="B321" t="str">
            <v>Steven Austin</v>
          </cell>
        </row>
        <row r="322">
          <cell r="B322" t="str">
            <v>Steven Batts</v>
          </cell>
        </row>
        <row r="323">
          <cell r="B323" t="str">
            <v>Steven M Cameron</v>
          </cell>
        </row>
        <row r="324">
          <cell r="B324" t="str">
            <v>Steven Struba</v>
          </cell>
        </row>
        <row r="325">
          <cell r="B325" t="str">
            <v>Tamara Moon</v>
          </cell>
        </row>
        <row r="326">
          <cell r="B326" t="str">
            <v>Taniesh P. Blake</v>
          </cell>
        </row>
        <row r="327">
          <cell r="B327" t="str">
            <v>Tanisha Bloodsaw</v>
          </cell>
        </row>
        <row r="328">
          <cell r="B328" t="str">
            <v>Tanya Smith</v>
          </cell>
        </row>
        <row r="329">
          <cell r="B329" t="str">
            <v>Tara Whitcomb</v>
          </cell>
        </row>
        <row r="330">
          <cell r="B330" t="str">
            <v>Ted Valencia</v>
          </cell>
        </row>
        <row r="331">
          <cell r="B331" t="str">
            <v>Teresa Lovell</v>
          </cell>
        </row>
        <row r="332">
          <cell r="B332" t="str">
            <v>Terrin Ogeerally</v>
          </cell>
        </row>
        <row r="333">
          <cell r="B333" t="str">
            <v>Terry Greninger</v>
          </cell>
        </row>
        <row r="334">
          <cell r="B334" t="str">
            <v>Terry L Fritz</v>
          </cell>
        </row>
        <row r="335">
          <cell r="B335" t="str">
            <v>Thaddeus Kazda</v>
          </cell>
        </row>
        <row r="336">
          <cell r="B336" t="str">
            <v>Thomas Carlisi</v>
          </cell>
        </row>
        <row r="337">
          <cell r="B337" t="str">
            <v>Thomas Morton</v>
          </cell>
        </row>
        <row r="338">
          <cell r="B338" t="str">
            <v>Tim Ahrens</v>
          </cell>
        </row>
        <row r="339">
          <cell r="B339" t="str">
            <v>Tim McInerney</v>
          </cell>
        </row>
        <row r="340">
          <cell r="B340" t="str">
            <v>Timothy Bailey</v>
          </cell>
        </row>
        <row r="341">
          <cell r="B341" t="str">
            <v>Timothy Mikulec</v>
          </cell>
        </row>
        <row r="342">
          <cell r="B342" t="str">
            <v>Timothy Strba</v>
          </cell>
        </row>
        <row r="343">
          <cell r="B343" t="str">
            <v>Todd Fridirici</v>
          </cell>
        </row>
        <row r="344">
          <cell r="B344" t="str">
            <v>Tonya Kerley</v>
          </cell>
        </row>
        <row r="345">
          <cell r="B345" t="str">
            <v>Toshiko Cox</v>
          </cell>
        </row>
        <row r="346">
          <cell r="B346" t="str">
            <v>Trevor A Bostelman</v>
          </cell>
        </row>
        <row r="347">
          <cell r="B347" t="str">
            <v>Ural Mitchell</v>
          </cell>
        </row>
        <row r="348">
          <cell r="B348" t="str">
            <v>Victor Borling</v>
          </cell>
        </row>
        <row r="349">
          <cell r="B349" t="str">
            <v>Victorio Esposo</v>
          </cell>
        </row>
        <row r="350">
          <cell r="B350" t="str">
            <v>Virginia Flinn</v>
          </cell>
        </row>
        <row r="351">
          <cell r="B351" t="str">
            <v>William Pelters</v>
          </cell>
        </row>
        <row r="352">
          <cell r="B352" t="str">
            <v>William Vibora</v>
          </cell>
        </row>
        <row r="353">
          <cell r="B353" t="str">
            <v>Willie Redfield</v>
          </cell>
        </row>
        <row r="354">
          <cell r="B354" t="str">
            <v>Winslow Lamont Dietrich</v>
          </cell>
        </row>
      </sheetData>
      <sheetData sheetId="5"/>
      <sheetData sheetId="6">
        <row r="7">
          <cell r="J7">
            <v>0.10526315789473684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6"/>
  <sheetViews>
    <sheetView workbookViewId="0">
      <pane ySplit="2" topLeftCell="A3" activePane="bottomLeft" state="frozen"/>
      <selection pane="bottomLeft" activeCell="C2" sqref="C2:H2"/>
    </sheetView>
  </sheetViews>
  <sheetFormatPr defaultColWidth="8.85546875" defaultRowHeight="15" x14ac:dyDescent="0.25"/>
  <cols>
    <col min="1" max="2" width="9.85546875" style="13" customWidth="1"/>
    <col min="3" max="3" width="9.7109375" customWidth="1"/>
    <col min="4" max="4" width="31.28515625" customWidth="1"/>
    <col min="5" max="5" width="10" customWidth="1"/>
    <col min="6" max="7" width="8" bestFit="1" customWidth="1"/>
    <col min="11" max="11" width="16.7109375" customWidth="1"/>
  </cols>
  <sheetData>
    <row r="1" spans="1:8" ht="15.75" thickBot="1" x14ac:dyDescent="0.3"/>
    <row r="2" spans="1:8" ht="16.5" thickBot="1" x14ac:dyDescent="0.3">
      <c r="C2" s="228" t="s">
        <v>1</v>
      </c>
      <c r="D2" s="229" t="s">
        <v>77</v>
      </c>
      <c r="E2" s="199" t="s">
        <v>81</v>
      </c>
      <c r="F2" s="230" t="s">
        <v>82</v>
      </c>
      <c r="G2" s="199" t="s">
        <v>80</v>
      </c>
      <c r="H2" s="549">
        <v>44562</v>
      </c>
    </row>
    <row r="3" spans="1:8" x14ac:dyDescent="0.25">
      <c r="A3" s="13" t="s">
        <v>221</v>
      </c>
      <c r="B3" s="13" t="s">
        <v>221</v>
      </c>
      <c r="C3" s="531" t="s">
        <v>205</v>
      </c>
      <c r="D3" s="535" t="s">
        <v>451</v>
      </c>
      <c r="E3" s="532">
        <v>0.3639566575815994</v>
      </c>
      <c r="F3" s="532">
        <v>0.1465798045602606</v>
      </c>
      <c r="G3" s="533">
        <v>4.0716612377850167E-2</v>
      </c>
      <c r="H3" s="550">
        <v>114</v>
      </c>
    </row>
    <row r="4" spans="1:8" x14ac:dyDescent="0.25">
      <c r="A4" s="13" t="s">
        <v>219</v>
      </c>
      <c r="B4" s="13" t="s">
        <v>219</v>
      </c>
      <c r="C4" s="534" t="s">
        <v>204</v>
      </c>
      <c r="D4" s="535" t="s">
        <v>461</v>
      </c>
      <c r="E4" s="476">
        <v>0.7382433710502625</v>
      </c>
      <c r="F4" s="476">
        <v>0.29731993299832493</v>
      </c>
      <c r="G4" s="476">
        <v>7.5376884422110546E-2</v>
      </c>
      <c r="H4" s="550">
        <v>254</v>
      </c>
    </row>
    <row r="5" spans="1:8" x14ac:dyDescent="0.25">
      <c r="A5" s="13" t="s">
        <v>235</v>
      </c>
      <c r="B5" s="13" t="s">
        <v>235</v>
      </c>
      <c r="C5" s="534" t="s">
        <v>204</v>
      </c>
      <c r="D5" s="535" t="s">
        <v>460</v>
      </c>
      <c r="E5" s="476">
        <v>0.52478720956981828</v>
      </c>
      <c r="F5" s="476">
        <v>0.21135265700483091</v>
      </c>
      <c r="G5" s="476">
        <v>3.6231884057971016E-2</v>
      </c>
      <c r="H5" s="550">
        <v>148</v>
      </c>
    </row>
    <row r="6" spans="1:8" x14ac:dyDescent="0.25">
      <c r="A6" s="13" t="s">
        <v>249</v>
      </c>
      <c r="B6" s="13" t="s">
        <v>249</v>
      </c>
      <c r="C6" s="534" t="s">
        <v>207</v>
      </c>
      <c r="D6" s="535" t="s">
        <v>480</v>
      </c>
      <c r="E6" s="476">
        <v>0.50060346719332893</v>
      </c>
      <c r="F6" s="476">
        <v>0.20161290322580644</v>
      </c>
      <c r="G6" s="476">
        <v>6.7204301075268813E-2</v>
      </c>
      <c r="H6" s="550">
        <v>64</v>
      </c>
    </row>
    <row r="7" spans="1:8" x14ac:dyDescent="0.25">
      <c r="A7" s="13" t="s">
        <v>238</v>
      </c>
      <c r="B7" s="13" t="s">
        <v>238</v>
      </c>
      <c r="C7" s="534" t="s">
        <v>207</v>
      </c>
      <c r="D7" s="535" t="s">
        <v>477</v>
      </c>
      <c r="E7" s="476">
        <v>0.29056303372412795</v>
      </c>
      <c r="F7" s="476">
        <v>0.11702127659574468</v>
      </c>
      <c r="G7" s="476">
        <v>2.1276595744680851E-2</v>
      </c>
      <c r="H7" s="550">
        <v>91</v>
      </c>
    </row>
    <row r="8" spans="1:8" x14ac:dyDescent="0.25">
      <c r="A8" s="13" t="s">
        <v>245</v>
      </c>
      <c r="B8" s="13" t="s">
        <v>245</v>
      </c>
      <c r="C8" s="534" t="s">
        <v>204</v>
      </c>
      <c r="D8" s="535" t="s">
        <v>466</v>
      </c>
      <c r="E8" s="476">
        <v>0.32670963122090946</v>
      </c>
      <c r="F8" s="476">
        <v>0.13157894736842107</v>
      </c>
      <c r="G8" s="476">
        <v>4.1866028708133975E-2</v>
      </c>
      <c r="H8" s="550">
        <v>159</v>
      </c>
    </row>
    <row r="9" spans="1:8" x14ac:dyDescent="0.25">
      <c r="A9" s="13" t="s">
        <v>237</v>
      </c>
      <c r="B9" s="13" t="s">
        <v>237</v>
      </c>
      <c r="C9" s="534" t="s">
        <v>205</v>
      </c>
      <c r="D9" s="535" t="s">
        <v>462</v>
      </c>
      <c r="E9" s="476">
        <v>0.13561531862000012</v>
      </c>
      <c r="F9" s="476">
        <v>5.461767626613704E-2</v>
      </c>
      <c r="G9" s="476">
        <v>1.9860973187686197E-2</v>
      </c>
      <c r="H9" s="550">
        <v>188</v>
      </c>
    </row>
    <row r="10" spans="1:8" x14ac:dyDescent="0.25">
      <c r="A10" s="13" t="s">
        <v>230</v>
      </c>
      <c r="B10" s="13" t="s">
        <v>230</v>
      </c>
      <c r="C10" s="534" t="s">
        <v>208</v>
      </c>
      <c r="D10" s="535" t="s">
        <v>476</v>
      </c>
      <c r="E10" s="476">
        <v>0.32728381334959289</v>
      </c>
      <c r="F10" s="476">
        <v>0.13181019332161686</v>
      </c>
      <c r="G10" s="476">
        <v>1.7574692442882251E-2</v>
      </c>
      <c r="H10" s="550">
        <v>122</v>
      </c>
    </row>
    <row r="11" spans="1:8" x14ac:dyDescent="0.25">
      <c r="A11" s="13" t="s">
        <v>228</v>
      </c>
      <c r="B11" s="13" t="s">
        <v>228</v>
      </c>
      <c r="C11" s="534" t="s">
        <v>208</v>
      </c>
      <c r="D11" s="535" t="s">
        <v>457</v>
      </c>
      <c r="E11" s="476">
        <v>0.61561814808568049</v>
      </c>
      <c r="F11" s="476">
        <v>0.24793388429752064</v>
      </c>
      <c r="G11" s="476">
        <v>3.5419126328217233E-2</v>
      </c>
      <c r="H11" s="550">
        <v>150</v>
      </c>
    </row>
    <row r="12" spans="1:8" x14ac:dyDescent="0.25">
      <c r="A12" s="13" t="s">
        <v>224</v>
      </c>
      <c r="B12" s="13" t="s">
        <v>224</v>
      </c>
      <c r="C12" s="534" t="s">
        <v>208</v>
      </c>
      <c r="D12" s="535" t="s">
        <v>468</v>
      </c>
      <c r="E12" s="476">
        <v>0.95850840336134457</v>
      </c>
      <c r="F12" s="476">
        <v>0.3860294117647059</v>
      </c>
      <c r="G12" s="476">
        <v>7.3529411764705885E-2</v>
      </c>
      <c r="H12" s="550">
        <v>224</v>
      </c>
    </row>
    <row r="13" spans="1:8" x14ac:dyDescent="0.25">
      <c r="A13" s="13" t="s">
        <v>243</v>
      </c>
      <c r="B13" s="13" t="s">
        <v>243</v>
      </c>
      <c r="C13" s="534" t="s">
        <v>207</v>
      </c>
      <c r="D13" s="535" t="s">
        <v>465</v>
      </c>
      <c r="E13" s="476">
        <v>0.3852920478536242</v>
      </c>
      <c r="F13" s="476">
        <v>0.15517241379310345</v>
      </c>
      <c r="G13" s="476">
        <v>5.1724137931034482E-2</v>
      </c>
      <c r="H13" s="550">
        <v>49</v>
      </c>
    </row>
    <row r="14" spans="1:8" x14ac:dyDescent="0.25">
      <c r="A14" s="13" t="s">
        <v>263</v>
      </c>
      <c r="B14" s="13" t="s">
        <v>263</v>
      </c>
      <c r="C14" s="534" t="s">
        <v>208</v>
      </c>
      <c r="D14" s="535" t="s">
        <v>351</v>
      </c>
      <c r="E14" s="476">
        <v>0.95499738356881203</v>
      </c>
      <c r="F14" s="476">
        <v>0.38461538461538458</v>
      </c>
      <c r="G14" s="476">
        <v>0</v>
      </c>
      <c r="H14" s="550">
        <v>7</v>
      </c>
    </row>
    <row r="15" spans="1:8" x14ac:dyDescent="0.25">
      <c r="A15" s="13" t="s">
        <v>289</v>
      </c>
      <c r="B15" s="13" t="s">
        <v>289</v>
      </c>
      <c r="C15" s="534" t="s">
        <v>207</v>
      </c>
      <c r="D15" s="535"/>
      <c r="E15" s="476" t="e">
        <v>#DIV/0!</v>
      </c>
      <c r="F15" s="476" t="e">
        <v>#DIV/0!</v>
      </c>
      <c r="G15" s="476" t="e">
        <v>#DIV/0!</v>
      </c>
      <c r="H15" s="550">
        <v>0</v>
      </c>
    </row>
    <row r="16" spans="1:8" x14ac:dyDescent="0.25">
      <c r="A16" s="13" t="s">
        <v>266</v>
      </c>
      <c r="B16" s="13" t="s">
        <v>266</v>
      </c>
      <c r="C16" s="534" t="s">
        <v>208</v>
      </c>
      <c r="D16" s="535" t="s">
        <v>353</v>
      </c>
      <c r="E16" s="476">
        <v>0</v>
      </c>
      <c r="F16" s="476">
        <v>0</v>
      </c>
      <c r="G16" s="476">
        <v>0</v>
      </c>
      <c r="H16" s="550">
        <v>34</v>
      </c>
    </row>
    <row r="17" spans="1:8" x14ac:dyDescent="0.25">
      <c r="A17" s="13" t="s">
        <v>247</v>
      </c>
      <c r="B17" s="13" t="s">
        <v>247</v>
      </c>
      <c r="C17" s="534" t="s">
        <v>207</v>
      </c>
      <c r="D17" s="535" t="s">
        <v>503</v>
      </c>
      <c r="E17" s="476">
        <v>0.52273540995345502</v>
      </c>
      <c r="F17" s="476">
        <v>0.21052631578947367</v>
      </c>
      <c r="G17" s="476">
        <v>0</v>
      </c>
      <c r="H17" s="550">
        <v>19</v>
      </c>
    </row>
    <row r="18" spans="1:8" x14ac:dyDescent="0.25">
      <c r="A18" s="13" t="s">
        <v>254</v>
      </c>
      <c r="B18" s="13" t="s">
        <v>254</v>
      </c>
      <c r="C18" s="534" t="s">
        <v>204</v>
      </c>
      <c r="D18" s="535" t="s">
        <v>502</v>
      </c>
      <c r="E18" s="476">
        <v>0.28872013921847806</v>
      </c>
      <c r="F18" s="476">
        <v>0.11627906976744186</v>
      </c>
      <c r="G18" s="476">
        <v>0</v>
      </c>
      <c r="H18" s="550">
        <v>16</v>
      </c>
    </row>
    <row r="19" spans="1:8" x14ac:dyDescent="0.25">
      <c r="A19" s="13" t="s">
        <v>259</v>
      </c>
      <c r="B19" s="13" t="s">
        <v>259</v>
      </c>
      <c r="C19" s="534" t="s">
        <v>208</v>
      </c>
      <c r="D19" s="535" t="s">
        <v>488</v>
      </c>
      <c r="E19" s="476">
        <v>0.55423955296404281</v>
      </c>
      <c r="F19" s="476">
        <v>0.22321428571428573</v>
      </c>
      <c r="G19" s="476">
        <v>4.4642857142857144E-2</v>
      </c>
      <c r="H19" s="550">
        <v>22</v>
      </c>
    </row>
    <row r="20" spans="1:8" x14ac:dyDescent="0.25">
      <c r="A20" s="13" t="s">
        <v>281</v>
      </c>
      <c r="B20" s="13" t="s">
        <v>281</v>
      </c>
      <c r="C20" s="534" t="s">
        <v>207</v>
      </c>
      <c r="D20" s="535" t="s">
        <v>501</v>
      </c>
      <c r="E20" s="476">
        <v>0</v>
      </c>
      <c r="F20" s="476">
        <v>0</v>
      </c>
      <c r="G20" s="476">
        <v>0</v>
      </c>
      <c r="H20" s="550">
        <v>3</v>
      </c>
    </row>
    <row r="21" spans="1:8" x14ac:dyDescent="0.25">
      <c r="A21" s="13" t="s">
        <v>255</v>
      </c>
      <c r="B21" s="13" t="s">
        <v>255</v>
      </c>
      <c r="C21" s="534" t="s">
        <v>205</v>
      </c>
      <c r="D21" s="535" t="s">
        <v>463</v>
      </c>
      <c r="E21" s="476">
        <v>3.0503601932173358E-2</v>
      </c>
      <c r="F21" s="476">
        <v>1.2285012285012284E-2</v>
      </c>
      <c r="G21" s="476">
        <v>0</v>
      </c>
      <c r="H21" s="550">
        <v>74</v>
      </c>
    </row>
    <row r="22" spans="1:8" x14ac:dyDescent="0.25">
      <c r="A22" s="13" t="s">
        <v>223</v>
      </c>
      <c r="B22" s="13" t="s">
        <v>223</v>
      </c>
      <c r="C22" s="534" t="s">
        <v>205</v>
      </c>
      <c r="D22" s="535" t="s">
        <v>482</v>
      </c>
      <c r="E22" s="476">
        <v>0.50330943188086041</v>
      </c>
      <c r="F22" s="476">
        <v>0.20270270270270271</v>
      </c>
      <c r="G22" s="476">
        <v>2.2522522522522525E-2</v>
      </c>
      <c r="H22" s="550">
        <v>45</v>
      </c>
    </row>
    <row r="23" spans="1:8" x14ac:dyDescent="0.25">
      <c r="A23" s="13" t="s">
        <v>225</v>
      </c>
      <c r="B23" s="13" t="s">
        <v>225</v>
      </c>
      <c r="C23" s="534" t="s">
        <v>208</v>
      </c>
      <c r="D23" s="535" t="s">
        <v>469</v>
      </c>
      <c r="E23" s="476">
        <v>0.55300516643182884</v>
      </c>
      <c r="F23" s="476">
        <v>0.22271714922048999</v>
      </c>
      <c r="G23" s="476">
        <v>5.5679287305122498E-2</v>
      </c>
      <c r="H23" s="550">
        <v>73</v>
      </c>
    </row>
    <row r="24" spans="1:8" x14ac:dyDescent="0.25">
      <c r="A24" s="13" t="s">
        <v>279</v>
      </c>
      <c r="B24" s="13" t="s">
        <v>279</v>
      </c>
      <c r="C24" s="534" t="s">
        <v>205</v>
      </c>
      <c r="D24" s="535"/>
      <c r="E24" s="476">
        <v>2.4829931972789114</v>
      </c>
      <c r="F24" s="476">
        <v>1</v>
      </c>
      <c r="G24" s="476">
        <v>0</v>
      </c>
      <c r="H24" s="550">
        <v>0</v>
      </c>
    </row>
    <row r="25" spans="1:8" x14ac:dyDescent="0.25">
      <c r="A25" s="13" t="s">
        <v>265</v>
      </c>
      <c r="B25" s="13" t="s">
        <v>265</v>
      </c>
      <c r="C25" s="534" t="s">
        <v>204</v>
      </c>
      <c r="D25" s="535" t="s">
        <v>500</v>
      </c>
      <c r="E25" s="476">
        <v>0</v>
      </c>
      <c r="F25" s="476">
        <v>0</v>
      </c>
      <c r="G25" s="476">
        <v>0</v>
      </c>
      <c r="H25" s="550">
        <v>1</v>
      </c>
    </row>
    <row r="26" spans="1:8" x14ac:dyDescent="0.25">
      <c r="A26" s="13" t="s">
        <v>264</v>
      </c>
      <c r="B26" s="13" t="s">
        <v>264</v>
      </c>
      <c r="C26" s="534" t="s">
        <v>204</v>
      </c>
      <c r="D26" s="535" t="s">
        <v>499</v>
      </c>
      <c r="E26" s="476">
        <v>0.51729024943310653</v>
      </c>
      <c r="F26" s="476">
        <v>0.20833333333333331</v>
      </c>
      <c r="G26" s="476">
        <v>0.1388888888888889</v>
      </c>
      <c r="H26" s="550">
        <v>18</v>
      </c>
    </row>
    <row r="27" spans="1:8" x14ac:dyDescent="0.25">
      <c r="A27" s="13" t="s">
        <v>220</v>
      </c>
      <c r="B27" s="13" t="s">
        <v>220</v>
      </c>
      <c r="C27" s="534" t="s">
        <v>204</v>
      </c>
      <c r="D27" s="535" t="s">
        <v>471</v>
      </c>
      <c r="E27" s="476">
        <v>1.3008328331332533</v>
      </c>
      <c r="F27" s="476">
        <v>0.52389705882352944</v>
      </c>
      <c r="G27" s="476">
        <v>3.6764705882352942E-2</v>
      </c>
      <c r="H27" s="550">
        <v>100</v>
      </c>
    </row>
    <row r="28" spans="1:8" x14ac:dyDescent="0.25">
      <c r="A28" s="13" t="s">
        <v>229</v>
      </c>
      <c r="B28" s="13" t="s">
        <v>229</v>
      </c>
      <c r="C28" s="534" t="s">
        <v>208</v>
      </c>
      <c r="D28" s="535" t="s">
        <v>472</v>
      </c>
      <c r="E28" s="476">
        <v>0.54933477815905118</v>
      </c>
      <c r="F28" s="476">
        <v>0.22123893805309736</v>
      </c>
      <c r="G28" s="476">
        <v>5.8997050147492625E-2</v>
      </c>
      <c r="H28" s="550">
        <v>70</v>
      </c>
    </row>
    <row r="29" spans="1:8" x14ac:dyDescent="0.25">
      <c r="A29" s="13" t="s">
        <v>260</v>
      </c>
      <c r="B29" s="13" t="s">
        <v>260</v>
      </c>
      <c r="C29" s="534" t="s">
        <v>204</v>
      </c>
      <c r="D29" s="535" t="s">
        <v>485</v>
      </c>
      <c r="E29" s="476">
        <v>0.65588499550763701</v>
      </c>
      <c r="F29" s="476">
        <v>0.26415094339622641</v>
      </c>
      <c r="G29" s="476">
        <v>9.4339622641509441E-2</v>
      </c>
      <c r="H29" s="550">
        <v>48</v>
      </c>
    </row>
    <row r="30" spans="1:8" x14ac:dyDescent="0.25">
      <c r="A30" s="13" t="s">
        <v>278</v>
      </c>
      <c r="B30" s="13" t="s">
        <v>278</v>
      </c>
      <c r="C30" s="534" t="s">
        <v>207</v>
      </c>
      <c r="D30" s="535" t="s">
        <v>498</v>
      </c>
      <c r="E30" s="476">
        <v>1.7424513665115167</v>
      </c>
      <c r="F30" s="476">
        <v>0.70175438596491224</v>
      </c>
      <c r="G30" s="476">
        <v>0.17543859649122806</v>
      </c>
      <c r="H30" s="550">
        <v>14</v>
      </c>
    </row>
    <row r="31" spans="1:8" x14ac:dyDescent="0.25">
      <c r="A31" s="13" t="s">
        <v>233</v>
      </c>
      <c r="B31" s="13" t="s">
        <v>233</v>
      </c>
      <c r="C31" s="534" t="s">
        <v>204</v>
      </c>
      <c r="D31" s="535" t="s">
        <v>459</v>
      </c>
      <c r="E31" s="476">
        <v>0.79167899043675427</v>
      </c>
      <c r="F31" s="476">
        <v>0.3188405797101449</v>
      </c>
      <c r="G31" s="476">
        <v>4.3478260869565216E-2</v>
      </c>
      <c r="H31" s="550">
        <v>69</v>
      </c>
    </row>
    <row r="32" spans="1:8" x14ac:dyDescent="0.25">
      <c r="A32" s="13" t="s">
        <v>227</v>
      </c>
      <c r="B32" s="13" t="s">
        <v>227</v>
      </c>
      <c r="C32" s="534" t="s">
        <v>205</v>
      </c>
      <c r="D32" s="535" t="s">
        <v>452</v>
      </c>
      <c r="E32" s="476">
        <v>0.17627740751473001</v>
      </c>
      <c r="F32" s="476">
        <v>7.099391480730223E-2</v>
      </c>
      <c r="G32" s="476">
        <v>1.6903313049357674E-2</v>
      </c>
      <c r="H32" s="550">
        <v>287</v>
      </c>
    </row>
    <row r="33" spans="1:8" x14ac:dyDescent="0.25">
      <c r="A33" s="13" t="s">
        <v>232</v>
      </c>
      <c r="B33" s="13" t="s">
        <v>232</v>
      </c>
      <c r="C33" s="534" t="s">
        <v>207</v>
      </c>
      <c r="D33" s="535" t="s">
        <v>467</v>
      </c>
      <c r="E33" s="476">
        <v>0.60638651347428429</v>
      </c>
      <c r="F33" s="476">
        <v>0.2442159383033419</v>
      </c>
      <c r="G33" s="476">
        <v>3.5347043701799488E-2</v>
      </c>
      <c r="H33" s="550">
        <v>311</v>
      </c>
    </row>
    <row r="34" spans="1:8" x14ac:dyDescent="0.25">
      <c r="A34" s="13" t="s">
        <v>240</v>
      </c>
      <c r="B34" s="13" t="s">
        <v>240</v>
      </c>
      <c r="C34" s="534" t="s">
        <v>207</v>
      </c>
      <c r="D34" s="535" t="s">
        <v>456</v>
      </c>
      <c r="E34" s="476">
        <v>0.2927430350489606</v>
      </c>
      <c r="F34" s="476">
        <v>0.11789924973204716</v>
      </c>
      <c r="G34" s="476">
        <v>2.6795284030010719E-2</v>
      </c>
      <c r="H34" s="550">
        <v>190</v>
      </c>
    </row>
    <row r="35" spans="1:8" x14ac:dyDescent="0.25">
      <c r="A35" s="13" t="s">
        <v>236</v>
      </c>
      <c r="B35" s="13" t="s">
        <v>236</v>
      </c>
      <c r="C35" s="534" t="s">
        <v>207</v>
      </c>
      <c r="D35" s="535" t="s">
        <v>454</v>
      </c>
      <c r="E35" s="476" t="e">
        <v>#DIV/0!</v>
      </c>
      <c r="F35" s="476" t="e">
        <v>#DIV/0!</v>
      </c>
      <c r="G35" s="476" t="e">
        <v>#DIV/0!</v>
      </c>
      <c r="H35" s="550">
        <v>0</v>
      </c>
    </row>
    <row r="36" spans="1:8" x14ac:dyDescent="0.25">
      <c r="A36" s="13" t="s">
        <v>231</v>
      </c>
      <c r="B36" s="13" t="s">
        <v>231</v>
      </c>
      <c r="C36" s="534" t="s">
        <v>204</v>
      </c>
      <c r="D36" s="535" t="s">
        <v>470</v>
      </c>
      <c r="E36" s="476">
        <v>0.71255875418600112</v>
      </c>
      <c r="F36" s="476">
        <v>0.28697571743929362</v>
      </c>
      <c r="G36" s="476">
        <v>6.6225165562913912E-2</v>
      </c>
      <c r="H36" s="550">
        <v>87</v>
      </c>
    </row>
    <row r="37" spans="1:8" x14ac:dyDescent="0.25">
      <c r="A37" s="13" t="s">
        <v>226</v>
      </c>
      <c r="B37" s="13" t="s">
        <v>226</v>
      </c>
      <c r="C37" s="534" t="s">
        <v>208</v>
      </c>
      <c r="D37" s="535" t="s">
        <v>479</v>
      </c>
      <c r="E37" s="476">
        <v>0.98712267781730423</v>
      </c>
      <c r="F37" s="476">
        <v>0.39755351681957185</v>
      </c>
      <c r="G37" s="476">
        <v>9.1743119266055037E-2</v>
      </c>
      <c r="H37" s="550">
        <v>64</v>
      </c>
    </row>
    <row r="38" spans="1:8" x14ac:dyDescent="0.25">
      <c r="A38" s="13" t="s">
        <v>222</v>
      </c>
      <c r="B38" s="13" t="s">
        <v>222</v>
      </c>
      <c r="C38" s="534" t="s">
        <v>208</v>
      </c>
      <c r="D38" s="535" t="s">
        <v>475</v>
      </c>
      <c r="E38" s="476">
        <v>0.64388802522629796</v>
      </c>
      <c r="F38" s="476">
        <v>0.2593192868719611</v>
      </c>
      <c r="G38" s="476">
        <v>6.4829821717990274E-2</v>
      </c>
      <c r="H38" s="550">
        <v>103</v>
      </c>
    </row>
    <row r="39" spans="1:8" x14ac:dyDescent="0.25">
      <c r="A39" s="13" t="s">
        <v>250</v>
      </c>
      <c r="B39" s="13" t="s">
        <v>250</v>
      </c>
      <c r="C39" s="534" t="s">
        <v>205</v>
      </c>
      <c r="D39" s="535" t="s">
        <v>455</v>
      </c>
      <c r="E39" s="476">
        <v>6.9357351879299201E-2</v>
      </c>
      <c r="F39" s="476">
        <v>2.793296089385475E-2</v>
      </c>
      <c r="G39" s="476">
        <v>0</v>
      </c>
      <c r="H39" s="550">
        <v>38</v>
      </c>
    </row>
    <row r="40" spans="1:8" x14ac:dyDescent="0.25">
      <c r="A40" s="13" t="s">
        <v>274</v>
      </c>
      <c r="B40" s="13" t="s">
        <v>274</v>
      </c>
      <c r="C40" s="534" t="s">
        <v>205</v>
      </c>
      <c r="D40" s="535" t="s">
        <v>474</v>
      </c>
      <c r="E40" s="476">
        <v>0.25864512471655327</v>
      </c>
      <c r="F40" s="476">
        <v>0.10416666666666667</v>
      </c>
      <c r="G40" s="476">
        <v>0</v>
      </c>
      <c r="H40" s="550">
        <v>10</v>
      </c>
    </row>
    <row r="41" spans="1:8" x14ac:dyDescent="0.25">
      <c r="A41" s="13" t="s">
        <v>257</v>
      </c>
      <c r="B41" s="13" t="s">
        <v>257</v>
      </c>
      <c r="C41" s="534" t="s">
        <v>205</v>
      </c>
      <c r="D41" s="535" t="s">
        <v>497</v>
      </c>
      <c r="E41" s="476">
        <v>0.25336665278356235</v>
      </c>
      <c r="F41" s="476">
        <v>0.1020408163265306</v>
      </c>
      <c r="G41" s="476">
        <v>0.1020408163265306</v>
      </c>
      <c r="H41" s="550">
        <v>9</v>
      </c>
    </row>
    <row r="42" spans="1:8" x14ac:dyDescent="0.25">
      <c r="A42" s="13" t="s">
        <v>251</v>
      </c>
      <c r="B42" s="13" t="s">
        <v>251</v>
      </c>
      <c r="C42" s="534" t="s">
        <v>205</v>
      </c>
      <c r="D42" s="535" t="s">
        <v>453</v>
      </c>
      <c r="E42" s="476">
        <v>0</v>
      </c>
      <c r="F42" s="476">
        <v>0</v>
      </c>
      <c r="G42" s="476">
        <v>0</v>
      </c>
      <c r="H42" s="550">
        <v>9</v>
      </c>
    </row>
    <row r="43" spans="1:8" x14ac:dyDescent="0.25">
      <c r="A43" s="13" t="s">
        <v>234</v>
      </c>
      <c r="B43" s="13" t="s">
        <v>234</v>
      </c>
      <c r="C43" s="534" t="s">
        <v>208</v>
      </c>
      <c r="D43" s="535" t="s">
        <v>484</v>
      </c>
      <c r="E43" s="476">
        <v>0.87429337932356044</v>
      </c>
      <c r="F43" s="476">
        <v>0.35211267605633806</v>
      </c>
      <c r="G43" s="476">
        <v>0.21126760563380284</v>
      </c>
      <c r="H43" s="550">
        <v>0</v>
      </c>
    </row>
    <row r="44" spans="1:8" x14ac:dyDescent="0.25">
      <c r="A44" s="13" t="s">
        <v>248</v>
      </c>
      <c r="B44" s="13" t="s">
        <v>248</v>
      </c>
      <c r="C44" s="534" t="s">
        <v>207</v>
      </c>
      <c r="D44" s="535" t="s">
        <v>478</v>
      </c>
      <c r="E44" s="476">
        <v>0.26228801379706812</v>
      </c>
      <c r="F44" s="476">
        <v>0.10563380281690142</v>
      </c>
      <c r="G44" s="476">
        <v>0</v>
      </c>
      <c r="H44" s="550">
        <v>30</v>
      </c>
    </row>
    <row r="45" spans="1:8" x14ac:dyDescent="0.25">
      <c r="A45" s="13" t="s">
        <v>256</v>
      </c>
      <c r="B45" s="13" t="s">
        <v>256</v>
      </c>
      <c r="C45" s="534" t="s">
        <v>207</v>
      </c>
      <c r="D45" s="535" t="s">
        <v>496</v>
      </c>
      <c r="E45" s="476">
        <v>0.31833246118960407</v>
      </c>
      <c r="F45" s="476">
        <v>0.12820512820512822</v>
      </c>
      <c r="G45" s="476">
        <v>0.12820512820512822</v>
      </c>
      <c r="H45" s="550">
        <v>7</v>
      </c>
    </row>
    <row r="46" spans="1:8" x14ac:dyDescent="0.25">
      <c r="A46" s="13" t="s">
        <v>273</v>
      </c>
      <c r="B46" s="13" t="s">
        <v>273</v>
      </c>
      <c r="C46" s="534" t="s">
        <v>207</v>
      </c>
      <c r="D46" s="535" t="s">
        <v>464</v>
      </c>
      <c r="E46" s="476" t="e">
        <v>#DIV/0!</v>
      </c>
      <c r="F46" s="476" t="e">
        <v>#DIV/0!</v>
      </c>
      <c r="G46" s="476" t="e">
        <v>#DIV/0!</v>
      </c>
      <c r="H46" s="550">
        <v>0</v>
      </c>
    </row>
    <row r="47" spans="1:8" x14ac:dyDescent="0.25">
      <c r="A47" s="13" t="s">
        <v>252</v>
      </c>
      <c r="B47" s="13" t="s">
        <v>252</v>
      </c>
      <c r="C47" s="534" t="s">
        <v>207</v>
      </c>
      <c r="D47" s="535" t="s">
        <v>495</v>
      </c>
      <c r="E47" s="476">
        <v>0</v>
      </c>
      <c r="F47" s="476">
        <v>0</v>
      </c>
      <c r="G47" s="476">
        <v>0</v>
      </c>
      <c r="H47" s="550">
        <v>9</v>
      </c>
    </row>
    <row r="48" spans="1:8" x14ac:dyDescent="0.25">
      <c r="A48" s="13" t="s">
        <v>271</v>
      </c>
      <c r="B48" s="13" t="s">
        <v>271</v>
      </c>
      <c r="C48" s="534" t="s">
        <v>207</v>
      </c>
      <c r="D48" s="535" t="s">
        <v>494</v>
      </c>
      <c r="E48" s="476">
        <v>0</v>
      </c>
      <c r="F48" s="476">
        <v>0</v>
      </c>
      <c r="G48" s="476">
        <v>0</v>
      </c>
      <c r="H48" s="550">
        <v>10</v>
      </c>
    </row>
    <row r="49" spans="1:8" x14ac:dyDescent="0.25">
      <c r="A49" s="13" t="s">
        <v>242</v>
      </c>
      <c r="B49" s="13" t="s">
        <v>242</v>
      </c>
      <c r="C49" s="534" t="s">
        <v>207</v>
      </c>
      <c r="D49" s="535" t="s">
        <v>493</v>
      </c>
      <c r="E49" s="476">
        <v>0</v>
      </c>
      <c r="F49" s="476">
        <v>0</v>
      </c>
      <c r="G49" s="476">
        <v>0</v>
      </c>
      <c r="H49" s="550">
        <v>12</v>
      </c>
    </row>
    <row r="50" spans="1:8" x14ac:dyDescent="0.25">
      <c r="A50" s="13" t="s">
        <v>275</v>
      </c>
      <c r="B50" s="13" t="s">
        <v>275</v>
      </c>
      <c r="C50" s="534" t="s">
        <v>207</v>
      </c>
      <c r="D50" s="535" t="s">
        <v>492</v>
      </c>
      <c r="E50" s="476">
        <v>0.35136696187909122</v>
      </c>
      <c r="F50" s="476">
        <v>0.14150943396226415</v>
      </c>
      <c r="G50" s="476">
        <v>9.4339622641509441E-2</v>
      </c>
      <c r="H50" s="550">
        <v>24</v>
      </c>
    </row>
    <row r="51" spans="1:8" x14ac:dyDescent="0.25">
      <c r="A51" s="13" t="s">
        <v>246</v>
      </c>
      <c r="B51" s="13" t="s">
        <v>246</v>
      </c>
      <c r="C51" s="534" t="s">
        <v>207</v>
      </c>
      <c r="D51" s="535" t="s">
        <v>491</v>
      </c>
      <c r="E51" s="476">
        <v>0</v>
      </c>
      <c r="F51" s="476">
        <v>0</v>
      </c>
      <c r="G51" s="476">
        <v>0</v>
      </c>
      <c r="H51" s="550">
        <v>13</v>
      </c>
    </row>
    <row r="52" spans="1:8" x14ac:dyDescent="0.25">
      <c r="A52" s="13" t="s">
        <v>241</v>
      </c>
      <c r="B52" s="13" t="s">
        <v>241</v>
      </c>
      <c r="C52" s="534" t="s">
        <v>204</v>
      </c>
      <c r="D52" s="535" t="s">
        <v>481</v>
      </c>
      <c r="E52" s="476">
        <v>0.8276643990929704</v>
      </c>
      <c r="F52" s="476">
        <v>0.33333333333333331</v>
      </c>
      <c r="G52" s="476">
        <v>0</v>
      </c>
      <c r="H52" s="550">
        <v>29</v>
      </c>
    </row>
    <row r="53" spans="1:8" x14ac:dyDescent="0.25">
      <c r="A53" s="13" t="s">
        <v>258</v>
      </c>
      <c r="B53" s="13" t="s">
        <v>258</v>
      </c>
      <c r="C53" s="534" t="s">
        <v>208</v>
      </c>
      <c r="D53" s="535"/>
      <c r="E53" s="476" t="e">
        <v>#DIV/0!</v>
      </c>
      <c r="F53" s="476" t="e">
        <v>#DIV/0!</v>
      </c>
      <c r="G53" s="476" t="e">
        <v>#DIV/0!</v>
      </c>
      <c r="H53" s="550">
        <v>0</v>
      </c>
    </row>
    <row r="54" spans="1:8" x14ac:dyDescent="0.25">
      <c r="A54" s="13" t="s">
        <v>253</v>
      </c>
      <c r="B54" s="13" t="s">
        <v>253</v>
      </c>
      <c r="C54" s="534" t="s">
        <v>208</v>
      </c>
      <c r="D54" s="535" t="s">
        <v>489</v>
      </c>
      <c r="E54" s="476">
        <v>1.0442494754911311</v>
      </c>
      <c r="F54" s="476">
        <v>0.42056074766355145</v>
      </c>
      <c r="G54" s="476">
        <v>9.3457943925233655E-2</v>
      </c>
      <c r="H54" s="129">
        <v>22</v>
      </c>
    </row>
    <row r="55" spans="1:8" x14ac:dyDescent="0.25">
      <c r="A55" s="13" t="s">
        <v>270</v>
      </c>
      <c r="B55" s="13" t="s">
        <v>270</v>
      </c>
      <c r="C55" s="534" t="s">
        <v>208</v>
      </c>
      <c r="D55" s="535" t="s">
        <v>490</v>
      </c>
      <c r="E55" s="476">
        <v>0.2069160997732426</v>
      </c>
      <c r="F55" s="476">
        <v>8.3333333333333329E-2</v>
      </c>
      <c r="G55" s="476">
        <v>0</v>
      </c>
      <c r="H55" s="129">
        <v>9</v>
      </c>
    </row>
    <row r="56" spans="1:8" x14ac:dyDescent="0.25">
      <c r="A56" s="13" t="s">
        <v>272</v>
      </c>
      <c r="B56" s="13" t="s">
        <v>272</v>
      </c>
      <c r="C56" s="534" t="s">
        <v>208</v>
      </c>
      <c r="D56" s="535" t="s">
        <v>473</v>
      </c>
      <c r="E56" s="476">
        <v>0.21405113769645789</v>
      </c>
      <c r="F56" s="476">
        <v>8.6206896551724144E-2</v>
      </c>
      <c r="G56" s="476">
        <v>8.6206896551724144E-2</v>
      </c>
      <c r="H56" s="129">
        <v>11</v>
      </c>
    </row>
    <row r="57" spans="1:8" x14ac:dyDescent="0.25">
      <c r="A57" s="13" t="s">
        <v>268</v>
      </c>
      <c r="B57" s="13" t="s">
        <v>268</v>
      </c>
      <c r="C57" s="534" t="s">
        <v>207</v>
      </c>
      <c r="D57" s="535" t="s">
        <v>450</v>
      </c>
      <c r="E57" s="476" t="e">
        <v>#DIV/0!</v>
      </c>
      <c r="F57" s="476" t="e">
        <v>#DIV/0!</v>
      </c>
      <c r="G57" s="476" t="e">
        <v>#DIV/0!</v>
      </c>
      <c r="H57" s="129">
        <v>0</v>
      </c>
    </row>
    <row r="58" spans="1:8" x14ac:dyDescent="0.25">
      <c r="A58" s="13" t="s">
        <v>239</v>
      </c>
      <c r="B58" s="13" t="s">
        <v>239</v>
      </c>
      <c r="C58" s="534" t="s">
        <v>208</v>
      </c>
      <c r="D58" s="535" t="s">
        <v>483</v>
      </c>
      <c r="E58" s="476">
        <v>0.19706295216499295</v>
      </c>
      <c r="F58" s="476">
        <v>7.9365079365079361E-2</v>
      </c>
      <c r="G58" s="476">
        <v>0</v>
      </c>
      <c r="H58" s="129">
        <v>11</v>
      </c>
    </row>
    <row r="59" spans="1:8" x14ac:dyDescent="0.25">
      <c r="A59" s="13" t="s">
        <v>261</v>
      </c>
      <c r="B59" s="13" t="s">
        <v>261</v>
      </c>
      <c r="C59" s="534" t="s">
        <v>205</v>
      </c>
      <c r="D59" s="535" t="s">
        <v>486</v>
      </c>
      <c r="E59" s="476">
        <v>0.56431663574520707</v>
      </c>
      <c r="F59" s="476">
        <v>0.22727272727272727</v>
      </c>
      <c r="G59" s="476">
        <v>5.6818181818181816E-2</v>
      </c>
      <c r="H59" s="129">
        <v>19</v>
      </c>
    </row>
    <row r="60" spans="1:8" x14ac:dyDescent="0.25">
      <c r="A60" s="13" t="s">
        <v>267</v>
      </c>
      <c r="B60" s="13" t="s">
        <v>267</v>
      </c>
      <c r="C60" s="534" t="s">
        <v>205</v>
      </c>
      <c r="D60" s="535" t="s">
        <v>458</v>
      </c>
      <c r="E60" s="476">
        <v>0.21973391126362049</v>
      </c>
      <c r="F60" s="476">
        <v>8.8495575221238937E-2</v>
      </c>
      <c r="G60" s="476">
        <v>4.4247787610619468E-2</v>
      </c>
      <c r="H60" s="129">
        <v>26</v>
      </c>
    </row>
    <row r="61" spans="1:8" x14ac:dyDescent="0.25">
      <c r="A61" s="13" t="s">
        <v>277</v>
      </c>
      <c r="B61" s="13" t="s">
        <v>277</v>
      </c>
      <c r="C61" s="534" t="s">
        <v>205</v>
      </c>
      <c r="D61" s="535"/>
      <c r="E61" s="476">
        <v>0</v>
      </c>
      <c r="F61" s="476">
        <v>0</v>
      </c>
      <c r="G61" s="476">
        <v>0</v>
      </c>
      <c r="H61" s="129">
        <v>8</v>
      </c>
    </row>
    <row r="62" spans="1:8" x14ac:dyDescent="0.25">
      <c r="A62" s="13" t="s">
        <v>276</v>
      </c>
      <c r="B62" s="13" t="s">
        <v>276</v>
      </c>
      <c r="C62" s="534" t="s">
        <v>205</v>
      </c>
      <c r="D62" s="535"/>
      <c r="E62" s="476" t="e">
        <v>#DIV/0!</v>
      </c>
      <c r="F62" s="476" t="e">
        <v>#DIV/0!</v>
      </c>
      <c r="G62" s="476" t="e">
        <v>#DIV/0!</v>
      </c>
      <c r="H62" s="129">
        <v>0</v>
      </c>
    </row>
    <row r="63" spans="1:8" x14ac:dyDescent="0.25">
      <c r="A63" s="13" t="s">
        <v>280</v>
      </c>
      <c r="B63" s="13" t="s">
        <v>280</v>
      </c>
      <c r="C63" s="534" t="s">
        <v>205</v>
      </c>
      <c r="D63" s="535"/>
      <c r="E63" s="476" t="e">
        <v>#DIV/0!</v>
      </c>
      <c r="F63" s="476" t="e">
        <v>#DIV/0!</v>
      </c>
      <c r="G63" s="476" t="e">
        <v>#DIV/0!</v>
      </c>
      <c r="H63" s="129">
        <v>0</v>
      </c>
    </row>
    <row r="64" spans="1:8" x14ac:dyDescent="0.25">
      <c r="A64" s="13" t="s">
        <v>269</v>
      </c>
      <c r="B64" s="13" t="s">
        <v>269</v>
      </c>
      <c r="C64" s="534" t="s">
        <v>217</v>
      </c>
      <c r="D64" s="535"/>
      <c r="E64" s="476">
        <v>0</v>
      </c>
      <c r="F64" s="476">
        <v>0</v>
      </c>
      <c r="G64" s="476">
        <v>0</v>
      </c>
      <c r="H64" s="129">
        <v>14</v>
      </c>
    </row>
    <row r="65" spans="1:8" x14ac:dyDescent="0.25">
      <c r="A65" s="13" t="s">
        <v>244</v>
      </c>
      <c r="B65" s="13" t="s">
        <v>244</v>
      </c>
      <c r="C65" s="536" t="s">
        <v>217</v>
      </c>
      <c r="D65" s="535"/>
      <c r="E65" s="475">
        <v>0</v>
      </c>
      <c r="F65" s="475">
        <v>0</v>
      </c>
      <c r="G65" s="475">
        <v>0</v>
      </c>
      <c r="H65" s="129">
        <v>15</v>
      </c>
    </row>
    <row r="66" spans="1:8" ht="15.75" thickBot="1" x14ac:dyDescent="0.3">
      <c r="A66" s="13" t="s">
        <v>318</v>
      </c>
      <c r="B66" s="13" t="s">
        <v>318</v>
      </c>
      <c r="C66" s="551" t="s">
        <v>207</v>
      </c>
      <c r="D66" s="537"/>
      <c r="E66" s="527">
        <v>0.39205155746509124</v>
      </c>
      <c r="F66" s="527">
        <v>0.15789473684210525</v>
      </c>
      <c r="G66" s="527">
        <v>5.2631578947368418E-2</v>
      </c>
      <c r="H66" s="552">
        <v>18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B1:V91"/>
  <sheetViews>
    <sheetView topLeftCell="J1" zoomScaleNormal="100" workbookViewId="0">
      <pane ySplit="1" topLeftCell="A2" activePane="bottomLeft" state="frozen"/>
      <selection pane="bottomLeft" activeCell="L3" sqref="L3"/>
    </sheetView>
  </sheetViews>
  <sheetFormatPr defaultColWidth="8.85546875" defaultRowHeight="15" x14ac:dyDescent="0.25"/>
  <cols>
    <col min="1" max="1" width="6.7109375" bestFit="1" customWidth="1"/>
    <col min="2" max="2" width="8.140625" style="1" bestFit="1" customWidth="1"/>
    <col min="3" max="3" width="7.7109375" style="1" bestFit="1" customWidth="1"/>
    <col min="4" max="4" width="6.140625" style="1" bestFit="1" customWidth="1"/>
    <col min="5" max="5" width="17" style="1" customWidth="1"/>
    <col min="6" max="6" width="15.42578125" style="1" bestFit="1" customWidth="1"/>
    <col min="7" max="7" width="14.42578125" style="1" bestFit="1" customWidth="1"/>
    <col min="8" max="8" width="5.28515625" bestFit="1" customWidth="1"/>
    <col min="9" max="9" width="10.7109375" bestFit="1" customWidth="1"/>
    <col min="10" max="10" width="10.140625" customWidth="1"/>
    <col min="11" max="11" width="8.42578125" customWidth="1"/>
    <col min="12" max="12" width="9.85546875" customWidth="1"/>
    <col min="13" max="13" width="9.85546875" style="1" customWidth="1"/>
    <col min="14" max="14" width="22.7109375" customWidth="1"/>
    <col min="15" max="15" width="28.7109375" customWidth="1"/>
    <col min="16" max="16" width="13.42578125" customWidth="1"/>
    <col min="17" max="17" width="11.42578125" customWidth="1"/>
    <col min="18" max="18" width="9" customWidth="1"/>
    <col min="19" max="19" width="13.7109375" customWidth="1"/>
    <col min="20" max="20" width="12.28515625" customWidth="1"/>
    <col min="21" max="21" width="29.28515625" customWidth="1"/>
    <col min="22" max="22" width="39.28515625" customWidth="1"/>
  </cols>
  <sheetData>
    <row r="1" spans="2:22" s="13" customFormat="1" ht="15.75" thickBot="1" x14ac:dyDescent="0.3">
      <c r="B1" s="14" t="s">
        <v>2</v>
      </c>
      <c r="C1" s="14" t="s">
        <v>30</v>
      </c>
      <c r="D1" s="14" t="s">
        <v>31</v>
      </c>
      <c r="E1" s="14" t="s">
        <v>32</v>
      </c>
      <c r="F1" s="14" t="s">
        <v>33</v>
      </c>
      <c r="G1" s="14" t="s">
        <v>34</v>
      </c>
      <c r="H1" s="13" t="s">
        <v>35</v>
      </c>
      <c r="I1" s="13" t="s">
        <v>36</v>
      </c>
      <c r="J1" s="13" t="s">
        <v>1</v>
      </c>
      <c r="L1" s="469" t="s">
        <v>1</v>
      </c>
      <c r="M1" s="115" t="s">
        <v>2</v>
      </c>
      <c r="N1" s="27" t="s">
        <v>32</v>
      </c>
      <c r="O1" s="27" t="s">
        <v>77</v>
      </c>
      <c r="P1" s="473"/>
      <c r="R1" s="13" t="s">
        <v>1</v>
      </c>
      <c r="S1" s="13" t="s">
        <v>0</v>
      </c>
    </row>
    <row r="2" spans="2:22" x14ac:dyDescent="0.25">
      <c r="B2" s="1">
        <v>3012</v>
      </c>
      <c r="L2" s="25"/>
      <c r="M2" s="468"/>
      <c r="N2" s="26"/>
      <c r="O2" s="287" t="s">
        <v>207</v>
      </c>
      <c r="P2" s="288" t="s">
        <v>207</v>
      </c>
    </row>
    <row r="3" spans="2:22" x14ac:dyDescent="0.25">
      <c r="B3" s="1">
        <v>1326</v>
      </c>
      <c r="L3" s="471" t="s">
        <v>207</v>
      </c>
      <c r="M3" s="147">
        <v>1090</v>
      </c>
      <c r="N3" s="31" t="s">
        <v>620</v>
      </c>
      <c r="O3" s="31" t="s">
        <v>567</v>
      </c>
      <c r="P3" s="441" t="s">
        <v>249</v>
      </c>
      <c r="Q3" s="2" t="s">
        <v>207</v>
      </c>
      <c r="R3" t="s">
        <v>207</v>
      </c>
      <c r="S3" t="s">
        <v>3</v>
      </c>
      <c r="U3" t="s">
        <v>567</v>
      </c>
      <c r="V3" t="s">
        <v>620</v>
      </c>
    </row>
    <row r="4" spans="2:22" x14ac:dyDescent="0.25">
      <c r="B4" s="1">
        <v>3013</v>
      </c>
      <c r="L4" s="471" t="s">
        <v>207</v>
      </c>
      <c r="M4" s="147">
        <v>1105</v>
      </c>
      <c r="N4" s="31" t="s">
        <v>621</v>
      </c>
      <c r="O4" s="31" t="s">
        <v>568</v>
      </c>
      <c r="P4" s="441" t="s">
        <v>238</v>
      </c>
      <c r="Q4" s="2" t="s">
        <v>207</v>
      </c>
      <c r="R4" t="s">
        <v>204</v>
      </c>
      <c r="S4" t="s">
        <v>5</v>
      </c>
      <c r="U4" t="s">
        <v>568</v>
      </c>
      <c r="V4" t="s">
        <v>621</v>
      </c>
    </row>
    <row r="5" spans="2:22" x14ac:dyDescent="0.25">
      <c r="B5" s="1">
        <v>3043</v>
      </c>
      <c r="L5" s="471" t="s">
        <v>207</v>
      </c>
      <c r="M5" s="147">
        <v>1315</v>
      </c>
      <c r="N5" s="31" t="s">
        <v>622</v>
      </c>
      <c r="O5" s="31" t="s">
        <v>569</v>
      </c>
      <c r="P5" s="441" t="s">
        <v>243</v>
      </c>
      <c r="Q5" s="2" t="s">
        <v>207</v>
      </c>
      <c r="R5" t="s">
        <v>208</v>
      </c>
      <c r="U5" t="s">
        <v>569</v>
      </c>
      <c r="V5" t="s">
        <v>622</v>
      </c>
    </row>
    <row r="6" spans="2:22" x14ac:dyDescent="0.25">
      <c r="B6" s="1">
        <v>3047</v>
      </c>
      <c r="L6" s="471" t="s">
        <v>207</v>
      </c>
      <c r="M6" s="147">
        <v>1336</v>
      </c>
      <c r="N6" s="31" t="s">
        <v>623</v>
      </c>
      <c r="O6" s="31" t="s">
        <v>602</v>
      </c>
      <c r="P6" s="441" t="s">
        <v>247</v>
      </c>
      <c r="Q6" s="2" t="s">
        <v>207</v>
      </c>
      <c r="R6" s="1" t="s">
        <v>205</v>
      </c>
      <c r="U6" t="s">
        <v>602</v>
      </c>
      <c r="V6" t="s">
        <v>623</v>
      </c>
    </row>
    <row r="7" spans="2:22" x14ac:dyDescent="0.25">
      <c r="B7" s="1">
        <v>3048</v>
      </c>
      <c r="L7" s="471" t="s">
        <v>207</v>
      </c>
      <c r="M7" s="147">
        <v>1461</v>
      </c>
      <c r="N7" s="31" t="s">
        <v>624</v>
      </c>
      <c r="O7" s="31" t="s">
        <v>603</v>
      </c>
      <c r="P7" s="441" t="s">
        <v>318</v>
      </c>
      <c r="Q7" s="2" t="s">
        <v>207</v>
      </c>
      <c r="U7" t="s">
        <v>603</v>
      </c>
      <c r="V7" t="s">
        <v>624</v>
      </c>
    </row>
    <row r="8" spans="2:22" x14ac:dyDescent="0.25">
      <c r="B8" s="1">
        <v>3049</v>
      </c>
      <c r="L8" s="471" t="s">
        <v>207</v>
      </c>
      <c r="M8" s="147">
        <v>3082</v>
      </c>
      <c r="N8" s="31" t="s">
        <v>625</v>
      </c>
      <c r="O8" s="31" t="s">
        <v>604</v>
      </c>
      <c r="P8" s="441" t="s">
        <v>278</v>
      </c>
      <c r="Q8" s="2" t="s">
        <v>207</v>
      </c>
      <c r="U8" t="s">
        <v>604</v>
      </c>
      <c r="V8" t="s">
        <v>625</v>
      </c>
    </row>
    <row r="9" spans="2:22" x14ac:dyDescent="0.25">
      <c r="B9" s="1">
        <v>3063</v>
      </c>
      <c r="L9" s="471" t="s">
        <v>207</v>
      </c>
      <c r="M9" s="147">
        <v>5910</v>
      </c>
      <c r="N9" s="31" t="s">
        <v>626</v>
      </c>
      <c r="O9" s="31" t="s">
        <v>570</v>
      </c>
      <c r="P9" s="441" t="s">
        <v>232</v>
      </c>
      <c r="Q9" s="2" t="s">
        <v>207</v>
      </c>
      <c r="R9" s="1"/>
      <c r="U9" t="s">
        <v>570</v>
      </c>
      <c r="V9" t="s">
        <v>626</v>
      </c>
    </row>
    <row r="10" spans="2:22" x14ac:dyDescent="0.25">
      <c r="B10" s="1">
        <v>3079</v>
      </c>
      <c r="L10" s="471" t="s">
        <v>207</v>
      </c>
      <c r="M10" s="147">
        <v>6869</v>
      </c>
      <c r="N10" s="31" t="s">
        <v>627</v>
      </c>
      <c r="O10" s="31" t="s">
        <v>571</v>
      </c>
      <c r="P10" s="441" t="s">
        <v>240</v>
      </c>
      <c r="Q10" s="2" t="s">
        <v>207</v>
      </c>
      <c r="U10" t="s">
        <v>571</v>
      </c>
      <c r="V10" t="s">
        <v>627</v>
      </c>
    </row>
    <row r="11" spans="2:22" x14ac:dyDescent="0.25">
      <c r="B11" s="1">
        <v>6978</v>
      </c>
      <c r="L11" s="471" t="s">
        <v>207</v>
      </c>
      <c r="M11" s="147">
        <v>6897</v>
      </c>
      <c r="N11" s="31" t="s">
        <v>38</v>
      </c>
      <c r="O11" s="31" t="s">
        <v>605</v>
      </c>
      <c r="P11" s="441" t="s">
        <v>256</v>
      </c>
      <c r="Q11" s="2" t="s">
        <v>207</v>
      </c>
      <c r="U11" t="s">
        <v>605</v>
      </c>
      <c r="V11" t="s">
        <v>38</v>
      </c>
    </row>
    <row r="12" spans="2:22" x14ac:dyDescent="0.25">
      <c r="B12" s="1">
        <v>6979</v>
      </c>
      <c r="L12" s="471" t="s">
        <v>207</v>
      </c>
      <c r="M12" s="147">
        <v>6907</v>
      </c>
      <c r="N12" s="31" t="s">
        <v>628</v>
      </c>
      <c r="O12" s="31" t="s">
        <v>606</v>
      </c>
      <c r="P12" s="441" t="s">
        <v>252</v>
      </c>
      <c r="Q12" s="2" t="s">
        <v>207</v>
      </c>
      <c r="U12" t="s">
        <v>606</v>
      </c>
      <c r="V12" t="s">
        <v>628</v>
      </c>
    </row>
    <row r="13" spans="2:22" x14ac:dyDescent="0.25">
      <c r="B13" s="1">
        <v>10000</v>
      </c>
      <c r="L13" s="471" t="s">
        <v>207</v>
      </c>
      <c r="M13" s="147">
        <v>6908</v>
      </c>
      <c r="N13" s="31" t="s">
        <v>629</v>
      </c>
      <c r="O13" s="31" t="s">
        <v>607</v>
      </c>
      <c r="P13" s="441" t="s">
        <v>271</v>
      </c>
      <c r="Q13" s="2" t="s">
        <v>207</v>
      </c>
      <c r="U13" t="s">
        <v>607</v>
      </c>
      <c r="V13" t="s">
        <v>629</v>
      </c>
    </row>
    <row r="14" spans="2:22" x14ac:dyDescent="0.25">
      <c r="L14" s="471" t="s">
        <v>207</v>
      </c>
      <c r="M14" s="147">
        <v>6911</v>
      </c>
      <c r="N14" s="31" t="s">
        <v>630</v>
      </c>
      <c r="O14" s="31" t="s">
        <v>608</v>
      </c>
      <c r="P14" s="441" t="s">
        <v>242</v>
      </c>
      <c r="Q14" s="2" t="s">
        <v>207</v>
      </c>
      <c r="U14" t="s">
        <v>608</v>
      </c>
      <c r="V14" t="s">
        <v>630</v>
      </c>
    </row>
    <row r="15" spans="2:22" x14ac:dyDescent="0.25">
      <c r="B15" s="1">
        <v>10063</v>
      </c>
      <c r="L15" s="471" t="s">
        <v>207</v>
      </c>
      <c r="M15" s="147">
        <v>6913</v>
      </c>
      <c r="N15" s="31" t="s">
        <v>631</v>
      </c>
      <c r="O15" s="31" t="s">
        <v>609</v>
      </c>
      <c r="P15" s="441" t="s">
        <v>275</v>
      </c>
      <c r="Q15" s="2" t="s">
        <v>207</v>
      </c>
      <c r="U15" t="s">
        <v>609</v>
      </c>
      <c r="V15" t="s">
        <v>631</v>
      </c>
    </row>
    <row r="16" spans="2:22" ht="15.75" thickBot="1" x14ac:dyDescent="0.3">
      <c r="B16" s="1">
        <v>1078</v>
      </c>
      <c r="L16" s="471" t="s">
        <v>207</v>
      </c>
      <c r="M16" s="147">
        <v>6914</v>
      </c>
      <c r="N16" s="31" t="s">
        <v>632</v>
      </c>
      <c r="O16" s="31" t="s">
        <v>610</v>
      </c>
      <c r="P16" s="441" t="s">
        <v>246</v>
      </c>
      <c r="Q16" s="2" t="s">
        <v>207</v>
      </c>
      <c r="U16" t="s">
        <v>610</v>
      </c>
      <c r="V16" t="s">
        <v>632</v>
      </c>
    </row>
    <row r="17" spans="2:22" x14ac:dyDescent="0.25">
      <c r="L17" s="25"/>
      <c r="M17" s="468"/>
      <c r="N17" s="26"/>
      <c r="O17" s="287" t="s">
        <v>204</v>
      </c>
      <c r="P17" s="288" t="s">
        <v>204</v>
      </c>
    </row>
    <row r="18" spans="2:22" x14ac:dyDescent="0.25">
      <c r="L18" s="471" t="s">
        <v>204</v>
      </c>
      <c r="M18" s="147">
        <v>1079</v>
      </c>
      <c r="N18" s="31" t="s">
        <v>633</v>
      </c>
      <c r="O18" s="31" t="s">
        <v>572</v>
      </c>
      <c r="P18" s="441" t="s">
        <v>219</v>
      </c>
      <c r="Q18" s="2" t="s">
        <v>204</v>
      </c>
      <c r="U18" t="s">
        <v>572</v>
      </c>
      <c r="V18" t="s">
        <v>633</v>
      </c>
    </row>
    <row r="19" spans="2:22" x14ac:dyDescent="0.25">
      <c r="B19" s="1">
        <v>1080</v>
      </c>
      <c r="L19" s="471" t="s">
        <v>204</v>
      </c>
      <c r="M19" s="147">
        <v>1080</v>
      </c>
      <c r="N19" s="31" t="s">
        <v>634</v>
      </c>
      <c r="O19" s="31" t="s">
        <v>573</v>
      </c>
      <c r="P19" s="441" t="s">
        <v>235</v>
      </c>
      <c r="Q19" s="2" t="s">
        <v>204</v>
      </c>
      <c r="U19" t="s">
        <v>573</v>
      </c>
      <c r="V19" t="s">
        <v>634</v>
      </c>
    </row>
    <row r="20" spans="2:22" x14ac:dyDescent="0.25">
      <c r="B20" s="1">
        <v>1105</v>
      </c>
      <c r="L20" s="471" t="s">
        <v>204</v>
      </c>
      <c r="M20" s="147">
        <v>1127</v>
      </c>
      <c r="N20" s="31" t="s">
        <v>635</v>
      </c>
      <c r="O20" s="31" t="s">
        <v>574</v>
      </c>
      <c r="P20" s="441" t="s">
        <v>245</v>
      </c>
      <c r="Q20" s="2" t="s">
        <v>204</v>
      </c>
      <c r="U20" t="s">
        <v>574</v>
      </c>
      <c r="V20" t="s">
        <v>635</v>
      </c>
    </row>
    <row r="21" spans="2:22" x14ac:dyDescent="0.25">
      <c r="B21" s="1">
        <v>1127</v>
      </c>
      <c r="L21" s="471" t="s">
        <v>204</v>
      </c>
      <c r="M21" s="147">
        <v>1338</v>
      </c>
      <c r="N21" s="31" t="s">
        <v>636</v>
      </c>
      <c r="O21" s="31" t="s">
        <v>611</v>
      </c>
      <c r="P21" s="441" t="s">
        <v>254</v>
      </c>
      <c r="Q21" s="2" t="s">
        <v>204</v>
      </c>
      <c r="U21" t="s">
        <v>611</v>
      </c>
      <c r="V21" t="s">
        <v>636</v>
      </c>
    </row>
    <row r="22" spans="2:22" x14ac:dyDescent="0.25">
      <c r="L22" s="471" t="s">
        <v>204</v>
      </c>
      <c r="M22" s="147">
        <v>3053</v>
      </c>
      <c r="N22" s="31" t="s">
        <v>637</v>
      </c>
      <c r="O22" s="31" t="s">
        <v>612</v>
      </c>
      <c r="P22" s="441" t="s">
        <v>265</v>
      </c>
      <c r="Q22" s="2" t="s">
        <v>204</v>
      </c>
      <c r="U22" t="s">
        <v>612</v>
      </c>
      <c r="V22" t="s">
        <v>637</v>
      </c>
    </row>
    <row r="23" spans="2:22" x14ac:dyDescent="0.25">
      <c r="L23" s="471" t="s">
        <v>204</v>
      </c>
      <c r="M23" s="147">
        <v>3084</v>
      </c>
      <c r="N23" s="31" t="s">
        <v>638</v>
      </c>
      <c r="O23" s="31" t="s">
        <v>613</v>
      </c>
      <c r="P23" s="441" t="s">
        <v>324</v>
      </c>
      <c r="Q23" s="2" t="s">
        <v>204</v>
      </c>
      <c r="U23" t="s">
        <v>613</v>
      </c>
      <c r="V23" t="s">
        <v>638</v>
      </c>
    </row>
    <row r="24" spans="2:22" x14ac:dyDescent="0.25">
      <c r="B24" s="1">
        <v>1139</v>
      </c>
      <c r="L24" s="471" t="s">
        <v>204</v>
      </c>
      <c r="M24" s="147">
        <v>3059</v>
      </c>
      <c r="N24" s="31" t="s">
        <v>639</v>
      </c>
      <c r="O24" s="31" t="s">
        <v>575</v>
      </c>
      <c r="P24" s="441" t="s">
        <v>220</v>
      </c>
      <c r="Q24" s="2" t="s">
        <v>204</v>
      </c>
      <c r="U24" t="s">
        <v>575</v>
      </c>
      <c r="V24" t="s">
        <v>639</v>
      </c>
    </row>
    <row r="25" spans="2:22" x14ac:dyDescent="0.25">
      <c r="B25" s="1">
        <v>1165</v>
      </c>
      <c r="L25" s="471" t="s">
        <v>204</v>
      </c>
      <c r="M25" s="147">
        <v>3077</v>
      </c>
      <c r="N25" s="31" t="s">
        <v>640</v>
      </c>
      <c r="O25" s="31" t="s">
        <v>576</v>
      </c>
      <c r="P25" s="441" t="s">
        <v>260</v>
      </c>
      <c r="Q25" s="2" t="s">
        <v>204</v>
      </c>
      <c r="U25" t="s">
        <v>576</v>
      </c>
      <c r="V25" t="s">
        <v>640</v>
      </c>
    </row>
    <row r="26" spans="2:22" x14ac:dyDescent="0.25">
      <c r="B26" s="1">
        <v>1170</v>
      </c>
      <c r="L26" s="471" t="s">
        <v>204</v>
      </c>
      <c r="M26" s="147">
        <v>5101</v>
      </c>
      <c r="N26" s="31" t="s">
        <v>641</v>
      </c>
      <c r="O26" s="31" t="s">
        <v>577</v>
      </c>
      <c r="P26" s="441" t="s">
        <v>233</v>
      </c>
      <c r="Q26" s="2" t="s">
        <v>204</v>
      </c>
      <c r="U26" t="s">
        <v>577</v>
      </c>
      <c r="V26" t="s">
        <v>641</v>
      </c>
    </row>
    <row r="27" spans="2:22" x14ac:dyDescent="0.25">
      <c r="L27" s="471" t="s">
        <v>204</v>
      </c>
      <c r="M27" s="147">
        <v>6874</v>
      </c>
      <c r="N27" s="31" t="s">
        <v>642</v>
      </c>
      <c r="O27" s="31" t="s">
        <v>578</v>
      </c>
      <c r="P27" s="441" t="s">
        <v>231</v>
      </c>
      <c r="Q27" s="2" t="s">
        <v>204</v>
      </c>
      <c r="U27" t="s">
        <v>578</v>
      </c>
      <c r="V27" t="s">
        <v>642</v>
      </c>
    </row>
    <row r="28" spans="2:22" ht="15.75" thickBot="1" x14ac:dyDescent="0.3">
      <c r="B28" s="1">
        <v>1214</v>
      </c>
      <c r="L28" s="472" t="s">
        <v>204</v>
      </c>
      <c r="M28" s="467">
        <v>6917</v>
      </c>
      <c r="N28" s="35" t="s">
        <v>643</v>
      </c>
      <c r="O28" s="35" t="s">
        <v>579</v>
      </c>
      <c r="P28" s="442" t="s">
        <v>241</v>
      </c>
      <c r="Q28" s="2" t="s">
        <v>204</v>
      </c>
      <c r="U28" t="s">
        <v>579</v>
      </c>
      <c r="V28" t="s">
        <v>643</v>
      </c>
    </row>
    <row r="29" spans="2:22" x14ac:dyDescent="0.25">
      <c r="B29" s="1">
        <v>1215</v>
      </c>
      <c r="L29" s="28"/>
      <c r="M29" s="147"/>
      <c r="N29" s="31"/>
      <c r="O29" s="115" t="s">
        <v>208</v>
      </c>
      <c r="P29" s="474" t="s">
        <v>208</v>
      </c>
    </row>
    <row r="30" spans="2:22" x14ac:dyDescent="0.25">
      <c r="B30" s="1">
        <v>1323</v>
      </c>
      <c r="L30" s="471" t="s">
        <v>208</v>
      </c>
      <c r="M30" s="147">
        <v>1165</v>
      </c>
      <c r="N30" s="31" t="s">
        <v>644</v>
      </c>
      <c r="O30" s="147" t="s">
        <v>580</v>
      </c>
      <c r="P30" s="441" t="s">
        <v>230</v>
      </c>
      <c r="Q30" s="2" t="s">
        <v>208</v>
      </c>
      <c r="U30" t="s">
        <v>580</v>
      </c>
      <c r="V30" t="s">
        <v>644</v>
      </c>
    </row>
    <row r="31" spans="2:22" x14ac:dyDescent="0.25">
      <c r="B31" s="1">
        <v>3052</v>
      </c>
      <c r="L31" s="471" t="s">
        <v>208</v>
      </c>
      <c r="M31" s="147">
        <v>1170</v>
      </c>
      <c r="N31" s="31" t="s">
        <v>645</v>
      </c>
      <c r="O31" s="31" t="s">
        <v>581</v>
      </c>
      <c r="P31" s="441" t="s">
        <v>228</v>
      </c>
      <c r="Q31" s="2" t="s">
        <v>208</v>
      </c>
      <c r="U31" t="s">
        <v>581</v>
      </c>
      <c r="V31" t="s">
        <v>645</v>
      </c>
    </row>
    <row r="32" spans="2:22" x14ac:dyDescent="0.25">
      <c r="B32" s="1">
        <v>3053</v>
      </c>
      <c r="L32" s="471" t="s">
        <v>208</v>
      </c>
      <c r="M32" s="147">
        <v>1214</v>
      </c>
      <c r="N32" s="31" t="s">
        <v>646</v>
      </c>
      <c r="O32" s="147" t="s">
        <v>582</v>
      </c>
      <c r="P32" s="441" t="s">
        <v>224</v>
      </c>
      <c r="Q32" s="2" t="s">
        <v>208</v>
      </c>
      <c r="U32" t="s">
        <v>582</v>
      </c>
      <c r="V32" t="s">
        <v>646</v>
      </c>
    </row>
    <row r="33" spans="2:22" x14ac:dyDescent="0.25">
      <c r="B33" s="1">
        <v>3054</v>
      </c>
      <c r="L33" s="471" t="s">
        <v>208</v>
      </c>
      <c r="M33" s="147">
        <v>1324</v>
      </c>
      <c r="N33" s="31" t="s">
        <v>39</v>
      </c>
      <c r="O33" s="31" t="s">
        <v>101</v>
      </c>
      <c r="P33" s="441" t="s">
        <v>263</v>
      </c>
      <c r="Q33" s="2" t="s">
        <v>208</v>
      </c>
      <c r="U33" t="s">
        <v>101</v>
      </c>
      <c r="V33" t="s">
        <v>39</v>
      </c>
    </row>
    <row r="34" spans="2:22" x14ac:dyDescent="0.25">
      <c r="B34" s="1">
        <v>3055</v>
      </c>
      <c r="L34" s="471" t="s">
        <v>208</v>
      </c>
      <c r="M34" s="147">
        <v>1334</v>
      </c>
      <c r="N34" s="31" t="s">
        <v>647</v>
      </c>
      <c r="O34" s="31" t="s">
        <v>614</v>
      </c>
      <c r="P34" s="441" t="s">
        <v>266</v>
      </c>
      <c r="Q34" s="2" t="s">
        <v>208</v>
      </c>
      <c r="U34" t="s">
        <v>614</v>
      </c>
      <c r="V34" t="s">
        <v>647</v>
      </c>
    </row>
    <row r="35" spans="2:22" x14ac:dyDescent="0.25">
      <c r="B35" s="1">
        <v>3057</v>
      </c>
      <c r="L35" s="471" t="s">
        <v>208</v>
      </c>
      <c r="M35" s="147">
        <v>1340</v>
      </c>
      <c r="N35" s="31" t="s">
        <v>648</v>
      </c>
      <c r="O35" s="31" t="s">
        <v>583</v>
      </c>
      <c r="P35" s="441" t="s">
        <v>259</v>
      </c>
      <c r="Q35" s="2" t="s">
        <v>208</v>
      </c>
      <c r="U35" t="s">
        <v>583</v>
      </c>
      <c r="V35" t="s">
        <v>648</v>
      </c>
    </row>
    <row r="36" spans="2:22" x14ac:dyDescent="0.25">
      <c r="B36" s="1">
        <v>5101</v>
      </c>
      <c r="L36" s="471" t="s">
        <v>208</v>
      </c>
      <c r="M36" s="147">
        <v>3049</v>
      </c>
      <c r="N36" s="31" t="s">
        <v>649</v>
      </c>
      <c r="O36" s="31" t="s">
        <v>584</v>
      </c>
      <c r="P36" s="441" t="s">
        <v>225</v>
      </c>
      <c r="Q36" s="2" t="s">
        <v>208</v>
      </c>
      <c r="U36" t="s">
        <v>584</v>
      </c>
      <c r="V36" t="s">
        <v>649</v>
      </c>
    </row>
    <row r="37" spans="2:22" x14ac:dyDescent="0.25">
      <c r="B37" s="1">
        <v>5107</v>
      </c>
      <c r="L37" s="471" t="s">
        <v>208</v>
      </c>
      <c r="M37" s="147">
        <v>3063</v>
      </c>
      <c r="N37" s="31" t="s">
        <v>650</v>
      </c>
      <c r="O37" s="31" t="s">
        <v>585</v>
      </c>
      <c r="P37" s="441" t="s">
        <v>229</v>
      </c>
      <c r="Q37" s="2" t="s">
        <v>208</v>
      </c>
      <c r="U37" t="s">
        <v>585</v>
      </c>
      <c r="V37" t="s">
        <v>650</v>
      </c>
    </row>
    <row r="38" spans="2:22" x14ac:dyDescent="0.25">
      <c r="B38" s="1">
        <v>5125</v>
      </c>
      <c r="L38" s="471" t="s">
        <v>208</v>
      </c>
      <c r="M38" s="147">
        <v>6876</v>
      </c>
      <c r="N38" s="31" t="s">
        <v>651</v>
      </c>
      <c r="O38" s="31" t="s">
        <v>586</v>
      </c>
      <c r="P38" s="441" t="s">
        <v>226</v>
      </c>
      <c r="Q38" s="2" t="s">
        <v>208</v>
      </c>
      <c r="U38" t="s">
        <v>586</v>
      </c>
      <c r="V38" t="s">
        <v>651</v>
      </c>
    </row>
    <row r="39" spans="2:22" x14ac:dyDescent="0.25">
      <c r="B39" s="1">
        <v>5134</v>
      </c>
      <c r="L39" s="471" t="s">
        <v>208</v>
      </c>
      <c r="M39" s="147">
        <v>6877</v>
      </c>
      <c r="N39" s="31" t="s">
        <v>652</v>
      </c>
      <c r="O39" s="31" t="s">
        <v>587</v>
      </c>
      <c r="P39" s="441" t="s">
        <v>222</v>
      </c>
      <c r="Q39" s="2" t="s">
        <v>208</v>
      </c>
      <c r="U39" t="s">
        <v>587</v>
      </c>
      <c r="V39" t="s">
        <v>652</v>
      </c>
    </row>
    <row r="40" spans="2:22" x14ac:dyDescent="0.25">
      <c r="B40" s="1">
        <v>5910</v>
      </c>
      <c r="L40" s="471" t="s">
        <v>208</v>
      </c>
      <c r="M40" s="147">
        <v>6891</v>
      </c>
      <c r="N40" s="31" t="s">
        <v>653</v>
      </c>
      <c r="O40" s="31" t="s">
        <v>588</v>
      </c>
      <c r="P40" s="441" t="s">
        <v>234</v>
      </c>
      <c r="Q40" s="2" t="s">
        <v>208</v>
      </c>
      <c r="U40" t="s">
        <v>588</v>
      </c>
      <c r="V40" t="s">
        <v>653</v>
      </c>
    </row>
    <row r="41" spans="2:22" x14ac:dyDescent="0.25">
      <c r="L41" s="471" t="s">
        <v>208</v>
      </c>
      <c r="M41" s="147">
        <v>6925</v>
      </c>
      <c r="N41" s="31" t="s">
        <v>654</v>
      </c>
      <c r="O41" s="31" t="s">
        <v>589</v>
      </c>
      <c r="P41" s="441" t="s">
        <v>253</v>
      </c>
      <c r="Q41" s="2" t="s">
        <v>208</v>
      </c>
      <c r="U41" t="s">
        <v>589</v>
      </c>
      <c r="V41" t="s">
        <v>654</v>
      </c>
    </row>
    <row r="42" spans="2:22" x14ac:dyDescent="0.25">
      <c r="L42" s="471" t="s">
        <v>208</v>
      </c>
      <c r="M42" s="147">
        <v>6929</v>
      </c>
      <c r="N42" s="31" t="s">
        <v>655</v>
      </c>
      <c r="O42" s="31" t="s">
        <v>615</v>
      </c>
      <c r="P42" s="441" t="s">
        <v>270</v>
      </c>
      <c r="Q42" s="2" t="s">
        <v>208</v>
      </c>
      <c r="U42" t="s">
        <v>615</v>
      </c>
      <c r="V42" t="s">
        <v>655</v>
      </c>
    </row>
    <row r="43" spans="2:22" x14ac:dyDescent="0.25">
      <c r="L43" s="471" t="s">
        <v>208</v>
      </c>
      <c r="M43" s="147">
        <v>6932</v>
      </c>
      <c r="N43" s="31" t="s">
        <v>656</v>
      </c>
      <c r="O43" s="31" t="s">
        <v>590</v>
      </c>
      <c r="P43" s="441" t="s">
        <v>272</v>
      </c>
      <c r="Q43" s="2" t="s">
        <v>208</v>
      </c>
      <c r="U43" t="s">
        <v>590</v>
      </c>
      <c r="V43" t="s">
        <v>656</v>
      </c>
    </row>
    <row r="44" spans="2:22" ht="15.75" thickBot="1" x14ac:dyDescent="0.3">
      <c r="L44" s="472" t="s">
        <v>208</v>
      </c>
      <c r="M44" s="467">
        <v>6949</v>
      </c>
      <c r="N44" s="35" t="s">
        <v>39</v>
      </c>
      <c r="O44" s="35" t="s">
        <v>591</v>
      </c>
      <c r="P44" s="442" t="s">
        <v>239</v>
      </c>
      <c r="Q44" s="2" t="s">
        <v>208</v>
      </c>
      <c r="U44" t="s">
        <v>591</v>
      </c>
      <c r="V44" t="s">
        <v>39</v>
      </c>
    </row>
    <row r="45" spans="2:22" x14ac:dyDescent="0.25">
      <c r="B45" s="1">
        <v>6870</v>
      </c>
      <c r="L45" s="470"/>
      <c r="M45" s="468"/>
      <c r="N45" s="26"/>
      <c r="O45" s="27" t="s">
        <v>205</v>
      </c>
      <c r="P45" s="443" t="s">
        <v>205</v>
      </c>
      <c r="Q45" s="2"/>
    </row>
    <row r="46" spans="2:22" x14ac:dyDescent="0.25">
      <c r="B46" s="1">
        <v>6871</v>
      </c>
      <c r="L46" s="471" t="s">
        <v>205</v>
      </c>
      <c r="M46" s="147">
        <v>1078</v>
      </c>
      <c r="N46" s="31" t="s">
        <v>657</v>
      </c>
      <c r="O46" s="31" t="s">
        <v>592</v>
      </c>
      <c r="P46" s="441" t="s">
        <v>221</v>
      </c>
      <c r="Q46" s="2" t="s">
        <v>205</v>
      </c>
      <c r="U46" t="s">
        <v>592</v>
      </c>
      <c r="V46" t="s">
        <v>657</v>
      </c>
    </row>
    <row r="47" spans="2:22" x14ac:dyDescent="0.25">
      <c r="B47" s="1">
        <v>6872</v>
      </c>
      <c r="L47" s="471" t="s">
        <v>205</v>
      </c>
      <c r="M47" s="147">
        <v>1135</v>
      </c>
      <c r="N47" s="31" t="s">
        <v>658</v>
      </c>
      <c r="O47" s="31" t="s">
        <v>593</v>
      </c>
      <c r="P47" s="441" t="s">
        <v>237</v>
      </c>
      <c r="Q47" s="2" t="s">
        <v>205</v>
      </c>
      <c r="U47" t="s">
        <v>593</v>
      </c>
      <c r="V47" t="s">
        <v>658</v>
      </c>
    </row>
    <row r="48" spans="2:22" x14ac:dyDescent="0.25">
      <c r="B48" s="1">
        <v>6873</v>
      </c>
      <c r="L48" s="471" t="s">
        <v>205</v>
      </c>
      <c r="M48" s="147">
        <v>3013</v>
      </c>
      <c r="N48" s="31" t="s">
        <v>659</v>
      </c>
      <c r="O48" s="31" t="s">
        <v>594</v>
      </c>
      <c r="P48" s="441" t="s">
        <v>255</v>
      </c>
      <c r="Q48" s="2" t="s">
        <v>205</v>
      </c>
      <c r="U48" t="s">
        <v>594</v>
      </c>
      <c r="V48" t="s">
        <v>659</v>
      </c>
    </row>
    <row r="49" spans="2:22" x14ac:dyDescent="0.25">
      <c r="L49" s="471" t="s">
        <v>205</v>
      </c>
      <c r="M49" s="147">
        <v>3048</v>
      </c>
      <c r="N49" s="31" t="s">
        <v>660</v>
      </c>
      <c r="O49" s="31" t="s">
        <v>595</v>
      </c>
      <c r="P49" s="441" t="s">
        <v>223</v>
      </c>
      <c r="Q49" s="2" t="s">
        <v>205</v>
      </c>
      <c r="U49" t="s">
        <v>595</v>
      </c>
      <c r="V49" t="s">
        <v>660</v>
      </c>
    </row>
    <row r="50" spans="2:22" x14ac:dyDescent="0.25">
      <c r="B50" s="1">
        <v>6886</v>
      </c>
      <c r="L50" s="471" t="s">
        <v>205</v>
      </c>
      <c r="M50" s="147">
        <v>3087</v>
      </c>
      <c r="N50" s="31" t="s">
        <v>661</v>
      </c>
      <c r="O50" s="31" t="s">
        <v>616</v>
      </c>
      <c r="P50" s="441" t="s">
        <v>326</v>
      </c>
      <c r="Q50" s="2" t="s">
        <v>205</v>
      </c>
      <c r="U50" t="s">
        <v>616</v>
      </c>
      <c r="V50" t="s">
        <v>661</v>
      </c>
    </row>
    <row r="51" spans="2:22" x14ac:dyDescent="0.25">
      <c r="B51" s="1">
        <v>6887</v>
      </c>
      <c r="L51" s="471" t="s">
        <v>205</v>
      </c>
      <c r="M51" s="147">
        <v>5125</v>
      </c>
      <c r="N51" s="31" t="s">
        <v>662</v>
      </c>
      <c r="O51" s="31" t="s">
        <v>596</v>
      </c>
      <c r="P51" s="441" t="s">
        <v>227</v>
      </c>
      <c r="Q51" s="2" t="s">
        <v>205</v>
      </c>
      <c r="U51" t="s">
        <v>596</v>
      </c>
      <c r="V51" t="s">
        <v>662</v>
      </c>
    </row>
    <row r="52" spans="2:22" x14ac:dyDescent="0.25">
      <c r="B52" s="1">
        <v>6888</v>
      </c>
      <c r="L52" s="471" t="s">
        <v>205</v>
      </c>
      <c r="M52" s="147">
        <v>6883</v>
      </c>
      <c r="N52" s="31" t="s">
        <v>663</v>
      </c>
      <c r="O52" s="31" t="s">
        <v>597</v>
      </c>
      <c r="P52" s="441" t="s">
        <v>250</v>
      </c>
      <c r="Q52" s="2" t="s">
        <v>205</v>
      </c>
      <c r="U52" t="s">
        <v>597</v>
      </c>
      <c r="V52" t="s">
        <v>663</v>
      </c>
    </row>
    <row r="53" spans="2:22" x14ac:dyDescent="0.25">
      <c r="B53" s="1">
        <v>6889</v>
      </c>
      <c r="L53" s="471" t="s">
        <v>205</v>
      </c>
      <c r="M53" s="147">
        <v>6888</v>
      </c>
      <c r="N53" s="31" t="s">
        <v>664</v>
      </c>
      <c r="O53" s="31" t="s">
        <v>598</v>
      </c>
      <c r="P53" s="441" t="s">
        <v>274</v>
      </c>
      <c r="Q53" s="2" t="s">
        <v>205</v>
      </c>
      <c r="U53" t="s">
        <v>598</v>
      </c>
      <c r="V53" t="s">
        <v>664</v>
      </c>
    </row>
    <row r="54" spans="2:22" x14ac:dyDescent="0.25">
      <c r="B54" s="1">
        <v>6890</v>
      </c>
      <c r="L54" s="471" t="s">
        <v>205</v>
      </c>
      <c r="M54" s="147">
        <v>6889</v>
      </c>
      <c r="N54" s="31" t="s">
        <v>665</v>
      </c>
      <c r="O54" s="31" t="s">
        <v>617</v>
      </c>
      <c r="P54" s="441" t="s">
        <v>257</v>
      </c>
      <c r="Q54" s="2" t="s">
        <v>205</v>
      </c>
      <c r="U54" t="s">
        <v>617</v>
      </c>
      <c r="V54" t="s">
        <v>665</v>
      </c>
    </row>
    <row r="55" spans="2:22" x14ac:dyDescent="0.25">
      <c r="B55" s="1">
        <v>6891</v>
      </c>
      <c r="L55" s="471" t="s">
        <v>205</v>
      </c>
      <c r="M55" s="147">
        <v>6890</v>
      </c>
      <c r="N55" s="31" t="s">
        <v>666</v>
      </c>
      <c r="O55" s="31" t="s">
        <v>599</v>
      </c>
      <c r="P55" s="441" t="s">
        <v>251</v>
      </c>
      <c r="Q55" s="2" t="s">
        <v>205</v>
      </c>
      <c r="U55" t="s">
        <v>599</v>
      </c>
      <c r="V55" t="s">
        <v>666</v>
      </c>
    </row>
    <row r="56" spans="2:22" x14ac:dyDescent="0.25">
      <c r="B56" s="1">
        <v>6896</v>
      </c>
      <c r="L56" s="471" t="s">
        <v>205</v>
      </c>
      <c r="M56" s="147">
        <v>6965</v>
      </c>
      <c r="N56" s="31" t="s">
        <v>667</v>
      </c>
      <c r="O56" s="31" t="s">
        <v>600</v>
      </c>
      <c r="P56" s="441" t="s">
        <v>261</v>
      </c>
      <c r="Q56" s="2" t="s">
        <v>205</v>
      </c>
      <c r="U56" t="s">
        <v>600</v>
      </c>
      <c r="V56" t="s">
        <v>667</v>
      </c>
    </row>
    <row r="57" spans="2:22" x14ac:dyDescent="0.25">
      <c r="B57" s="1">
        <v>6897</v>
      </c>
      <c r="L57" s="471" t="s">
        <v>205</v>
      </c>
      <c r="M57" s="147">
        <v>6968</v>
      </c>
      <c r="N57" s="31" t="s">
        <v>668</v>
      </c>
      <c r="O57" s="31" t="s">
        <v>601</v>
      </c>
      <c r="P57" s="441" t="s">
        <v>267</v>
      </c>
      <c r="Q57" s="2" t="s">
        <v>205</v>
      </c>
      <c r="U57" t="s">
        <v>601</v>
      </c>
      <c r="V57" t="s">
        <v>668</v>
      </c>
    </row>
    <row r="58" spans="2:22" x14ac:dyDescent="0.25">
      <c r="B58" s="1">
        <v>6899</v>
      </c>
      <c r="L58" s="471" t="s">
        <v>205</v>
      </c>
      <c r="M58" s="147">
        <v>6970</v>
      </c>
      <c r="N58" s="31" t="s">
        <v>669</v>
      </c>
      <c r="O58" s="31" t="s">
        <v>618</v>
      </c>
      <c r="P58" s="441" t="s">
        <v>277</v>
      </c>
      <c r="Q58" s="2" t="s">
        <v>205</v>
      </c>
      <c r="U58" t="s">
        <v>618</v>
      </c>
      <c r="V58" t="s">
        <v>669</v>
      </c>
    </row>
    <row r="59" spans="2:22" ht="15.75" thickBot="1" x14ac:dyDescent="0.3">
      <c r="B59" s="1">
        <v>6908</v>
      </c>
      <c r="L59" s="472" t="s">
        <v>205</v>
      </c>
      <c r="M59" s="467">
        <v>6973</v>
      </c>
      <c r="N59" s="35" t="s">
        <v>670</v>
      </c>
      <c r="O59" s="35" t="s">
        <v>619</v>
      </c>
      <c r="P59" s="442" t="s">
        <v>280</v>
      </c>
      <c r="Q59" s="2" t="s">
        <v>205</v>
      </c>
      <c r="U59" t="s">
        <v>619</v>
      </c>
      <c r="V59" t="s">
        <v>670</v>
      </c>
    </row>
    <row r="60" spans="2:22" x14ac:dyDescent="0.25">
      <c r="B60" s="1">
        <v>6909</v>
      </c>
    </row>
    <row r="61" spans="2:22" x14ac:dyDescent="0.25">
      <c r="B61" s="1">
        <v>6910</v>
      </c>
    </row>
    <row r="62" spans="2:22" x14ac:dyDescent="0.25">
      <c r="B62" s="1">
        <v>6911</v>
      </c>
    </row>
    <row r="63" spans="2:22" x14ac:dyDescent="0.25">
      <c r="B63" s="1">
        <v>6912</v>
      </c>
    </row>
    <row r="64" spans="2:22" x14ac:dyDescent="0.25">
      <c r="B64" s="1">
        <v>6913</v>
      </c>
    </row>
    <row r="65" spans="2:2" x14ac:dyDescent="0.25">
      <c r="B65" s="1">
        <v>6914</v>
      </c>
    </row>
    <row r="66" spans="2:2" x14ac:dyDescent="0.25">
      <c r="B66" s="1">
        <v>6917</v>
      </c>
    </row>
    <row r="67" spans="2:2" x14ac:dyDescent="0.25">
      <c r="B67" s="1">
        <v>6924</v>
      </c>
    </row>
    <row r="68" spans="2:2" x14ac:dyDescent="0.25">
      <c r="B68" s="1">
        <v>6929</v>
      </c>
    </row>
    <row r="69" spans="2:2" x14ac:dyDescent="0.25">
      <c r="B69" s="1">
        <v>6932</v>
      </c>
    </row>
    <row r="70" spans="2:2" x14ac:dyDescent="0.25">
      <c r="B70" s="1">
        <v>6934</v>
      </c>
    </row>
    <row r="71" spans="2:2" x14ac:dyDescent="0.25">
      <c r="B71" s="1">
        <v>6938</v>
      </c>
    </row>
    <row r="72" spans="2:2" x14ac:dyDescent="0.25">
      <c r="B72" s="1">
        <v>6941</v>
      </c>
    </row>
    <row r="73" spans="2:2" x14ac:dyDescent="0.25">
      <c r="B73" s="1">
        <v>6949</v>
      </c>
    </row>
    <row r="74" spans="2:2" x14ac:dyDescent="0.25">
      <c r="B74" s="1">
        <v>6953</v>
      </c>
    </row>
    <row r="75" spans="2:2" x14ac:dyDescent="0.25">
      <c r="B75" s="1">
        <v>6965</v>
      </c>
    </row>
    <row r="76" spans="2:2" x14ac:dyDescent="0.25">
      <c r="B76" s="1">
        <v>6968</v>
      </c>
    </row>
    <row r="77" spans="2:2" x14ac:dyDescent="0.25">
      <c r="B77" s="1">
        <v>6970</v>
      </c>
    </row>
    <row r="78" spans="2:2" x14ac:dyDescent="0.25">
      <c r="B78" s="1">
        <v>6971</v>
      </c>
    </row>
    <row r="79" spans="2:2" x14ac:dyDescent="0.25">
      <c r="B79" s="1">
        <v>6972</v>
      </c>
    </row>
    <row r="80" spans="2:2" x14ac:dyDescent="0.25">
      <c r="B80" s="1">
        <v>6973</v>
      </c>
    </row>
    <row r="81" spans="13:15" ht="15.75" thickBot="1" x14ac:dyDescent="0.3"/>
    <row r="82" spans="13:15" x14ac:dyDescent="0.25">
      <c r="M82" s="127" t="s">
        <v>90</v>
      </c>
      <c r="O82" s="148" t="s">
        <v>3</v>
      </c>
    </row>
    <row r="83" spans="13:15" ht="15.75" thickBot="1" x14ac:dyDescent="0.3">
      <c r="M83" s="128" t="s">
        <v>91</v>
      </c>
      <c r="O83" s="149" t="s">
        <v>5</v>
      </c>
    </row>
    <row r="84" spans="13:15" x14ac:dyDescent="0.25">
      <c r="M84" s="128" t="s">
        <v>92</v>
      </c>
    </row>
    <row r="85" spans="13:15" x14ac:dyDescent="0.25">
      <c r="M85" s="128" t="s">
        <v>108</v>
      </c>
    </row>
    <row r="86" spans="13:15" x14ac:dyDescent="0.25">
      <c r="M86" s="128" t="s">
        <v>109</v>
      </c>
    </row>
    <row r="87" spans="13:15" x14ac:dyDescent="0.25">
      <c r="M87" s="128" t="s">
        <v>110</v>
      </c>
    </row>
    <row r="88" spans="13:15" x14ac:dyDescent="0.25">
      <c r="M88" s="128" t="s">
        <v>93</v>
      </c>
    </row>
    <row r="89" spans="13:15" x14ac:dyDescent="0.25">
      <c r="M89" s="128" t="s">
        <v>94</v>
      </c>
    </row>
    <row r="90" spans="13:15" x14ac:dyDescent="0.25">
      <c r="M90" s="147"/>
    </row>
    <row r="91" spans="13:15" x14ac:dyDescent="0.25">
      <c r="M91" s="14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59999389629810485"/>
  </sheetPr>
  <dimension ref="A1:HV102"/>
  <sheetViews>
    <sheetView workbookViewId="0"/>
  </sheetViews>
  <sheetFormatPr defaultColWidth="8.7109375" defaultRowHeight="15" x14ac:dyDescent="0.25"/>
  <cols>
    <col min="1" max="1" width="36.85546875" customWidth="1"/>
    <col min="2" max="2" width="9.85546875" customWidth="1"/>
    <col min="3" max="3" width="12.28515625" style="452" customWidth="1"/>
    <col min="4" max="4" width="18" customWidth="1"/>
    <col min="5" max="5" width="33.28515625" customWidth="1"/>
    <col min="6" max="6" width="10.28515625" customWidth="1"/>
    <col min="7" max="7" width="8.7109375" customWidth="1"/>
    <col min="8" max="8" width="8" customWidth="1"/>
    <col min="10" max="10" width="8.7109375" style="2"/>
    <col min="11" max="11" width="14.42578125" customWidth="1"/>
    <col min="12" max="12" width="14.28515625" style="1" customWidth="1"/>
    <col min="13" max="24" width="5" customWidth="1"/>
    <col min="25" max="25" width="8.85546875" customWidth="1"/>
    <col min="26" max="26" width="8.7109375" style="2"/>
    <col min="27" max="35" width="5" customWidth="1"/>
    <col min="36" max="36" width="6.140625" customWidth="1"/>
    <col min="42" max="42" width="8.7109375" customWidth="1"/>
    <col min="44" max="44" width="10.28515625" style="13" customWidth="1"/>
    <col min="45" max="56" width="5" customWidth="1"/>
    <col min="57" max="57" width="5.42578125" customWidth="1"/>
    <col min="58" max="58" width="31.140625" customWidth="1"/>
    <col min="59" max="60" width="5" customWidth="1"/>
    <col min="61" max="71" width="5.42578125" customWidth="1"/>
    <col min="72" max="73" width="10.28515625" customWidth="1"/>
    <col min="74" max="74" width="10.28515625" style="13" customWidth="1"/>
    <col min="75" max="86" width="8.140625" customWidth="1"/>
    <col min="87" max="108" width="5" customWidth="1"/>
    <col min="109" max="111" width="9.42578125" customWidth="1"/>
    <col min="112" max="112" width="25.42578125" style="13" customWidth="1"/>
    <col min="113" max="120" width="9.42578125" customWidth="1"/>
    <col min="121" max="124" width="8.7109375" style="4"/>
    <col min="125" max="125" width="11.28515625" customWidth="1"/>
    <col min="132" max="132" width="12.42578125" customWidth="1"/>
    <col min="133" max="133" width="26.85546875" customWidth="1"/>
    <col min="174" max="174" width="12.28515625" customWidth="1"/>
    <col min="215" max="215" width="24.28515625" customWidth="1"/>
    <col min="233" max="233" width="35.28515625" customWidth="1"/>
    <col min="234" max="234" width="41.28515625" customWidth="1"/>
    <col min="235" max="235" width="31.7109375" customWidth="1"/>
  </cols>
  <sheetData>
    <row r="1" spans="2:206" ht="15.75" thickBot="1" x14ac:dyDescent="0.3"/>
    <row r="2" spans="2:206" ht="15.75" thickBot="1" x14ac:dyDescent="0.3">
      <c r="D2" s="178" t="s">
        <v>62</v>
      </c>
      <c r="E2" s="179" t="s">
        <v>292</v>
      </c>
      <c r="F2" s="180" t="s">
        <v>44</v>
      </c>
      <c r="G2" s="181" t="s">
        <v>76</v>
      </c>
      <c r="J2" s="4" t="s">
        <v>182</v>
      </c>
      <c r="K2" s="242" t="str">
        <f>'Building Snapshot'!$C$3</f>
        <v>1090 - St. Paul,MN</v>
      </c>
      <c r="L2" s="256"/>
      <c r="N2" s="132" t="s">
        <v>209</v>
      </c>
      <c r="O2" s="125"/>
      <c r="P2" s="125"/>
      <c r="Q2" s="125"/>
      <c r="R2" s="265"/>
    </row>
    <row r="3" spans="2:206" ht="15.75" thickBot="1" x14ac:dyDescent="0.3">
      <c r="D3" s="182" t="s">
        <v>55</v>
      </c>
      <c r="E3" s="150">
        <v>1</v>
      </c>
      <c r="F3" s="183">
        <v>13.035714285714286</v>
      </c>
      <c r="G3" s="184" t="s">
        <v>90</v>
      </c>
      <c r="J3" s="4" t="s">
        <v>183</v>
      </c>
      <c r="K3" s="299" t="str">
        <f>VLOOKUP(K2,'Location Detail'!$O$2:$P$59,2,FALSE)</f>
        <v>001090</v>
      </c>
      <c r="N3" s="134" t="s">
        <v>210</v>
      </c>
      <c r="R3" s="120"/>
    </row>
    <row r="4" spans="2:206" ht="15.75" thickBot="1" x14ac:dyDescent="0.3">
      <c r="D4" s="182" t="s">
        <v>61</v>
      </c>
      <c r="E4" s="150">
        <v>2</v>
      </c>
      <c r="F4" s="183">
        <v>6.5178571428571432</v>
      </c>
      <c r="G4" s="184" t="s">
        <v>91</v>
      </c>
      <c r="J4" s="4" t="s">
        <v>63</v>
      </c>
      <c r="K4" s="258" t="str">
        <f>VLOOKUP(K3,'Location Detail'!$P$3:$Q$59,2,FALSE)</f>
        <v>North</v>
      </c>
      <c r="N4" s="134" t="s">
        <v>211</v>
      </c>
      <c r="R4" s="120"/>
    </row>
    <row r="5" spans="2:206" ht="15.75" thickBot="1" x14ac:dyDescent="0.3">
      <c r="D5" s="182" t="s">
        <v>57</v>
      </c>
      <c r="E5" s="150">
        <v>3</v>
      </c>
      <c r="F5" s="183">
        <v>4.0109890109890109</v>
      </c>
      <c r="G5" s="184" t="s">
        <v>92</v>
      </c>
      <c r="N5" s="134" t="s">
        <v>212</v>
      </c>
      <c r="R5" s="120"/>
    </row>
    <row r="6" spans="2:206" ht="15.75" thickBot="1" x14ac:dyDescent="0.3">
      <c r="D6" s="182" t="s">
        <v>59</v>
      </c>
      <c r="E6" s="150">
        <v>4</v>
      </c>
      <c r="F6" s="183">
        <v>3.0672268907563027</v>
      </c>
      <c r="G6" s="184" t="s">
        <v>108</v>
      </c>
      <c r="J6" s="4" t="s">
        <v>184</v>
      </c>
      <c r="K6" s="242" t="str">
        <f>'Headcount Display'!$D$4</f>
        <v>1090 - St. Paul,MN</v>
      </c>
      <c r="L6" s="256"/>
      <c r="N6" s="134" t="s">
        <v>213</v>
      </c>
      <c r="R6" s="120"/>
      <c r="GU6" t="s">
        <v>317</v>
      </c>
    </row>
    <row r="7" spans="2:206" ht="15.75" thickBot="1" x14ac:dyDescent="0.3">
      <c r="D7" s="182" t="s">
        <v>58</v>
      </c>
      <c r="E7" s="150">
        <v>5</v>
      </c>
      <c r="F7" s="183">
        <v>2.4829931972789114</v>
      </c>
      <c r="G7" s="184" t="s">
        <v>131</v>
      </c>
      <c r="J7" s="4" t="s">
        <v>183</v>
      </c>
      <c r="K7" s="299" t="str">
        <f>VLOOKUP(K6,'Location Detail'!$O$2:$P$58,2,FALSE)</f>
        <v>001090</v>
      </c>
      <c r="N7" s="134" t="s">
        <v>214</v>
      </c>
      <c r="R7" s="120"/>
    </row>
    <row r="8" spans="2:206" ht="15.75" thickBot="1" x14ac:dyDescent="0.3">
      <c r="B8" s="440"/>
      <c r="D8" s="182" t="s">
        <v>56</v>
      </c>
      <c r="E8" s="150">
        <v>6</v>
      </c>
      <c r="F8" s="183">
        <v>2.0054945054945055</v>
      </c>
      <c r="G8" s="184" t="s">
        <v>93</v>
      </c>
      <c r="N8" s="134" t="s">
        <v>215</v>
      </c>
      <c r="R8" s="120"/>
    </row>
    <row r="9" spans="2:206" ht="15.75" thickBot="1" x14ac:dyDescent="0.3">
      <c r="D9" s="182" t="s">
        <v>202</v>
      </c>
      <c r="E9" s="150">
        <v>7</v>
      </c>
      <c r="F9" s="183">
        <v>1.7380952380952381</v>
      </c>
      <c r="G9" s="184" t="s">
        <v>94</v>
      </c>
      <c r="J9" s="4" t="s">
        <v>192</v>
      </c>
      <c r="K9" s="242" t="str">
        <f>'New Hire Comp Ratio'!$C$3</f>
        <v>1090 - St. Paul,MN</v>
      </c>
      <c r="L9" s="256"/>
      <c r="N9" s="238" t="s">
        <v>216</v>
      </c>
      <c r="O9" s="264"/>
      <c r="P9" s="264"/>
      <c r="Q9" s="264"/>
      <c r="R9" s="266"/>
    </row>
    <row r="10" spans="2:206" ht="15.75" thickBot="1" x14ac:dyDescent="0.3">
      <c r="D10" s="185" t="s">
        <v>60</v>
      </c>
      <c r="E10" s="186">
        <v>8</v>
      </c>
      <c r="F10" s="187">
        <v>1.5336134453781514</v>
      </c>
      <c r="G10" s="184"/>
      <c r="H10">
        <f>53/47</f>
        <v>1.1276595744680851</v>
      </c>
      <c r="J10" s="4" t="s">
        <v>183</v>
      </c>
      <c r="K10" s="299" t="str">
        <f>VLOOKUP(K9,'Location Detail'!$O$3:$P$58,2,FALSE)</f>
        <v>001090</v>
      </c>
      <c r="N10" s="13"/>
      <c r="AG10" s="13"/>
      <c r="AH10" s="4"/>
      <c r="AI10" s="4"/>
      <c r="AJ10" s="13"/>
    </row>
    <row r="11" spans="2:206" ht="15.75" thickBot="1" x14ac:dyDescent="0.3">
      <c r="D11" s="182"/>
      <c r="E11" s="150">
        <v>9</v>
      </c>
      <c r="F11" s="183">
        <v>1.358974358974359</v>
      </c>
      <c r="G11" s="184"/>
      <c r="N11" s="13"/>
      <c r="AG11" s="13"/>
      <c r="AH11" s="4"/>
      <c r="AI11" s="4"/>
      <c r="AJ11" s="13"/>
    </row>
    <row r="12" spans="2:206" x14ac:dyDescent="0.25">
      <c r="D12" s="188"/>
      <c r="E12" s="150">
        <v>10</v>
      </c>
      <c r="F12" s="183">
        <v>1.2325581395348837</v>
      </c>
      <c r="G12" s="184"/>
      <c r="J12" s="132"/>
      <c r="K12" s="133" t="s">
        <v>97</v>
      </c>
      <c r="N12" s="13"/>
    </row>
    <row r="13" spans="2:206" ht="15.75" thickBot="1" x14ac:dyDescent="0.3">
      <c r="D13" s="188"/>
      <c r="E13" s="150">
        <v>11</v>
      </c>
      <c r="F13" s="183">
        <v>1.1276595744680851</v>
      </c>
      <c r="G13" s="184"/>
      <c r="J13" s="134" t="s">
        <v>98</v>
      </c>
      <c r="K13" s="137">
        <f>VLOOKUP($K$3,Past_Year!$A$3:$F$59,6,FALSE)</f>
        <v>0.20161290322580644</v>
      </c>
      <c r="N13" s="13"/>
    </row>
    <row r="14" spans="2:206" ht="15.75" thickBot="1" x14ac:dyDescent="0.3">
      <c r="D14" s="244"/>
      <c r="E14" s="245">
        <v>12</v>
      </c>
      <c r="F14" s="246">
        <v>1</v>
      </c>
      <c r="G14" s="247"/>
      <c r="J14" s="135" t="s">
        <v>99</v>
      </c>
      <c r="K14" s="137">
        <f>VLOOKUP($K$3,Past_Year!$A$3:$E$59,5,FALSE)</f>
        <v>0.50060346719332893</v>
      </c>
      <c r="CG14" t="s">
        <v>132</v>
      </c>
      <c r="DR14" s="15" t="s">
        <v>86</v>
      </c>
      <c r="DS14" s="4" t="s">
        <v>88</v>
      </c>
    </row>
    <row r="15" spans="2:206" ht="15.75" thickBot="1" x14ac:dyDescent="0.3">
      <c r="D15" s="142" t="s">
        <v>133</v>
      </c>
      <c r="E15" s="248">
        <v>5</v>
      </c>
      <c r="F15" s="189">
        <v>2.4829931972789114</v>
      </c>
      <c r="G15" s="249" t="s">
        <v>93</v>
      </c>
      <c r="J15" s="136" t="s">
        <v>100</v>
      </c>
      <c r="K15" s="140">
        <f>VLOOKUP($K$3,Past_Year!$A$3:$G$59,7,FALSE)</f>
        <v>6.7204301075268813E-2</v>
      </c>
      <c r="DR15" s="4" t="s">
        <v>134</v>
      </c>
    </row>
    <row r="16" spans="2:206" ht="15.75" thickBot="1" x14ac:dyDescent="0.3">
      <c r="D16" s="142" t="s">
        <v>181</v>
      </c>
      <c r="E16" s="243">
        <v>4</v>
      </c>
      <c r="F16" s="250"/>
      <c r="G16" s="4"/>
      <c r="BT16">
        <v>13.035714285714286</v>
      </c>
      <c r="BU16">
        <v>6.5178571428571432</v>
      </c>
      <c r="BV16">
        <v>4.0109890109890109</v>
      </c>
      <c r="BW16">
        <v>3.0672268907563027</v>
      </c>
      <c r="BX16">
        <v>2.4829931972789114</v>
      </c>
      <c r="BY16">
        <v>2.0054945054945055</v>
      </c>
      <c r="BZ16">
        <v>1.7380952380952381</v>
      </c>
      <c r="CA16">
        <v>1.5336134453781514</v>
      </c>
      <c r="CB16">
        <v>1.358974358974359</v>
      </c>
      <c r="CC16">
        <v>1.2325581395348837</v>
      </c>
      <c r="CD16">
        <v>1.1276595744680851</v>
      </c>
      <c r="CE16">
        <v>1</v>
      </c>
      <c r="GO16">
        <v>195</v>
      </c>
      <c r="GP16">
        <v>196</v>
      </c>
      <c r="GQ16">
        <v>197</v>
      </c>
      <c r="GR16">
        <v>198</v>
      </c>
      <c r="GS16">
        <v>199</v>
      </c>
      <c r="GT16">
        <v>200</v>
      </c>
      <c r="GU16">
        <v>201</v>
      </c>
      <c r="GV16">
        <v>202</v>
      </c>
      <c r="GW16">
        <v>203</v>
      </c>
      <c r="GX16">
        <v>204</v>
      </c>
    </row>
    <row r="17" spans="1:230" ht="15.75" thickBot="1" x14ac:dyDescent="0.3">
      <c r="B17" s="13" t="s">
        <v>105</v>
      </c>
      <c r="H17" s="2"/>
      <c r="M17" s="221" t="s">
        <v>172</v>
      </c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43"/>
      <c r="AL17" s="13" t="s">
        <v>105</v>
      </c>
      <c r="AM17" s="445" t="s">
        <v>111</v>
      </c>
      <c r="AN17" s="446"/>
      <c r="AO17" s="4"/>
      <c r="AP17" s="221" t="s">
        <v>105</v>
      </c>
      <c r="AQ17" s="251"/>
      <c r="AR17" s="252"/>
      <c r="AS17" s="4"/>
      <c r="AT17" s="221" t="s">
        <v>173</v>
      </c>
      <c r="AU17" s="222"/>
      <c r="AV17" s="222"/>
      <c r="AW17" s="222"/>
      <c r="AX17" s="222"/>
      <c r="AY17" s="222"/>
      <c r="AZ17" s="222"/>
      <c r="BA17" s="222"/>
      <c r="BB17" s="222"/>
      <c r="BC17" s="222"/>
      <c r="BD17" s="222"/>
      <c r="BE17" s="223"/>
      <c r="BF17" s="4"/>
      <c r="BG17" s="193" t="s">
        <v>174</v>
      </c>
      <c r="BH17" s="304"/>
      <c r="BI17" s="304"/>
      <c r="BJ17" s="304"/>
      <c r="BK17" s="304"/>
      <c r="BL17" s="304"/>
      <c r="BM17" s="304"/>
      <c r="BN17" s="304"/>
      <c r="BO17" s="304"/>
      <c r="BP17" s="304"/>
      <c r="BQ17" s="304"/>
      <c r="BR17" s="243"/>
      <c r="BS17" s="4"/>
      <c r="BT17" s="193" t="s">
        <v>286</v>
      </c>
      <c r="BU17" s="304"/>
      <c r="BV17" s="304"/>
      <c r="BW17" s="304"/>
      <c r="BX17" s="304"/>
      <c r="BY17" s="304"/>
      <c r="BZ17" s="304"/>
      <c r="CA17" s="304"/>
      <c r="CB17" s="304"/>
      <c r="CC17" s="304"/>
      <c r="CD17" s="304"/>
      <c r="CE17" s="243"/>
      <c r="CF17" s="4"/>
      <c r="CG17" s="221" t="s">
        <v>287</v>
      </c>
      <c r="CH17" s="222"/>
      <c r="CI17" s="222"/>
      <c r="CJ17" s="222"/>
      <c r="CK17" s="222"/>
      <c r="CL17" s="222"/>
      <c r="CM17" s="222"/>
      <c r="CN17" s="222"/>
      <c r="CO17" s="222"/>
      <c r="CP17" s="222"/>
      <c r="CQ17" s="222"/>
      <c r="CR17" s="222"/>
      <c r="CS17" s="221" t="s">
        <v>288</v>
      </c>
      <c r="CT17" s="222"/>
      <c r="CU17" s="222"/>
      <c r="CV17" s="222"/>
      <c r="CW17" s="222"/>
      <c r="CX17" s="222"/>
      <c r="CY17" s="222"/>
      <c r="CZ17" s="222"/>
      <c r="DA17" s="222"/>
      <c r="DB17" s="222"/>
      <c r="DC17" s="222"/>
      <c r="DD17" s="223"/>
      <c r="DE17" s="286"/>
      <c r="DF17" s="193" t="s">
        <v>175</v>
      </c>
      <c r="DG17" s="304"/>
      <c r="DH17" s="304"/>
      <c r="DI17" s="304"/>
      <c r="DJ17" s="304" t="s">
        <v>93</v>
      </c>
      <c r="DK17" s="304"/>
      <c r="DL17" s="304"/>
      <c r="DM17" s="304"/>
      <c r="DN17" s="304"/>
      <c r="DO17" s="304"/>
      <c r="DP17" s="304"/>
      <c r="DQ17" s="243"/>
      <c r="DS17" s="193" t="s">
        <v>190</v>
      </c>
      <c r="DT17" s="270"/>
      <c r="DU17" s="270"/>
      <c r="DV17" s="270"/>
      <c r="DW17" s="270"/>
      <c r="DX17" s="270"/>
      <c r="DY17" s="304"/>
      <c r="DZ17" s="243"/>
      <c r="EA17" s="4"/>
      <c r="EF17" s="2"/>
      <c r="EH17" s="2"/>
      <c r="EJ17" s="1"/>
      <c r="EK17" s="221" t="s">
        <v>3</v>
      </c>
      <c r="EL17" s="222"/>
      <c r="EM17" s="222"/>
      <c r="EN17" s="222"/>
      <c r="EO17" s="222"/>
      <c r="EP17" s="222"/>
      <c r="EQ17" s="222"/>
      <c r="ER17" s="222"/>
      <c r="ES17" s="222"/>
      <c r="ET17" s="222"/>
      <c r="EU17" s="222"/>
      <c r="EV17" s="222"/>
      <c r="EW17" s="222"/>
      <c r="EX17" s="222"/>
      <c r="EY17" s="222"/>
      <c r="EZ17" s="222"/>
      <c r="FA17" s="222"/>
      <c r="FB17" s="222"/>
      <c r="FC17" s="222"/>
      <c r="FD17" s="222"/>
      <c r="FE17" s="222"/>
      <c r="FF17" s="222"/>
      <c r="FG17" s="222"/>
      <c r="FH17" s="222"/>
      <c r="FI17" s="243"/>
      <c r="FJ17" s="13"/>
      <c r="FK17" s="190" t="s">
        <v>111</v>
      </c>
      <c r="FL17" s="192"/>
      <c r="FM17" s="4"/>
      <c r="FN17" s="221" t="s">
        <v>135</v>
      </c>
      <c r="FO17" s="251"/>
      <c r="FP17" s="252"/>
      <c r="FV17" s="2"/>
      <c r="FX17" s="2"/>
      <c r="FZ17" s="1"/>
      <c r="GA17" s="221" t="s">
        <v>5</v>
      </c>
      <c r="GB17" s="222"/>
      <c r="GC17" s="222"/>
      <c r="GD17" s="222"/>
      <c r="GE17" s="222"/>
      <c r="GF17" s="222"/>
      <c r="GG17" s="222"/>
      <c r="GH17" s="222"/>
      <c r="GI17" s="222"/>
      <c r="GJ17" s="222"/>
      <c r="GK17" s="222"/>
      <c r="GL17" s="222"/>
      <c r="GM17" s="222"/>
      <c r="GN17" s="222"/>
      <c r="GO17" s="222"/>
      <c r="GP17" s="222"/>
      <c r="GQ17" s="222"/>
      <c r="GR17" s="222"/>
      <c r="GS17" s="222"/>
      <c r="GT17" s="222"/>
      <c r="GU17" s="222"/>
      <c r="GV17" s="222"/>
      <c r="GW17" s="222"/>
      <c r="GX17" s="222"/>
      <c r="GY17" s="243"/>
      <c r="GZ17" s="13"/>
      <c r="HA17" s="190" t="s">
        <v>111</v>
      </c>
      <c r="HB17" s="192"/>
      <c r="HC17" s="4"/>
      <c r="HD17" s="221" t="s">
        <v>5</v>
      </c>
      <c r="HE17" s="251"/>
      <c r="HF17" s="252"/>
    </row>
    <row r="18" spans="1:230" ht="27.75" customHeight="1" thickBot="1" x14ac:dyDescent="0.3">
      <c r="D18" s="400" t="s">
        <v>1</v>
      </c>
      <c r="E18" s="224" t="s">
        <v>77</v>
      </c>
      <c r="F18" s="401" t="s">
        <v>81</v>
      </c>
      <c r="G18" s="402" t="s">
        <v>82</v>
      </c>
      <c r="H18" s="269" t="s">
        <v>80</v>
      </c>
      <c r="I18" s="225" t="s">
        <v>84</v>
      </c>
      <c r="J18" s="200" t="s">
        <v>85</v>
      </c>
      <c r="K18" s="201" t="s">
        <v>89</v>
      </c>
      <c r="L18" s="202" t="s">
        <v>83</v>
      </c>
      <c r="M18" s="203" t="s">
        <v>112</v>
      </c>
      <c r="N18" s="204" t="s">
        <v>113</v>
      </c>
      <c r="O18" s="204" t="s">
        <v>114</v>
      </c>
      <c r="P18" s="204" t="s">
        <v>115</v>
      </c>
      <c r="Q18" s="204" t="s">
        <v>116</v>
      </c>
      <c r="R18" s="204" t="s">
        <v>117</v>
      </c>
      <c r="S18" s="204" t="s">
        <v>118</v>
      </c>
      <c r="T18" s="204" t="s">
        <v>119</v>
      </c>
      <c r="U18" s="204" t="s">
        <v>120</v>
      </c>
      <c r="V18" s="204" t="s">
        <v>121</v>
      </c>
      <c r="W18" s="204" t="s">
        <v>122</v>
      </c>
      <c r="X18" s="204" t="s">
        <v>123</v>
      </c>
      <c r="Y18" s="205" t="s">
        <v>124</v>
      </c>
      <c r="Z18" s="205" t="s">
        <v>54</v>
      </c>
      <c r="AA18" s="204" t="s">
        <v>55</v>
      </c>
      <c r="AB18" s="204" t="s">
        <v>61</v>
      </c>
      <c r="AC18" s="204" t="s">
        <v>57</v>
      </c>
      <c r="AD18" s="204" t="s">
        <v>59</v>
      </c>
      <c r="AE18" s="204" t="s">
        <v>58</v>
      </c>
      <c r="AF18" s="204" t="s">
        <v>56</v>
      </c>
      <c r="AG18" s="204" t="s">
        <v>202</v>
      </c>
      <c r="AH18" s="204" t="s">
        <v>60</v>
      </c>
      <c r="AI18" s="259" t="s">
        <v>66</v>
      </c>
      <c r="AJ18" s="204" t="s">
        <v>20</v>
      </c>
      <c r="AK18" s="206" t="s">
        <v>21</v>
      </c>
      <c r="AL18" s="119"/>
      <c r="AM18" s="261" t="s">
        <v>186</v>
      </c>
      <c r="AN18" s="262" t="s">
        <v>187</v>
      </c>
      <c r="AO18" s="119"/>
      <c r="AP18" s="253" t="s">
        <v>47</v>
      </c>
      <c r="AQ18" s="254" t="s">
        <v>48</v>
      </c>
      <c r="AR18" s="255" t="s">
        <v>49</v>
      </c>
      <c r="AS18" s="119"/>
      <c r="AT18" s="207" t="s">
        <v>136</v>
      </c>
      <c r="AU18" s="208" t="s">
        <v>137</v>
      </c>
      <c r="AV18" s="208" t="s">
        <v>138</v>
      </c>
      <c r="AW18" s="208" t="s">
        <v>139</v>
      </c>
      <c r="AX18" s="208" t="s">
        <v>140</v>
      </c>
      <c r="AY18" s="208" t="s">
        <v>141</v>
      </c>
      <c r="AZ18" s="208" t="s">
        <v>142</v>
      </c>
      <c r="BA18" s="208" t="s">
        <v>143</v>
      </c>
      <c r="BB18" s="208" t="s">
        <v>144</v>
      </c>
      <c r="BC18" s="208" t="s">
        <v>145</v>
      </c>
      <c r="BD18" s="208" t="s">
        <v>146</v>
      </c>
      <c r="BE18" s="209" t="s">
        <v>147</v>
      </c>
      <c r="BF18" s="119"/>
      <c r="BG18" s="213" t="s">
        <v>148</v>
      </c>
      <c r="BH18" s="214" t="s">
        <v>149</v>
      </c>
      <c r="BI18" s="214" t="s">
        <v>150</v>
      </c>
      <c r="BJ18" s="214" t="s">
        <v>151</v>
      </c>
      <c r="BK18" s="214" t="s">
        <v>152</v>
      </c>
      <c r="BL18" s="214" t="s">
        <v>153</v>
      </c>
      <c r="BM18" s="214" t="s">
        <v>154</v>
      </c>
      <c r="BN18" s="214" t="s">
        <v>155</v>
      </c>
      <c r="BO18" s="214" t="s">
        <v>156</v>
      </c>
      <c r="BP18" s="214" t="s">
        <v>157</v>
      </c>
      <c r="BQ18" s="214" t="s">
        <v>158</v>
      </c>
      <c r="BR18" s="236" t="s">
        <v>159</v>
      </c>
      <c r="BS18" s="451" t="s">
        <v>448</v>
      </c>
      <c r="BT18" s="217" t="s">
        <v>160</v>
      </c>
      <c r="BU18" s="218" t="s">
        <v>161</v>
      </c>
      <c r="BV18" s="218" t="s">
        <v>162</v>
      </c>
      <c r="BW18" s="218" t="s">
        <v>163</v>
      </c>
      <c r="BX18" s="218" t="s">
        <v>164</v>
      </c>
      <c r="BY18" s="218" t="s">
        <v>165</v>
      </c>
      <c r="BZ18" s="218" t="s">
        <v>166</v>
      </c>
      <c r="CA18" s="218" t="s">
        <v>167</v>
      </c>
      <c r="CB18" s="218" t="s">
        <v>168</v>
      </c>
      <c r="CC18" s="218" t="s">
        <v>169</v>
      </c>
      <c r="CD18" s="218" t="s">
        <v>170</v>
      </c>
      <c r="CE18" s="219" t="s">
        <v>171</v>
      </c>
      <c r="CF18" s="119"/>
      <c r="CG18" s="213" t="s">
        <v>112</v>
      </c>
      <c r="CH18" s="214" t="s">
        <v>113</v>
      </c>
      <c r="CI18" s="214" t="s">
        <v>114</v>
      </c>
      <c r="CJ18" s="214" t="s">
        <v>115</v>
      </c>
      <c r="CK18" s="214" t="s">
        <v>116</v>
      </c>
      <c r="CL18" s="214" t="s">
        <v>117</v>
      </c>
      <c r="CM18" s="214" t="s">
        <v>118</v>
      </c>
      <c r="CN18" s="214" t="s">
        <v>119</v>
      </c>
      <c r="CO18" s="214" t="s">
        <v>120</v>
      </c>
      <c r="CP18" s="214" t="s">
        <v>121</v>
      </c>
      <c r="CQ18" s="214" t="s">
        <v>122</v>
      </c>
      <c r="CR18" s="215" t="s">
        <v>123</v>
      </c>
      <c r="CS18" s="207" t="s">
        <v>136</v>
      </c>
      <c r="CT18" s="208" t="s">
        <v>137</v>
      </c>
      <c r="CU18" s="208" t="s">
        <v>138</v>
      </c>
      <c r="CV18" s="208" t="s">
        <v>139</v>
      </c>
      <c r="CW18" s="208" t="s">
        <v>140</v>
      </c>
      <c r="CX18" s="208" t="s">
        <v>141</v>
      </c>
      <c r="CY18" s="208" t="s">
        <v>142</v>
      </c>
      <c r="CZ18" s="208" t="s">
        <v>143</v>
      </c>
      <c r="DA18" s="208" t="s">
        <v>144</v>
      </c>
      <c r="DB18" s="208" t="s">
        <v>145</v>
      </c>
      <c r="DC18" s="208" t="s">
        <v>146</v>
      </c>
      <c r="DD18" s="209" t="s">
        <v>147</v>
      </c>
      <c r="DE18" s="4"/>
      <c r="DF18" s="267" t="s">
        <v>160</v>
      </c>
      <c r="DG18" s="268" t="s">
        <v>161</v>
      </c>
      <c r="DH18" s="268" t="s">
        <v>162</v>
      </c>
      <c r="DI18" s="268" t="s">
        <v>163</v>
      </c>
      <c r="DJ18" s="268" t="s">
        <v>164</v>
      </c>
      <c r="DK18" s="268" t="s">
        <v>165</v>
      </c>
      <c r="DL18" s="268" t="s">
        <v>166</v>
      </c>
      <c r="DM18" s="268" t="s">
        <v>167</v>
      </c>
      <c r="DN18" s="268" t="s">
        <v>168</v>
      </c>
      <c r="DO18" s="268" t="s">
        <v>169</v>
      </c>
      <c r="DP18" s="268" t="s">
        <v>170</v>
      </c>
      <c r="DQ18" s="271" t="s">
        <v>171</v>
      </c>
      <c r="DS18" s="403" t="s">
        <v>188</v>
      </c>
      <c r="DT18" s="226">
        <v>0.8</v>
      </c>
      <c r="DU18" s="404">
        <v>0.81</v>
      </c>
      <c r="DV18" s="404">
        <v>0.82</v>
      </c>
      <c r="DW18" s="404">
        <v>0.83</v>
      </c>
      <c r="DX18" s="404">
        <v>0.84</v>
      </c>
      <c r="DY18" s="226" t="s">
        <v>194</v>
      </c>
      <c r="DZ18" s="227" t="s">
        <v>189</v>
      </c>
      <c r="EA18" s="4"/>
      <c r="EB18" s="400" t="s">
        <v>1</v>
      </c>
      <c r="EC18" s="224" t="s">
        <v>77</v>
      </c>
      <c r="ED18" s="401" t="s">
        <v>81</v>
      </c>
      <c r="EE18" s="402" t="s">
        <v>82</v>
      </c>
      <c r="EF18" s="269" t="s">
        <v>80</v>
      </c>
      <c r="EG18" s="225" t="s">
        <v>84</v>
      </c>
      <c r="EH18" s="200" t="s">
        <v>85</v>
      </c>
      <c r="EI18" s="201" t="s">
        <v>89</v>
      </c>
      <c r="EJ18" s="202" t="s">
        <v>83</v>
      </c>
      <c r="EK18" s="203" t="s">
        <v>112</v>
      </c>
      <c r="EL18" s="204" t="s">
        <v>113</v>
      </c>
      <c r="EM18" s="204" t="s">
        <v>114</v>
      </c>
      <c r="EN18" s="204" t="s">
        <v>115</v>
      </c>
      <c r="EO18" s="204" t="s">
        <v>116</v>
      </c>
      <c r="EP18" s="204" t="s">
        <v>117</v>
      </c>
      <c r="EQ18" s="204" t="s">
        <v>118</v>
      </c>
      <c r="ER18" s="204" t="s">
        <v>119</v>
      </c>
      <c r="ES18" s="204" t="s">
        <v>120</v>
      </c>
      <c r="ET18" s="204" t="s">
        <v>121</v>
      </c>
      <c r="EU18" s="204" t="s">
        <v>122</v>
      </c>
      <c r="EV18" s="204" t="s">
        <v>123</v>
      </c>
      <c r="EW18" s="205" t="s">
        <v>124</v>
      </c>
      <c r="EX18" s="205" t="s">
        <v>54</v>
      </c>
      <c r="EY18" s="204" t="s">
        <v>55</v>
      </c>
      <c r="EZ18" s="204" t="s">
        <v>61</v>
      </c>
      <c r="FA18" s="204" t="s">
        <v>57</v>
      </c>
      <c r="FB18" s="204" t="s">
        <v>59</v>
      </c>
      <c r="FC18" s="204" t="s">
        <v>58</v>
      </c>
      <c r="FD18" s="204" t="s">
        <v>56</v>
      </c>
      <c r="FE18" s="204" t="s">
        <v>202</v>
      </c>
      <c r="FF18" s="204" t="s">
        <v>60</v>
      </c>
      <c r="FG18" s="259" t="s">
        <v>66</v>
      </c>
      <c r="FH18" s="204" t="s">
        <v>20</v>
      </c>
      <c r="FI18" s="206" t="s">
        <v>21</v>
      </c>
      <c r="FJ18" s="119"/>
      <c r="FK18" s="405" t="s">
        <v>186</v>
      </c>
      <c r="FL18" s="406" t="s">
        <v>187</v>
      </c>
      <c r="FM18" s="119"/>
      <c r="FN18" s="407" t="s">
        <v>47</v>
      </c>
      <c r="FO18" s="408" t="s">
        <v>48</v>
      </c>
      <c r="FP18" s="409" t="s">
        <v>49</v>
      </c>
      <c r="FR18" s="400" t="s">
        <v>1</v>
      </c>
      <c r="FS18" s="224" t="s">
        <v>77</v>
      </c>
      <c r="FT18" s="410" t="s">
        <v>81</v>
      </c>
      <c r="FU18" s="402" t="s">
        <v>82</v>
      </c>
      <c r="FV18" s="411" t="s">
        <v>80</v>
      </c>
      <c r="FW18" s="225" t="s">
        <v>84</v>
      </c>
      <c r="FX18" s="200" t="s">
        <v>85</v>
      </c>
      <c r="FY18" s="201" t="s">
        <v>89</v>
      </c>
      <c r="FZ18" s="202" t="s">
        <v>83</v>
      </c>
      <c r="GA18" s="203" t="s">
        <v>112</v>
      </c>
      <c r="GB18" s="204" t="s">
        <v>113</v>
      </c>
      <c r="GC18" s="204" t="s">
        <v>114</v>
      </c>
      <c r="GD18" s="204" t="s">
        <v>115</v>
      </c>
      <c r="GE18" s="204" t="s">
        <v>116</v>
      </c>
      <c r="GF18" s="204" t="s">
        <v>117</v>
      </c>
      <c r="GG18" s="204" t="s">
        <v>118</v>
      </c>
      <c r="GH18" s="204" t="s">
        <v>119</v>
      </c>
      <c r="GI18" s="204" t="s">
        <v>120</v>
      </c>
      <c r="GJ18" s="204" t="s">
        <v>121</v>
      </c>
      <c r="GK18" s="204" t="s">
        <v>122</v>
      </c>
      <c r="GL18" s="204" t="s">
        <v>123</v>
      </c>
      <c r="GM18" s="205" t="s">
        <v>124</v>
      </c>
      <c r="GN18" s="205" t="s">
        <v>54</v>
      </c>
      <c r="GO18" s="204" t="s">
        <v>55</v>
      </c>
      <c r="GP18" s="204" t="s">
        <v>61</v>
      </c>
      <c r="GQ18" s="204" t="s">
        <v>57</v>
      </c>
      <c r="GR18" s="204" t="s">
        <v>59</v>
      </c>
      <c r="GS18" s="204" t="s">
        <v>58</v>
      </c>
      <c r="GT18" s="204" t="s">
        <v>56</v>
      </c>
      <c r="GU18" s="204" t="s">
        <v>202</v>
      </c>
      <c r="GV18" s="204" t="s">
        <v>60</v>
      </c>
      <c r="GW18" s="259" t="s">
        <v>66</v>
      </c>
      <c r="GX18" s="204" t="s">
        <v>20</v>
      </c>
      <c r="GY18" s="206" t="s">
        <v>21</v>
      </c>
      <c r="GZ18" s="119"/>
      <c r="HA18" s="405" t="s">
        <v>186</v>
      </c>
      <c r="HB18" s="406" t="s">
        <v>187</v>
      </c>
      <c r="HC18" s="119"/>
      <c r="HD18" s="407" t="s">
        <v>47</v>
      </c>
      <c r="HE18" s="408" t="s">
        <v>48</v>
      </c>
      <c r="HF18" s="409" t="s">
        <v>49</v>
      </c>
      <c r="HH18" t="s">
        <v>309</v>
      </c>
      <c r="HI18" t="s">
        <v>295</v>
      </c>
      <c r="HJ18" t="s">
        <v>310</v>
      </c>
      <c r="HK18" t="s">
        <v>297</v>
      </c>
      <c r="HL18" t="s">
        <v>311</v>
      </c>
      <c r="HM18" t="s">
        <v>299</v>
      </c>
      <c r="HN18" t="s">
        <v>312</v>
      </c>
      <c r="HO18" t="s">
        <v>301</v>
      </c>
      <c r="HP18" t="s">
        <v>313</v>
      </c>
      <c r="HQ18" t="s">
        <v>303</v>
      </c>
      <c r="HR18" t="s">
        <v>314</v>
      </c>
      <c r="HS18" t="s">
        <v>305</v>
      </c>
      <c r="HT18" t="s">
        <v>315</v>
      </c>
      <c r="HU18" t="s">
        <v>307</v>
      </c>
      <c r="HV18" t="s">
        <v>308</v>
      </c>
    </row>
    <row r="19" spans="1:230" x14ac:dyDescent="0.25">
      <c r="A19" t="s">
        <v>505</v>
      </c>
      <c r="B19" s="4">
        <v>1078</v>
      </c>
      <c r="C19" s="444" t="s">
        <v>221</v>
      </c>
      <c r="D19" s="412" t="s">
        <v>205</v>
      </c>
      <c r="E19" s="413" t="s">
        <v>505</v>
      </c>
      <c r="F19" s="320">
        <v>0.89477232334375179</v>
      </c>
      <c r="G19" s="320">
        <v>0.36036036036036034</v>
      </c>
      <c r="H19" s="334">
        <v>0.14414414414414414</v>
      </c>
      <c r="I19" s="321">
        <v>40</v>
      </c>
      <c r="J19" s="414"/>
      <c r="K19" s="477">
        <v>99.319727891156461</v>
      </c>
      <c r="L19" s="415"/>
      <c r="M19" s="321">
        <v>115</v>
      </c>
      <c r="N19" s="321">
        <v>109</v>
      </c>
      <c r="O19" s="321">
        <v>108</v>
      </c>
      <c r="P19" s="321">
        <v>115</v>
      </c>
      <c r="Q19" s="321">
        <v>108</v>
      </c>
      <c r="R19" s="321">
        <v>0</v>
      </c>
      <c r="S19" s="321">
        <v>0</v>
      </c>
      <c r="T19" s="321">
        <v>0</v>
      </c>
      <c r="U19" s="321">
        <v>0</v>
      </c>
      <c r="V19" s="321">
        <v>0</v>
      </c>
      <c r="W19" s="321">
        <v>0</v>
      </c>
      <c r="X19" s="321">
        <v>0</v>
      </c>
      <c r="Y19" s="324">
        <v>111</v>
      </c>
      <c r="Z19" s="321">
        <v>108</v>
      </c>
      <c r="AA19" s="321">
        <v>0</v>
      </c>
      <c r="AB19" s="321">
        <v>5</v>
      </c>
      <c r="AC19" s="321">
        <v>8</v>
      </c>
      <c r="AD19" s="321">
        <v>0</v>
      </c>
      <c r="AE19" s="321">
        <v>0</v>
      </c>
      <c r="AF19" s="321">
        <v>1</v>
      </c>
      <c r="AG19" s="321">
        <v>26</v>
      </c>
      <c r="AH19" s="321">
        <v>0</v>
      </c>
      <c r="AI19" s="321">
        <v>0</v>
      </c>
      <c r="AJ19" s="321">
        <v>40</v>
      </c>
      <c r="AK19" s="326">
        <v>16</v>
      </c>
      <c r="AL19" s="4" t="s">
        <v>205</v>
      </c>
      <c r="AM19" s="327">
        <v>102</v>
      </c>
      <c r="AN19" s="328">
        <v>6</v>
      </c>
      <c r="AO19" s="2"/>
      <c r="AP19" s="323">
        <v>31</v>
      </c>
      <c r="AQ19" s="323">
        <v>9</v>
      </c>
      <c r="AR19" s="323">
        <v>0</v>
      </c>
      <c r="AS19" s="2"/>
      <c r="AT19" s="323">
        <v>4</v>
      </c>
      <c r="AU19" s="323">
        <v>9</v>
      </c>
      <c r="AV19" s="323">
        <v>5</v>
      </c>
      <c r="AW19" s="323">
        <v>6</v>
      </c>
      <c r="AX19" s="323">
        <v>16</v>
      </c>
      <c r="AY19" s="323">
        <v>0</v>
      </c>
      <c r="AZ19" s="323">
        <v>0</v>
      </c>
      <c r="BA19" s="323">
        <v>0</v>
      </c>
      <c r="BB19" s="323">
        <v>0</v>
      </c>
      <c r="BC19" s="323">
        <v>0</v>
      </c>
      <c r="BD19" s="323">
        <v>0</v>
      </c>
      <c r="BE19" s="323">
        <v>0</v>
      </c>
      <c r="BF19" s="2" t="s">
        <v>505</v>
      </c>
      <c r="BG19" s="327">
        <v>5</v>
      </c>
      <c r="BH19" s="323">
        <v>2</v>
      </c>
      <c r="BI19" s="323">
        <v>6</v>
      </c>
      <c r="BJ19" s="323">
        <v>13</v>
      </c>
      <c r="BK19" s="323">
        <v>10</v>
      </c>
      <c r="BL19" s="323">
        <v>0</v>
      </c>
      <c r="BM19" s="323">
        <v>0</v>
      </c>
      <c r="BN19" s="323">
        <v>0</v>
      </c>
      <c r="BO19" s="323">
        <v>0</v>
      </c>
      <c r="BP19" s="323">
        <v>0</v>
      </c>
      <c r="BQ19" s="323">
        <v>0</v>
      </c>
      <c r="BR19" s="328">
        <v>0</v>
      </c>
      <c r="BS19" s="323">
        <v>36</v>
      </c>
      <c r="BT19" s="329">
        <v>0.453416149068323</v>
      </c>
      <c r="BU19" s="330">
        <v>0.75653698979591844</v>
      </c>
      <c r="BV19" s="330">
        <v>0.65238977889580285</v>
      </c>
      <c r="BW19" s="330">
        <v>0.65873329197450803</v>
      </c>
      <c r="BX19" s="330">
        <v>0.8947723233437519</v>
      </c>
      <c r="BY19" s="330">
        <v>0.86724086724086724</v>
      </c>
      <c r="BZ19" s="330">
        <v>0.87687687687687677</v>
      </c>
      <c r="CA19" s="330">
        <v>0.88424559012794313</v>
      </c>
      <c r="CB19" s="330">
        <v>0.88149688149688166</v>
      </c>
      <c r="CC19" s="330">
        <v>0.88833019065577212</v>
      </c>
      <c r="CD19" s="330">
        <v>0.89400038336208554</v>
      </c>
      <c r="CE19" s="331">
        <v>0.86486486486486491</v>
      </c>
      <c r="CF19" s="2"/>
      <c r="CG19" s="327">
        <v>36</v>
      </c>
      <c r="CH19" s="323">
        <v>41</v>
      </c>
      <c r="CI19" s="323">
        <v>39</v>
      </c>
      <c r="CJ19" s="323">
        <v>38</v>
      </c>
      <c r="CK19" s="323">
        <v>0</v>
      </c>
      <c r="CL19" s="323">
        <v>0</v>
      </c>
      <c r="CM19" s="323">
        <v>0</v>
      </c>
      <c r="CN19" s="323">
        <v>0</v>
      </c>
      <c r="CO19" s="323">
        <v>0</v>
      </c>
      <c r="CP19" s="323">
        <v>0</v>
      </c>
      <c r="CQ19" s="323">
        <v>0</v>
      </c>
      <c r="CR19" s="332">
        <v>0</v>
      </c>
      <c r="CS19" s="327">
        <v>0</v>
      </c>
      <c r="CT19" s="323">
        <v>0</v>
      </c>
      <c r="CU19" s="323">
        <v>0</v>
      </c>
      <c r="CV19" s="323">
        <v>0</v>
      </c>
      <c r="CW19" s="323">
        <v>0</v>
      </c>
      <c r="CX19" s="323">
        <v>0</v>
      </c>
      <c r="CY19" s="323">
        <v>0</v>
      </c>
      <c r="CZ19" s="323">
        <v>0</v>
      </c>
      <c r="DA19" s="323">
        <v>0</v>
      </c>
      <c r="DB19" s="323">
        <v>0</v>
      </c>
      <c r="DC19" s="323">
        <v>0</v>
      </c>
      <c r="DD19" s="328">
        <v>0</v>
      </c>
      <c r="DE19" s="4"/>
      <c r="DF19" s="416">
        <v>0</v>
      </c>
      <c r="DG19" s="417">
        <v>0</v>
      </c>
      <c r="DH19" s="417">
        <v>0</v>
      </c>
      <c r="DI19" s="417">
        <v>0</v>
      </c>
      <c r="DJ19" s="417">
        <v>0</v>
      </c>
      <c r="DK19" s="417">
        <v>0</v>
      </c>
      <c r="DL19" s="417">
        <v>0</v>
      </c>
      <c r="DM19" s="417">
        <v>0</v>
      </c>
      <c r="DN19" s="417">
        <v>0</v>
      </c>
      <c r="DO19" s="417">
        <v>0</v>
      </c>
      <c r="DP19" s="417">
        <v>0</v>
      </c>
      <c r="DQ19" s="417">
        <v>0</v>
      </c>
      <c r="DR19" s="4">
        <v>11</v>
      </c>
      <c r="DS19" s="387">
        <v>19</v>
      </c>
      <c r="DT19" s="321">
        <v>0</v>
      </c>
      <c r="DU19" s="321">
        <v>0</v>
      </c>
      <c r="DV19" s="321">
        <v>0</v>
      </c>
      <c r="DW19" s="321">
        <v>0</v>
      </c>
      <c r="DX19" s="321">
        <v>0</v>
      </c>
      <c r="DY19" s="321">
        <v>17</v>
      </c>
      <c r="DZ19" s="326">
        <v>36</v>
      </c>
      <c r="EA19" s="4"/>
      <c r="EB19" s="412" t="s">
        <v>205</v>
      </c>
      <c r="EC19" s="413" t="s">
        <v>330</v>
      </c>
      <c r="ED19" s="334">
        <v>1.0345804988662131</v>
      </c>
      <c r="EE19" s="334">
        <v>0.41666666666666669</v>
      </c>
      <c r="EF19" s="334">
        <v>0.17094017094017094</v>
      </c>
      <c r="EG19" s="321">
        <v>39</v>
      </c>
      <c r="EH19" s="414"/>
      <c r="EI19" s="414">
        <v>96.836734693877546</v>
      </c>
      <c r="EJ19" s="415"/>
      <c r="EK19" s="341">
        <v>98</v>
      </c>
      <c r="EL19" s="341">
        <v>93</v>
      </c>
      <c r="EM19" s="341">
        <v>92</v>
      </c>
      <c r="EN19" s="341">
        <v>96</v>
      </c>
      <c r="EO19" s="341">
        <v>89</v>
      </c>
      <c r="EP19" s="341">
        <v>0</v>
      </c>
      <c r="EQ19" s="341">
        <v>0</v>
      </c>
      <c r="ER19" s="341">
        <v>0</v>
      </c>
      <c r="ES19" s="341">
        <v>0</v>
      </c>
      <c r="ET19" s="341">
        <v>0</v>
      </c>
      <c r="EU19" s="341">
        <v>0</v>
      </c>
      <c r="EV19" s="341">
        <v>0</v>
      </c>
      <c r="EW19" s="343">
        <v>93.6</v>
      </c>
      <c r="EX19" s="321">
        <v>89</v>
      </c>
      <c r="EY19" s="341">
        <v>0</v>
      </c>
      <c r="EZ19" s="341">
        <v>5</v>
      </c>
      <c r="FA19" s="341">
        <v>8</v>
      </c>
      <c r="FB19" s="341">
        <v>0</v>
      </c>
      <c r="FC19" s="341">
        <v>0</v>
      </c>
      <c r="FD19" s="341">
        <v>1</v>
      </c>
      <c r="FE19" s="341">
        <v>25</v>
      </c>
      <c r="FF19" s="341">
        <v>0</v>
      </c>
      <c r="FG19" s="341">
        <v>0</v>
      </c>
      <c r="FH19" s="341">
        <v>39</v>
      </c>
      <c r="FI19" s="341">
        <v>16</v>
      </c>
      <c r="FJ19" s="4"/>
      <c r="FK19" s="341">
        <v>83</v>
      </c>
      <c r="FL19" s="341">
        <v>6</v>
      </c>
      <c r="FM19" s="2"/>
      <c r="FN19" s="341">
        <v>30</v>
      </c>
      <c r="FO19" s="341">
        <v>9</v>
      </c>
      <c r="FP19" s="341">
        <v>0</v>
      </c>
      <c r="FR19" s="412" t="s">
        <v>205</v>
      </c>
      <c r="FS19" s="413" t="s">
        <v>330</v>
      </c>
      <c r="FT19" s="334">
        <v>0.14270075846430527</v>
      </c>
      <c r="FU19" s="334">
        <v>5.7471264367816098E-2</v>
      </c>
      <c r="FV19" s="340">
        <v>0</v>
      </c>
      <c r="FW19" s="321">
        <v>1</v>
      </c>
      <c r="FX19" s="414"/>
      <c r="FY19" s="414">
        <v>2.4829931972789114</v>
      </c>
      <c r="FZ19" s="415"/>
      <c r="GA19" s="341">
        <v>17</v>
      </c>
      <c r="GB19" s="341">
        <v>16</v>
      </c>
      <c r="GC19" s="341">
        <v>16</v>
      </c>
      <c r="GD19" s="341">
        <v>19</v>
      </c>
      <c r="GE19" s="341">
        <v>19</v>
      </c>
      <c r="GF19" s="341">
        <v>0</v>
      </c>
      <c r="GG19" s="341">
        <v>0</v>
      </c>
      <c r="GH19" s="341">
        <v>0</v>
      </c>
      <c r="GI19" s="341">
        <v>0</v>
      </c>
      <c r="GJ19" s="341">
        <v>0</v>
      </c>
      <c r="GK19" s="341">
        <v>0</v>
      </c>
      <c r="GL19" s="341">
        <v>0</v>
      </c>
      <c r="GM19" s="343">
        <v>17.399999999999999</v>
      </c>
      <c r="GN19" s="341">
        <v>19</v>
      </c>
      <c r="GO19" s="341">
        <v>0</v>
      </c>
      <c r="GP19" s="341">
        <v>0</v>
      </c>
      <c r="GQ19" s="341">
        <v>0</v>
      </c>
      <c r="GR19" s="341">
        <v>0</v>
      </c>
      <c r="GS19" s="341">
        <v>0</v>
      </c>
      <c r="GT19" s="341">
        <v>0</v>
      </c>
      <c r="GU19" s="341">
        <v>1</v>
      </c>
      <c r="GV19" s="341">
        <v>0</v>
      </c>
      <c r="GW19" s="341">
        <v>0</v>
      </c>
      <c r="GX19" s="341">
        <v>1</v>
      </c>
      <c r="GY19" s="341">
        <v>0</v>
      </c>
      <c r="GZ19" s="4"/>
      <c r="HA19" s="341">
        <v>19</v>
      </c>
      <c r="HB19" s="341">
        <v>0</v>
      </c>
      <c r="HC19" s="2"/>
      <c r="HD19" s="341">
        <v>1</v>
      </c>
      <c r="HE19" s="341">
        <v>0</v>
      </c>
      <c r="HF19" s="341">
        <v>0</v>
      </c>
      <c r="HH19">
        <v>6</v>
      </c>
      <c r="HI19">
        <v>3.9215686274509803E-2</v>
      </c>
      <c r="HJ19">
        <v>9</v>
      </c>
      <c r="HK19">
        <v>5.8823529411764705E-2</v>
      </c>
      <c r="HL19">
        <v>14</v>
      </c>
      <c r="HM19">
        <v>9.1503267973856203E-2</v>
      </c>
      <c r="HN19">
        <v>17</v>
      </c>
      <c r="HO19">
        <v>0.1111111111111111</v>
      </c>
      <c r="HP19">
        <v>23</v>
      </c>
      <c r="HQ19">
        <v>0.15032679738562091</v>
      </c>
      <c r="HR19">
        <v>36</v>
      </c>
      <c r="HS19">
        <v>0.23529411764705882</v>
      </c>
      <c r="HT19">
        <v>117</v>
      </c>
      <c r="HU19">
        <v>0.76470588235294112</v>
      </c>
      <c r="HV19">
        <v>153</v>
      </c>
    </row>
    <row r="20" spans="1:230" x14ac:dyDescent="0.25">
      <c r="A20" t="s">
        <v>506</v>
      </c>
      <c r="B20" s="4">
        <v>1079</v>
      </c>
      <c r="C20" s="444" t="s">
        <v>219</v>
      </c>
      <c r="D20" s="418" t="s">
        <v>204</v>
      </c>
      <c r="E20" s="419" t="s">
        <v>506</v>
      </c>
      <c r="F20" s="340">
        <v>0.6617364527354298</v>
      </c>
      <c r="G20" s="340">
        <v>0.26650755767700873</v>
      </c>
      <c r="H20" s="340">
        <v>1.1933174224343675E-2</v>
      </c>
      <c r="I20" s="323">
        <v>67</v>
      </c>
      <c r="J20" s="420"/>
      <c r="K20" s="478">
        <v>166.36054421768708</v>
      </c>
      <c r="L20" s="421"/>
      <c r="M20" s="323">
        <v>260</v>
      </c>
      <c r="N20" s="323">
        <v>258</v>
      </c>
      <c r="O20" s="323">
        <v>244</v>
      </c>
      <c r="P20" s="323">
        <v>246</v>
      </c>
      <c r="Q20" s="323">
        <v>249</v>
      </c>
      <c r="R20" s="323">
        <v>0</v>
      </c>
      <c r="S20" s="323">
        <v>0</v>
      </c>
      <c r="T20" s="323">
        <v>0</v>
      </c>
      <c r="U20" s="323">
        <v>0</v>
      </c>
      <c r="V20" s="323">
        <v>0</v>
      </c>
      <c r="W20" s="323">
        <v>0</v>
      </c>
      <c r="X20" s="323">
        <v>0</v>
      </c>
      <c r="Y20" s="347">
        <v>251.4</v>
      </c>
      <c r="Z20" s="323">
        <v>249</v>
      </c>
      <c r="AA20" s="323">
        <v>0</v>
      </c>
      <c r="AB20" s="323">
        <v>20</v>
      </c>
      <c r="AC20" s="323">
        <v>5</v>
      </c>
      <c r="AD20" s="323">
        <v>5</v>
      </c>
      <c r="AE20" s="323">
        <v>0</v>
      </c>
      <c r="AF20" s="323">
        <v>0</v>
      </c>
      <c r="AG20" s="323">
        <v>37</v>
      </c>
      <c r="AH20" s="323">
        <v>0</v>
      </c>
      <c r="AI20" s="323">
        <v>0</v>
      </c>
      <c r="AJ20" s="323">
        <v>67</v>
      </c>
      <c r="AK20" s="328">
        <v>3</v>
      </c>
      <c r="AL20" s="4" t="s">
        <v>204</v>
      </c>
      <c r="AM20" s="327">
        <v>219</v>
      </c>
      <c r="AN20" s="328">
        <v>30</v>
      </c>
      <c r="AO20" s="2"/>
      <c r="AP20" s="323">
        <v>57</v>
      </c>
      <c r="AQ20" s="323">
        <v>10</v>
      </c>
      <c r="AR20" s="323">
        <v>0</v>
      </c>
      <c r="AS20" s="2"/>
      <c r="AT20" s="323">
        <v>15</v>
      </c>
      <c r="AU20" s="323">
        <v>14</v>
      </c>
      <c r="AV20" s="323">
        <v>25</v>
      </c>
      <c r="AW20" s="323">
        <v>10</v>
      </c>
      <c r="AX20" s="323">
        <v>3</v>
      </c>
      <c r="AY20" s="323">
        <v>0</v>
      </c>
      <c r="AZ20" s="323">
        <v>0</v>
      </c>
      <c r="BA20" s="323">
        <v>0</v>
      </c>
      <c r="BB20" s="323">
        <v>0</v>
      </c>
      <c r="BC20" s="323">
        <v>0</v>
      </c>
      <c r="BD20" s="323">
        <v>0</v>
      </c>
      <c r="BE20" s="323">
        <v>0</v>
      </c>
      <c r="BF20" s="2" t="s">
        <v>506</v>
      </c>
      <c r="BG20" s="327">
        <v>18</v>
      </c>
      <c r="BH20" s="323">
        <v>12</v>
      </c>
      <c r="BI20" s="323">
        <v>11</v>
      </c>
      <c r="BJ20" s="323">
        <v>12</v>
      </c>
      <c r="BK20" s="323">
        <v>6</v>
      </c>
      <c r="BL20" s="323">
        <v>0</v>
      </c>
      <c r="BM20" s="323">
        <v>0</v>
      </c>
      <c r="BN20" s="323">
        <v>0</v>
      </c>
      <c r="BO20" s="323">
        <v>0</v>
      </c>
      <c r="BP20" s="323">
        <v>0</v>
      </c>
      <c r="BQ20" s="323">
        <v>0</v>
      </c>
      <c r="BR20" s="328">
        <v>0</v>
      </c>
      <c r="BS20" s="323">
        <v>59</v>
      </c>
      <c r="BT20" s="329">
        <v>0.75206043956043966</v>
      </c>
      <c r="BU20" s="330">
        <v>0.7297986762272477</v>
      </c>
      <c r="BV20" s="330">
        <v>0.85272994721813622</v>
      </c>
      <c r="BW20" s="330">
        <v>0.77897825796985465</v>
      </c>
      <c r="BX20" s="330">
        <v>0.66173645273542991</v>
      </c>
      <c r="BY20" s="330">
        <v>0.64137533111280121</v>
      </c>
      <c r="BZ20" s="330">
        <v>0.64850172368072123</v>
      </c>
      <c r="CA20" s="330">
        <v>0.65395131799736606</v>
      </c>
      <c r="CB20" s="330">
        <v>0.65191848724068302</v>
      </c>
      <c r="CC20" s="330">
        <v>0.65697211892471918</v>
      </c>
      <c r="CD20" s="330">
        <v>0.66116555798168553</v>
      </c>
      <c r="CE20" s="331">
        <v>0.63961813842482096</v>
      </c>
      <c r="CF20" s="2"/>
      <c r="CG20" s="327">
        <v>72</v>
      </c>
      <c r="CH20" s="323">
        <v>80</v>
      </c>
      <c r="CI20" s="323">
        <v>74</v>
      </c>
      <c r="CJ20" s="323">
        <v>67</v>
      </c>
      <c r="CK20" s="323">
        <v>0</v>
      </c>
      <c r="CL20" s="323">
        <v>0</v>
      </c>
      <c r="CM20" s="323">
        <v>0</v>
      </c>
      <c r="CN20" s="323">
        <v>0</v>
      </c>
      <c r="CO20" s="323">
        <v>0</v>
      </c>
      <c r="CP20" s="323">
        <v>0</v>
      </c>
      <c r="CQ20" s="323">
        <v>0</v>
      </c>
      <c r="CR20" s="332">
        <v>0</v>
      </c>
      <c r="CS20" s="327">
        <v>0</v>
      </c>
      <c r="CT20" s="323">
        <v>0</v>
      </c>
      <c r="CU20" s="323">
        <v>0</v>
      </c>
      <c r="CV20" s="323">
        <v>0</v>
      </c>
      <c r="CW20" s="323">
        <v>0</v>
      </c>
      <c r="CX20" s="323">
        <v>0</v>
      </c>
      <c r="CY20" s="323">
        <v>0</v>
      </c>
      <c r="CZ20" s="323">
        <v>0</v>
      </c>
      <c r="DA20" s="323">
        <v>0</v>
      </c>
      <c r="DB20" s="323">
        <v>0</v>
      </c>
      <c r="DC20" s="323">
        <v>0</v>
      </c>
      <c r="DD20" s="328">
        <v>0</v>
      </c>
      <c r="DE20" s="4"/>
      <c r="DF20" s="416">
        <v>0</v>
      </c>
      <c r="DG20" s="417">
        <v>0</v>
      </c>
      <c r="DH20" s="417">
        <v>0</v>
      </c>
      <c r="DI20" s="417">
        <v>0</v>
      </c>
      <c r="DJ20" s="417">
        <v>0</v>
      </c>
      <c r="DK20" s="417">
        <v>0</v>
      </c>
      <c r="DL20" s="417">
        <v>0</v>
      </c>
      <c r="DM20" s="417">
        <v>0</v>
      </c>
      <c r="DN20" s="417">
        <v>0</v>
      </c>
      <c r="DO20" s="417">
        <v>0</v>
      </c>
      <c r="DP20" s="417">
        <v>0</v>
      </c>
      <c r="DQ20" s="417">
        <v>0</v>
      </c>
      <c r="DS20" s="327">
        <v>21</v>
      </c>
      <c r="DT20" s="323">
        <v>0</v>
      </c>
      <c r="DU20" s="323">
        <v>0</v>
      </c>
      <c r="DV20" s="323">
        <v>0</v>
      </c>
      <c r="DW20" s="323">
        <v>0</v>
      </c>
      <c r="DX20" s="323">
        <v>0</v>
      </c>
      <c r="DY20" s="323">
        <v>38</v>
      </c>
      <c r="DZ20" s="328">
        <v>59</v>
      </c>
      <c r="EA20" s="4"/>
      <c r="EB20" s="418" t="s">
        <v>204</v>
      </c>
      <c r="EC20" s="419" t="s">
        <v>332</v>
      </c>
      <c r="ED20" s="340">
        <v>0.66115203477840845</v>
      </c>
      <c r="EE20" s="340">
        <v>0.26627218934911245</v>
      </c>
      <c r="EF20" s="340">
        <v>1.2679628064243449E-2</v>
      </c>
      <c r="EG20" s="323">
        <v>63</v>
      </c>
      <c r="EH20" s="420"/>
      <c r="EI20" s="420">
        <v>156.42857142857142</v>
      </c>
      <c r="EJ20" s="421"/>
      <c r="EK20" s="323">
        <v>246</v>
      </c>
      <c r="EL20" s="323">
        <v>242</v>
      </c>
      <c r="EM20" s="323">
        <v>230</v>
      </c>
      <c r="EN20" s="323">
        <v>231</v>
      </c>
      <c r="EO20" s="323">
        <v>234</v>
      </c>
      <c r="EP20" s="323">
        <v>0</v>
      </c>
      <c r="EQ20" s="323">
        <v>0</v>
      </c>
      <c r="ER20" s="323">
        <v>0</v>
      </c>
      <c r="ES20" s="323">
        <v>0</v>
      </c>
      <c r="ET20" s="323">
        <v>0</v>
      </c>
      <c r="EU20" s="323">
        <v>0</v>
      </c>
      <c r="EV20" s="323">
        <v>0</v>
      </c>
      <c r="EW20" s="347">
        <v>236.6</v>
      </c>
      <c r="EX20" s="323">
        <v>234</v>
      </c>
      <c r="EY20" s="323">
        <v>0</v>
      </c>
      <c r="EZ20" s="323">
        <v>20</v>
      </c>
      <c r="FA20" s="323">
        <v>5</v>
      </c>
      <c r="FB20" s="323">
        <v>4</v>
      </c>
      <c r="FC20" s="323">
        <v>0</v>
      </c>
      <c r="FD20" s="323">
        <v>0</v>
      </c>
      <c r="FE20" s="323">
        <v>34</v>
      </c>
      <c r="FF20" s="323">
        <v>0</v>
      </c>
      <c r="FG20" s="323">
        <v>0</v>
      </c>
      <c r="FH20" s="323">
        <v>63</v>
      </c>
      <c r="FI20" s="323">
        <v>3</v>
      </c>
      <c r="FJ20" s="4"/>
      <c r="FK20" s="323">
        <v>204</v>
      </c>
      <c r="FL20" s="323">
        <v>30</v>
      </c>
      <c r="FM20" s="2"/>
      <c r="FN20" s="323">
        <v>54</v>
      </c>
      <c r="FO20" s="323">
        <v>9</v>
      </c>
      <c r="FP20" s="323">
        <v>0</v>
      </c>
      <c r="FR20" s="418" t="s">
        <v>204</v>
      </c>
      <c r="FS20" s="419" t="s">
        <v>332</v>
      </c>
      <c r="FT20" s="340">
        <v>0.67107924250781381</v>
      </c>
      <c r="FU20" s="340">
        <v>0.27027027027027023</v>
      </c>
      <c r="FV20" s="340">
        <v>0</v>
      </c>
      <c r="FW20" s="323">
        <v>4</v>
      </c>
      <c r="FX20" s="420"/>
      <c r="FY20" s="420">
        <v>9.9319727891156457</v>
      </c>
      <c r="FZ20" s="421"/>
      <c r="GA20" s="323">
        <v>14</v>
      </c>
      <c r="GB20" s="323">
        <v>16</v>
      </c>
      <c r="GC20" s="323">
        <v>14</v>
      </c>
      <c r="GD20" s="323">
        <v>15</v>
      </c>
      <c r="GE20" s="323">
        <v>15</v>
      </c>
      <c r="GF20" s="323">
        <v>0</v>
      </c>
      <c r="GG20" s="323">
        <v>0</v>
      </c>
      <c r="GH20" s="323">
        <v>0</v>
      </c>
      <c r="GI20" s="323">
        <v>0</v>
      </c>
      <c r="GJ20" s="323">
        <v>0</v>
      </c>
      <c r="GK20" s="323">
        <v>0</v>
      </c>
      <c r="GL20" s="323">
        <v>0</v>
      </c>
      <c r="GM20" s="347">
        <v>14.8</v>
      </c>
      <c r="GN20" s="341">
        <v>15</v>
      </c>
      <c r="GO20" s="323">
        <v>0</v>
      </c>
      <c r="GP20" s="323">
        <v>0</v>
      </c>
      <c r="GQ20" s="323">
        <v>0</v>
      </c>
      <c r="GR20" s="323">
        <v>1</v>
      </c>
      <c r="GS20" s="323">
        <v>0</v>
      </c>
      <c r="GT20" s="323">
        <v>0</v>
      </c>
      <c r="GU20" s="323">
        <v>3</v>
      </c>
      <c r="GV20" s="323">
        <v>0</v>
      </c>
      <c r="GW20" s="323">
        <v>0</v>
      </c>
      <c r="GX20" s="323">
        <v>4</v>
      </c>
      <c r="GY20" s="323">
        <v>0</v>
      </c>
      <c r="GZ20" s="4"/>
      <c r="HA20" s="323">
        <v>15</v>
      </c>
      <c r="HB20" s="323">
        <v>0</v>
      </c>
      <c r="HC20" s="2"/>
      <c r="HD20" s="323">
        <v>3</v>
      </c>
      <c r="HE20" s="323">
        <v>1</v>
      </c>
      <c r="HF20" s="323">
        <v>0</v>
      </c>
      <c r="HH20">
        <v>14</v>
      </c>
      <c r="HI20">
        <v>5.0179211469534052E-2</v>
      </c>
      <c r="HJ20">
        <v>22</v>
      </c>
      <c r="HK20">
        <v>7.8853046594982074E-2</v>
      </c>
      <c r="HL20">
        <v>29</v>
      </c>
      <c r="HM20">
        <v>0.1039426523297491</v>
      </c>
      <c r="HN20">
        <v>29</v>
      </c>
      <c r="HO20">
        <v>0.1039426523297491</v>
      </c>
      <c r="HP20">
        <v>51</v>
      </c>
      <c r="HQ20">
        <v>0.18279569892473119</v>
      </c>
      <c r="HR20">
        <v>72</v>
      </c>
      <c r="HS20">
        <v>0.25806451612903225</v>
      </c>
      <c r="HT20">
        <v>207</v>
      </c>
      <c r="HU20">
        <v>0.74193548387096775</v>
      </c>
      <c r="HV20">
        <v>279</v>
      </c>
    </row>
    <row r="21" spans="1:230" x14ac:dyDescent="0.25">
      <c r="A21" t="s">
        <v>507</v>
      </c>
      <c r="B21" s="4">
        <v>1080</v>
      </c>
      <c r="C21" s="444" t="s">
        <v>235</v>
      </c>
      <c r="D21" s="418" t="s">
        <v>204</v>
      </c>
      <c r="E21" s="419" t="s">
        <v>507</v>
      </c>
      <c r="F21" s="340">
        <v>0.75191584036037029</v>
      </c>
      <c r="G21" s="340">
        <v>0.30282637954239572</v>
      </c>
      <c r="H21" s="340">
        <v>4.7106325706594884E-2</v>
      </c>
      <c r="I21" s="323">
        <v>45</v>
      </c>
      <c r="J21" s="420"/>
      <c r="K21" s="478">
        <v>111.73469387755101</v>
      </c>
      <c r="L21" s="421"/>
      <c r="M21" s="323">
        <v>142</v>
      </c>
      <c r="N21" s="323">
        <v>157</v>
      </c>
      <c r="O21" s="323">
        <v>147</v>
      </c>
      <c r="P21" s="323">
        <v>148</v>
      </c>
      <c r="Q21" s="323">
        <v>149</v>
      </c>
      <c r="R21" s="323">
        <v>0</v>
      </c>
      <c r="S21" s="323">
        <v>0</v>
      </c>
      <c r="T21" s="323">
        <v>0</v>
      </c>
      <c r="U21" s="323">
        <v>0</v>
      </c>
      <c r="V21" s="323">
        <v>0</v>
      </c>
      <c r="W21" s="323">
        <v>0</v>
      </c>
      <c r="X21" s="323">
        <v>0</v>
      </c>
      <c r="Y21" s="347">
        <v>148.6</v>
      </c>
      <c r="Z21" s="323">
        <v>149</v>
      </c>
      <c r="AA21" s="323">
        <v>5</v>
      </c>
      <c r="AB21" s="323">
        <v>12</v>
      </c>
      <c r="AC21" s="323">
        <v>7</v>
      </c>
      <c r="AD21" s="323">
        <v>0</v>
      </c>
      <c r="AE21" s="323">
        <v>0</v>
      </c>
      <c r="AF21" s="323">
        <v>2</v>
      </c>
      <c r="AG21" s="323">
        <v>18</v>
      </c>
      <c r="AH21" s="323">
        <v>0</v>
      </c>
      <c r="AI21" s="323">
        <v>1</v>
      </c>
      <c r="AJ21" s="323">
        <v>45</v>
      </c>
      <c r="AK21" s="328">
        <v>7</v>
      </c>
      <c r="AL21" s="4" t="s">
        <v>204</v>
      </c>
      <c r="AM21" s="327">
        <v>139</v>
      </c>
      <c r="AN21" s="328">
        <v>10</v>
      </c>
      <c r="AO21" s="2"/>
      <c r="AP21" s="323">
        <v>36</v>
      </c>
      <c r="AQ21" s="323">
        <v>9</v>
      </c>
      <c r="AR21" s="323">
        <v>0</v>
      </c>
      <c r="AS21" s="2"/>
      <c r="AT21" s="323">
        <v>11</v>
      </c>
      <c r="AU21" s="323">
        <v>4</v>
      </c>
      <c r="AV21" s="323">
        <v>16</v>
      </c>
      <c r="AW21" s="323">
        <v>7</v>
      </c>
      <c r="AX21" s="323">
        <v>7</v>
      </c>
      <c r="AY21" s="323">
        <v>0</v>
      </c>
      <c r="AZ21" s="323">
        <v>0</v>
      </c>
      <c r="BA21" s="323">
        <v>0</v>
      </c>
      <c r="BB21" s="323">
        <v>0</v>
      </c>
      <c r="BC21" s="323">
        <v>0</v>
      </c>
      <c r="BD21" s="323">
        <v>0</v>
      </c>
      <c r="BE21" s="323">
        <v>0</v>
      </c>
      <c r="BF21" s="2" t="s">
        <v>507</v>
      </c>
      <c r="BG21" s="327">
        <v>7</v>
      </c>
      <c r="BH21" s="323">
        <v>21</v>
      </c>
      <c r="BI21" s="323">
        <v>10</v>
      </c>
      <c r="BJ21" s="323">
        <v>10</v>
      </c>
      <c r="BK21" s="323">
        <v>10</v>
      </c>
      <c r="BL21" s="323">
        <v>0</v>
      </c>
      <c r="BM21" s="323">
        <v>0</v>
      </c>
      <c r="BN21" s="323">
        <v>0</v>
      </c>
      <c r="BO21" s="323">
        <v>0</v>
      </c>
      <c r="BP21" s="323">
        <v>0</v>
      </c>
      <c r="BQ21" s="323">
        <v>0</v>
      </c>
      <c r="BR21" s="328">
        <v>0</v>
      </c>
      <c r="BS21" s="323">
        <v>58</v>
      </c>
      <c r="BT21" s="329">
        <v>1.0098088531187122</v>
      </c>
      <c r="BU21" s="330">
        <v>0.65396559961777356</v>
      </c>
      <c r="BV21" s="330">
        <v>0.83637214803134097</v>
      </c>
      <c r="BW21" s="330">
        <v>0.78487960840902016</v>
      </c>
      <c r="BX21" s="330">
        <v>0.75191584036037018</v>
      </c>
      <c r="BY21" s="330">
        <v>0.72877996834928194</v>
      </c>
      <c r="BZ21" s="330">
        <v>0.73687752355316294</v>
      </c>
      <c r="CA21" s="330">
        <v>0.74306977165024835</v>
      </c>
      <c r="CB21" s="330">
        <v>0.74075991303447564</v>
      </c>
      <c r="CC21" s="330">
        <v>0.74650223794171966</v>
      </c>
      <c r="CD21" s="330">
        <v>0.7512671458434752</v>
      </c>
      <c r="CE21" s="331">
        <v>0.72678331090174975</v>
      </c>
      <c r="CF21" s="2"/>
      <c r="CG21" s="327">
        <v>83</v>
      </c>
      <c r="CH21" s="323">
        <v>86</v>
      </c>
      <c r="CI21" s="323">
        <v>88</v>
      </c>
      <c r="CJ21" s="323">
        <v>87</v>
      </c>
      <c r="CK21" s="323">
        <v>0</v>
      </c>
      <c r="CL21" s="323">
        <v>0</v>
      </c>
      <c r="CM21" s="323">
        <v>0</v>
      </c>
      <c r="CN21" s="323">
        <v>0</v>
      </c>
      <c r="CO21" s="323">
        <v>0</v>
      </c>
      <c r="CP21" s="323">
        <v>0</v>
      </c>
      <c r="CQ21" s="323">
        <v>0</v>
      </c>
      <c r="CR21" s="332">
        <v>0</v>
      </c>
      <c r="CS21" s="327">
        <v>0</v>
      </c>
      <c r="CT21" s="323">
        <v>0</v>
      </c>
      <c r="CU21" s="323">
        <v>0</v>
      </c>
      <c r="CV21" s="323">
        <v>0</v>
      </c>
      <c r="CW21" s="323">
        <v>0</v>
      </c>
      <c r="CX21" s="323">
        <v>0</v>
      </c>
      <c r="CY21" s="323">
        <v>0</v>
      </c>
      <c r="CZ21" s="323">
        <v>0</v>
      </c>
      <c r="DA21" s="323">
        <v>0</v>
      </c>
      <c r="DB21" s="323">
        <v>0</v>
      </c>
      <c r="DC21" s="323">
        <v>0</v>
      </c>
      <c r="DD21" s="328">
        <v>0</v>
      </c>
      <c r="DE21" s="4"/>
      <c r="DF21" s="416">
        <v>0</v>
      </c>
      <c r="DG21" s="417">
        <v>0</v>
      </c>
      <c r="DH21" s="417">
        <v>0</v>
      </c>
      <c r="DI21" s="417">
        <v>0</v>
      </c>
      <c r="DJ21" s="417">
        <v>0</v>
      </c>
      <c r="DK21" s="417">
        <v>0</v>
      </c>
      <c r="DL21" s="417">
        <v>0</v>
      </c>
      <c r="DM21" s="417">
        <v>0</v>
      </c>
      <c r="DN21" s="417">
        <v>0</v>
      </c>
      <c r="DO21" s="417">
        <v>0</v>
      </c>
      <c r="DP21" s="417">
        <v>0</v>
      </c>
      <c r="DQ21" s="417">
        <v>0</v>
      </c>
      <c r="DS21" s="327">
        <v>28</v>
      </c>
      <c r="DT21" s="323">
        <v>0</v>
      </c>
      <c r="DU21" s="323">
        <v>0</v>
      </c>
      <c r="DV21" s="323">
        <v>0</v>
      </c>
      <c r="DW21" s="323">
        <v>0</v>
      </c>
      <c r="DX21" s="323">
        <v>0</v>
      </c>
      <c r="DY21" s="323">
        <v>30</v>
      </c>
      <c r="DZ21" s="328">
        <v>58</v>
      </c>
      <c r="EA21" s="4"/>
      <c r="EB21" s="418" t="s">
        <v>204</v>
      </c>
      <c r="EC21" s="419" t="s">
        <v>334</v>
      </c>
      <c r="ED21" s="340">
        <v>0.82231600232984947</v>
      </c>
      <c r="EE21" s="340">
        <v>0.33117932148626816</v>
      </c>
      <c r="EF21" s="340">
        <v>5.6542810985460421E-2</v>
      </c>
      <c r="EG21" s="323">
        <v>41</v>
      </c>
      <c r="EH21" s="420"/>
      <c r="EI21" s="420">
        <v>101.80272108843536</v>
      </c>
      <c r="EJ21" s="421"/>
      <c r="EK21" s="323">
        <v>115</v>
      </c>
      <c r="EL21" s="323">
        <v>132</v>
      </c>
      <c r="EM21" s="323">
        <v>124</v>
      </c>
      <c r="EN21" s="323">
        <v>124</v>
      </c>
      <c r="EO21" s="323">
        <v>124</v>
      </c>
      <c r="EP21" s="323">
        <v>0</v>
      </c>
      <c r="EQ21" s="323">
        <v>0</v>
      </c>
      <c r="ER21" s="323">
        <v>0</v>
      </c>
      <c r="ES21" s="323">
        <v>0</v>
      </c>
      <c r="ET21" s="323">
        <v>0</v>
      </c>
      <c r="EU21" s="323">
        <v>0</v>
      </c>
      <c r="EV21" s="323">
        <v>0</v>
      </c>
      <c r="EW21" s="347">
        <v>123.8</v>
      </c>
      <c r="EX21" s="323">
        <v>124</v>
      </c>
      <c r="EY21" s="323">
        <v>5</v>
      </c>
      <c r="EZ21" s="323">
        <v>12</v>
      </c>
      <c r="FA21" s="323">
        <v>7</v>
      </c>
      <c r="FB21" s="323">
        <v>0</v>
      </c>
      <c r="FC21" s="323">
        <v>0</v>
      </c>
      <c r="FD21" s="323">
        <v>0</v>
      </c>
      <c r="FE21" s="323">
        <v>16</v>
      </c>
      <c r="FF21" s="323">
        <v>0</v>
      </c>
      <c r="FG21" s="323">
        <v>1</v>
      </c>
      <c r="FH21" s="323">
        <v>41</v>
      </c>
      <c r="FI21" s="323">
        <v>7</v>
      </c>
      <c r="FJ21" s="4"/>
      <c r="FK21" s="323">
        <v>114</v>
      </c>
      <c r="FL21" s="323">
        <v>10</v>
      </c>
      <c r="FM21" s="2"/>
      <c r="FN21" s="323">
        <v>34</v>
      </c>
      <c r="FO21" s="323">
        <v>7</v>
      </c>
      <c r="FP21" s="323">
        <v>0</v>
      </c>
      <c r="FR21" s="418" t="s">
        <v>204</v>
      </c>
      <c r="FS21" s="419" t="s">
        <v>334</v>
      </c>
      <c r="FT21" s="340">
        <v>0.40048277375466312</v>
      </c>
      <c r="FU21" s="340">
        <v>0.16129032258064516</v>
      </c>
      <c r="FV21" s="340">
        <v>0</v>
      </c>
      <c r="FW21" s="323">
        <v>4</v>
      </c>
      <c r="FX21" s="420"/>
      <c r="FY21" s="420">
        <v>9.9319727891156457</v>
      </c>
      <c r="FZ21" s="421"/>
      <c r="GA21" s="323">
        <v>27</v>
      </c>
      <c r="GB21" s="323">
        <v>25</v>
      </c>
      <c r="GC21" s="323">
        <v>23</v>
      </c>
      <c r="GD21" s="323">
        <v>24</v>
      </c>
      <c r="GE21" s="323">
        <v>25</v>
      </c>
      <c r="GF21" s="323">
        <v>0</v>
      </c>
      <c r="GG21" s="323">
        <v>0</v>
      </c>
      <c r="GH21" s="323">
        <v>0</v>
      </c>
      <c r="GI21" s="323">
        <v>0</v>
      </c>
      <c r="GJ21" s="323">
        <v>0</v>
      </c>
      <c r="GK21" s="323">
        <v>0</v>
      </c>
      <c r="GL21" s="323">
        <v>0</v>
      </c>
      <c r="GM21" s="347">
        <v>24.8</v>
      </c>
      <c r="GN21" s="341">
        <v>25</v>
      </c>
      <c r="GO21" s="323">
        <v>0</v>
      </c>
      <c r="GP21" s="323">
        <v>0</v>
      </c>
      <c r="GQ21" s="323">
        <v>0</v>
      </c>
      <c r="GR21" s="323">
        <v>0</v>
      </c>
      <c r="GS21" s="323">
        <v>0</v>
      </c>
      <c r="GT21" s="323">
        <v>2</v>
      </c>
      <c r="GU21" s="323">
        <v>2</v>
      </c>
      <c r="GV21" s="323">
        <v>0</v>
      </c>
      <c r="GW21" s="323">
        <v>0</v>
      </c>
      <c r="GX21" s="323">
        <v>4</v>
      </c>
      <c r="GY21" s="323">
        <v>0</v>
      </c>
      <c r="GZ21" s="4"/>
      <c r="HA21" s="323">
        <v>25</v>
      </c>
      <c r="HB21" s="323">
        <v>0</v>
      </c>
      <c r="HC21" s="2"/>
      <c r="HD21" s="323">
        <v>2</v>
      </c>
      <c r="HE21" s="323">
        <v>2</v>
      </c>
      <c r="HF21" s="323">
        <v>0</v>
      </c>
      <c r="HH21">
        <v>16</v>
      </c>
      <c r="HI21">
        <v>7.5117370892018781E-2</v>
      </c>
      <c r="HJ21">
        <v>23</v>
      </c>
      <c r="HK21">
        <v>0.107981220657277</v>
      </c>
      <c r="HL21">
        <v>26</v>
      </c>
      <c r="HM21">
        <v>0.12206572769953052</v>
      </c>
      <c r="HN21">
        <v>36</v>
      </c>
      <c r="HO21">
        <v>0.16901408450704225</v>
      </c>
      <c r="HP21">
        <v>54</v>
      </c>
      <c r="HQ21">
        <v>0.25352112676056338</v>
      </c>
      <c r="HR21">
        <v>83</v>
      </c>
      <c r="HS21">
        <v>0.38967136150234744</v>
      </c>
      <c r="HT21">
        <v>130</v>
      </c>
      <c r="HU21">
        <v>0.61032863849765262</v>
      </c>
      <c r="HV21">
        <v>213</v>
      </c>
    </row>
    <row r="22" spans="1:230" x14ac:dyDescent="0.25">
      <c r="A22" t="s">
        <v>508</v>
      </c>
      <c r="B22" s="4">
        <v>1090</v>
      </c>
      <c r="C22" s="444" t="s">
        <v>249</v>
      </c>
      <c r="D22" s="418" t="s">
        <v>207</v>
      </c>
      <c r="E22" s="419" t="s">
        <v>508</v>
      </c>
      <c r="F22" s="340">
        <v>0.30280404844864778</v>
      </c>
      <c r="G22" s="340">
        <v>0.12195121951219513</v>
      </c>
      <c r="H22" s="340">
        <v>3.0487804878048783E-2</v>
      </c>
      <c r="I22" s="323">
        <v>8</v>
      </c>
      <c r="J22" s="420"/>
      <c r="K22" s="478">
        <v>19.863945578231291</v>
      </c>
      <c r="L22" s="421"/>
      <c r="M22" s="323">
        <v>64</v>
      </c>
      <c r="N22" s="323">
        <v>66</v>
      </c>
      <c r="O22" s="323">
        <v>68</v>
      </c>
      <c r="P22" s="323">
        <v>65</v>
      </c>
      <c r="Q22" s="323">
        <v>65</v>
      </c>
      <c r="R22" s="323">
        <v>0</v>
      </c>
      <c r="S22" s="323">
        <v>0</v>
      </c>
      <c r="T22" s="323">
        <v>0</v>
      </c>
      <c r="U22" s="323">
        <v>0</v>
      </c>
      <c r="V22" s="323">
        <v>0</v>
      </c>
      <c r="W22" s="323">
        <v>0</v>
      </c>
      <c r="X22" s="323">
        <v>0</v>
      </c>
      <c r="Y22" s="347">
        <v>65.599999999999994</v>
      </c>
      <c r="Z22" s="323">
        <v>65</v>
      </c>
      <c r="AA22" s="323">
        <v>0</v>
      </c>
      <c r="AB22" s="323">
        <v>2</v>
      </c>
      <c r="AC22" s="323">
        <v>2</v>
      </c>
      <c r="AD22" s="323">
        <v>0</v>
      </c>
      <c r="AE22" s="323">
        <v>0</v>
      </c>
      <c r="AF22" s="323">
        <v>0</v>
      </c>
      <c r="AG22" s="323">
        <v>4</v>
      </c>
      <c r="AH22" s="323">
        <v>0</v>
      </c>
      <c r="AI22" s="323">
        <v>0</v>
      </c>
      <c r="AJ22" s="323">
        <v>8</v>
      </c>
      <c r="AK22" s="328">
        <v>2</v>
      </c>
      <c r="AL22" s="4" t="s">
        <v>207</v>
      </c>
      <c r="AM22" s="327">
        <v>60</v>
      </c>
      <c r="AN22" s="328">
        <v>5</v>
      </c>
      <c r="AO22" s="2"/>
      <c r="AP22" s="323">
        <v>6</v>
      </c>
      <c r="AQ22" s="323">
        <v>2</v>
      </c>
      <c r="AR22" s="323">
        <v>0</v>
      </c>
      <c r="AS22" s="2"/>
      <c r="AT22" s="323">
        <v>1</v>
      </c>
      <c r="AU22" s="323">
        <v>1</v>
      </c>
      <c r="AV22" s="323">
        <v>2</v>
      </c>
      <c r="AW22" s="323">
        <v>2</v>
      </c>
      <c r="AX22" s="323">
        <v>2</v>
      </c>
      <c r="AY22" s="323">
        <v>0</v>
      </c>
      <c r="AZ22" s="323">
        <v>0</v>
      </c>
      <c r="BA22" s="323">
        <v>0</v>
      </c>
      <c r="BB22" s="323">
        <v>0</v>
      </c>
      <c r="BC22" s="323">
        <v>0</v>
      </c>
      <c r="BD22" s="323">
        <v>0</v>
      </c>
      <c r="BE22" s="323">
        <v>0</v>
      </c>
      <c r="BF22" s="2" t="s">
        <v>508</v>
      </c>
      <c r="BG22" s="327">
        <v>3</v>
      </c>
      <c r="BH22" s="323">
        <v>3</v>
      </c>
      <c r="BI22" s="323">
        <v>3</v>
      </c>
      <c r="BJ22" s="323">
        <v>2</v>
      </c>
      <c r="BK22" s="323">
        <v>3</v>
      </c>
      <c r="BL22" s="323">
        <v>0</v>
      </c>
      <c r="BM22" s="323">
        <v>0</v>
      </c>
      <c r="BN22" s="323">
        <v>0</v>
      </c>
      <c r="BO22" s="323">
        <v>0</v>
      </c>
      <c r="BP22" s="323">
        <v>0</v>
      </c>
      <c r="BQ22" s="323">
        <v>0</v>
      </c>
      <c r="BR22" s="328">
        <v>0</v>
      </c>
      <c r="BS22" s="323">
        <v>14</v>
      </c>
      <c r="BT22" s="329">
        <v>0.20368303571428573</v>
      </c>
      <c r="BU22" s="330">
        <v>0.20054945054945056</v>
      </c>
      <c r="BV22" s="330">
        <v>0.24309024309024307</v>
      </c>
      <c r="BW22" s="330">
        <v>0.2798990318560885</v>
      </c>
      <c r="BX22" s="330">
        <v>0.30280404844864778</v>
      </c>
      <c r="BY22" s="330">
        <v>0.29348700080407397</v>
      </c>
      <c r="BZ22" s="330">
        <v>0.2967479674796748</v>
      </c>
      <c r="CA22" s="330">
        <v>0.2992416478786637</v>
      </c>
      <c r="CB22" s="330">
        <v>0.2983114446529081</v>
      </c>
      <c r="CC22" s="330">
        <v>0.30062393647192287</v>
      </c>
      <c r="CD22" s="330">
        <v>0.3025428126621692</v>
      </c>
      <c r="CE22" s="331">
        <v>0.29268292682926833</v>
      </c>
      <c r="CF22" s="2"/>
      <c r="CG22" s="327">
        <v>19</v>
      </c>
      <c r="CH22" s="323">
        <v>20</v>
      </c>
      <c r="CI22" s="323">
        <v>18</v>
      </c>
      <c r="CJ22" s="323">
        <v>17</v>
      </c>
      <c r="CK22" s="323">
        <v>0</v>
      </c>
      <c r="CL22" s="323">
        <v>0</v>
      </c>
      <c r="CM22" s="323">
        <v>0</v>
      </c>
      <c r="CN22" s="323">
        <v>0</v>
      </c>
      <c r="CO22" s="323">
        <v>0</v>
      </c>
      <c r="CP22" s="323">
        <v>0</v>
      </c>
      <c r="CQ22" s="323">
        <v>0</v>
      </c>
      <c r="CR22" s="332">
        <v>0</v>
      </c>
      <c r="CS22" s="327">
        <v>0</v>
      </c>
      <c r="CT22" s="323">
        <v>0</v>
      </c>
      <c r="CU22" s="323">
        <v>0</v>
      </c>
      <c r="CV22" s="323">
        <v>0</v>
      </c>
      <c r="CW22" s="323">
        <v>0</v>
      </c>
      <c r="CX22" s="323">
        <v>0</v>
      </c>
      <c r="CY22" s="323">
        <v>0</v>
      </c>
      <c r="CZ22" s="323">
        <v>0</v>
      </c>
      <c r="DA22" s="323">
        <v>0</v>
      </c>
      <c r="DB22" s="323">
        <v>0</v>
      </c>
      <c r="DC22" s="323">
        <v>0</v>
      </c>
      <c r="DD22" s="328">
        <v>0</v>
      </c>
      <c r="DE22" s="4"/>
      <c r="DF22" s="416">
        <v>0</v>
      </c>
      <c r="DG22" s="417">
        <v>0</v>
      </c>
      <c r="DH22" s="417">
        <v>0</v>
      </c>
      <c r="DI22" s="417">
        <v>0</v>
      </c>
      <c r="DJ22" s="417">
        <v>0</v>
      </c>
      <c r="DK22" s="417">
        <v>0</v>
      </c>
      <c r="DL22" s="417">
        <v>0</v>
      </c>
      <c r="DM22" s="417">
        <v>0</v>
      </c>
      <c r="DN22" s="417">
        <v>0</v>
      </c>
      <c r="DO22" s="417">
        <v>0</v>
      </c>
      <c r="DP22" s="417">
        <v>0</v>
      </c>
      <c r="DQ22" s="417">
        <v>0</v>
      </c>
      <c r="DS22" s="327">
        <v>8</v>
      </c>
      <c r="DT22" s="323">
        <v>0</v>
      </c>
      <c r="DU22" s="323">
        <v>0</v>
      </c>
      <c r="DV22" s="323">
        <v>0</v>
      </c>
      <c r="DW22" s="323">
        <v>0</v>
      </c>
      <c r="DX22" s="323">
        <v>0</v>
      </c>
      <c r="DY22" s="323">
        <v>6</v>
      </c>
      <c r="DZ22" s="328">
        <v>14</v>
      </c>
      <c r="EA22" s="4"/>
      <c r="EB22" s="418" t="s">
        <v>207</v>
      </c>
      <c r="EC22" s="419" t="s">
        <v>336</v>
      </c>
      <c r="ED22" s="340">
        <v>0.29795918367346935</v>
      </c>
      <c r="EE22" s="340">
        <v>0.12</v>
      </c>
      <c r="EF22" s="340">
        <v>0.04</v>
      </c>
      <c r="EG22" s="323">
        <v>6</v>
      </c>
      <c r="EH22" s="420"/>
      <c r="EI22" s="420">
        <v>14.897959183673468</v>
      </c>
      <c r="EJ22" s="421"/>
      <c r="EK22" s="323">
        <v>49</v>
      </c>
      <c r="EL22" s="323">
        <v>51</v>
      </c>
      <c r="EM22" s="323">
        <v>52</v>
      </c>
      <c r="EN22" s="323">
        <v>49</v>
      </c>
      <c r="EO22" s="323">
        <v>49</v>
      </c>
      <c r="EP22" s="323">
        <v>0</v>
      </c>
      <c r="EQ22" s="323">
        <v>0</v>
      </c>
      <c r="ER22" s="323">
        <v>0</v>
      </c>
      <c r="ES22" s="323">
        <v>0</v>
      </c>
      <c r="ET22" s="323">
        <v>0</v>
      </c>
      <c r="EU22" s="323">
        <v>0</v>
      </c>
      <c r="EV22" s="323">
        <v>0</v>
      </c>
      <c r="EW22" s="347">
        <v>50</v>
      </c>
      <c r="EX22" s="323">
        <v>49</v>
      </c>
      <c r="EY22" s="323">
        <v>0</v>
      </c>
      <c r="EZ22" s="323">
        <v>1</v>
      </c>
      <c r="FA22" s="323">
        <v>1</v>
      </c>
      <c r="FB22" s="323">
        <v>0</v>
      </c>
      <c r="FC22" s="323">
        <v>0</v>
      </c>
      <c r="FD22" s="323">
        <v>0</v>
      </c>
      <c r="FE22" s="323">
        <v>4</v>
      </c>
      <c r="FF22" s="323">
        <v>0</v>
      </c>
      <c r="FG22" s="323">
        <v>0</v>
      </c>
      <c r="FH22" s="323">
        <v>6</v>
      </c>
      <c r="FI22" s="323">
        <v>2</v>
      </c>
      <c r="FJ22" s="4"/>
      <c r="FK22" s="323">
        <v>44</v>
      </c>
      <c r="FL22" s="323">
        <v>5</v>
      </c>
      <c r="FM22" s="2"/>
      <c r="FN22" s="323">
        <v>5</v>
      </c>
      <c r="FO22" s="323">
        <v>1</v>
      </c>
      <c r="FP22" s="323">
        <v>0</v>
      </c>
      <c r="FR22" s="418" t="s">
        <v>207</v>
      </c>
      <c r="FS22" s="419" t="s">
        <v>336</v>
      </c>
      <c r="FT22" s="340">
        <v>0.31833246118960407</v>
      </c>
      <c r="FU22" s="340">
        <v>0.12820512820512822</v>
      </c>
      <c r="FV22" s="340">
        <v>0</v>
      </c>
      <c r="FW22" s="323">
        <v>2</v>
      </c>
      <c r="FX22" s="420"/>
      <c r="FY22" s="420">
        <v>4.9659863945578229</v>
      </c>
      <c r="FZ22" s="421"/>
      <c r="GA22" s="323">
        <v>15</v>
      </c>
      <c r="GB22" s="323">
        <v>15</v>
      </c>
      <c r="GC22" s="323">
        <v>16</v>
      </c>
      <c r="GD22" s="323">
        <v>16</v>
      </c>
      <c r="GE22" s="323">
        <v>16</v>
      </c>
      <c r="GF22" s="323">
        <v>0</v>
      </c>
      <c r="GG22" s="323">
        <v>0</v>
      </c>
      <c r="GH22" s="323">
        <v>0</v>
      </c>
      <c r="GI22" s="323">
        <v>0</v>
      </c>
      <c r="GJ22" s="323">
        <v>0</v>
      </c>
      <c r="GK22" s="323">
        <v>0</v>
      </c>
      <c r="GL22" s="323">
        <v>0</v>
      </c>
      <c r="GM22" s="347">
        <v>15.6</v>
      </c>
      <c r="GN22" s="341">
        <v>16</v>
      </c>
      <c r="GO22" s="323">
        <v>0</v>
      </c>
      <c r="GP22" s="323">
        <v>1</v>
      </c>
      <c r="GQ22" s="323">
        <v>1</v>
      </c>
      <c r="GR22" s="323">
        <v>0</v>
      </c>
      <c r="GS22" s="323">
        <v>0</v>
      </c>
      <c r="GT22" s="323">
        <v>0</v>
      </c>
      <c r="GU22" s="323">
        <v>0</v>
      </c>
      <c r="GV22" s="323">
        <v>0</v>
      </c>
      <c r="GW22" s="323">
        <v>0</v>
      </c>
      <c r="GX22" s="323">
        <v>2</v>
      </c>
      <c r="GY22" s="323">
        <v>0</v>
      </c>
      <c r="GZ22" s="4"/>
      <c r="HA22" s="323">
        <v>16</v>
      </c>
      <c r="HB22" s="323">
        <v>0</v>
      </c>
      <c r="HC22" s="2"/>
      <c r="HD22" s="323">
        <v>1</v>
      </c>
      <c r="HE22" s="323">
        <v>1</v>
      </c>
      <c r="HF22" s="323">
        <v>0</v>
      </c>
      <c r="HH22">
        <v>4</v>
      </c>
      <c r="HI22">
        <v>4.4444444444444446E-2</v>
      </c>
      <c r="HJ22">
        <v>5</v>
      </c>
      <c r="HK22">
        <v>5.5555555555555552E-2</v>
      </c>
      <c r="HL22">
        <v>7</v>
      </c>
      <c r="HM22">
        <v>7.7777777777777779E-2</v>
      </c>
      <c r="HN22">
        <v>11</v>
      </c>
      <c r="HO22">
        <v>0.12222222222222222</v>
      </c>
      <c r="HP22">
        <v>16</v>
      </c>
      <c r="HQ22">
        <v>0.17777777777777778</v>
      </c>
      <c r="HR22">
        <v>19</v>
      </c>
      <c r="HS22">
        <v>0.21111111111111111</v>
      </c>
      <c r="HT22">
        <v>71</v>
      </c>
      <c r="HU22">
        <v>0.78888888888888886</v>
      </c>
      <c r="HV22">
        <v>90</v>
      </c>
    </row>
    <row r="23" spans="1:230" x14ac:dyDescent="0.25">
      <c r="A23" t="s">
        <v>509</v>
      </c>
      <c r="B23" s="4">
        <v>1105</v>
      </c>
      <c r="C23" s="444" t="s">
        <v>238</v>
      </c>
      <c r="D23" s="418" t="s">
        <v>207</v>
      </c>
      <c r="E23" s="419" t="s">
        <v>509</v>
      </c>
      <c r="F23" s="340">
        <v>0.15327118501721676</v>
      </c>
      <c r="G23" s="340">
        <v>6.1728395061728392E-2</v>
      </c>
      <c r="H23" s="340">
        <v>2.0576131687242798E-2</v>
      </c>
      <c r="I23" s="323">
        <v>6</v>
      </c>
      <c r="J23" s="420"/>
      <c r="K23" s="478">
        <v>14.897959183673468</v>
      </c>
      <c r="L23" s="421"/>
      <c r="M23" s="323">
        <v>96</v>
      </c>
      <c r="N23" s="323">
        <v>98</v>
      </c>
      <c r="O23" s="323">
        <v>97</v>
      </c>
      <c r="P23" s="323">
        <v>98</v>
      </c>
      <c r="Q23" s="323">
        <v>97</v>
      </c>
      <c r="R23" s="323">
        <v>0</v>
      </c>
      <c r="S23" s="323">
        <v>0</v>
      </c>
      <c r="T23" s="323">
        <v>0</v>
      </c>
      <c r="U23" s="323">
        <v>0</v>
      </c>
      <c r="V23" s="323">
        <v>0</v>
      </c>
      <c r="W23" s="323">
        <v>0</v>
      </c>
      <c r="X23" s="323">
        <v>0</v>
      </c>
      <c r="Y23" s="347">
        <v>97.2</v>
      </c>
      <c r="Z23" s="323">
        <v>97</v>
      </c>
      <c r="AA23" s="323">
        <v>0</v>
      </c>
      <c r="AB23" s="323">
        <v>2</v>
      </c>
      <c r="AC23" s="323">
        <v>1</v>
      </c>
      <c r="AD23" s="323">
        <v>0</v>
      </c>
      <c r="AE23" s="323">
        <v>0</v>
      </c>
      <c r="AF23" s="323">
        <v>0</v>
      </c>
      <c r="AG23" s="323">
        <v>3</v>
      </c>
      <c r="AH23" s="323">
        <v>0</v>
      </c>
      <c r="AI23" s="323">
        <v>0</v>
      </c>
      <c r="AJ23" s="323">
        <v>6</v>
      </c>
      <c r="AK23" s="328">
        <v>2</v>
      </c>
      <c r="AL23" s="4" t="s">
        <v>207</v>
      </c>
      <c r="AM23" s="327">
        <v>91</v>
      </c>
      <c r="AN23" s="328">
        <v>6</v>
      </c>
      <c r="AO23" s="2"/>
      <c r="AP23" s="323">
        <v>5</v>
      </c>
      <c r="AQ23" s="323">
        <v>1</v>
      </c>
      <c r="AR23" s="323">
        <v>0</v>
      </c>
      <c r="AS23" s="2"/>
      <c r="AT23" s="323">
        <v>1</v>
      </c>
      <c r="AU23" s="323">
        <v>0</v>
      </c>
      <c r="AV23" s="323">
        <v>2</v>
      </c>
      <c r="AW23" s="323">
        <v>1</v>
      </c>
      <c r="AX23" s="323">
        <v>2</v>
      </c>
      <c r="AY23" s="323">
        <v>0</v>
      </c>
      <c r="AZ23" s="323">
        <v>0</v>
      </c>
      <c r="BA23" s="323">
        <v>0</v>
      </c>
      <c r="BB23" s="323">
        <v>0</v>
      </c>
      <c r="BC23" s="323">
        <v>0</v>
      </c>
      <c r="BD23" s="323">
        <v>0</v>
      </c>
      <c r="BE23" s="323">
        <v>0</v>
      </c>
      <c r="BF23" s="2" t="s">
        <v>509</v>
      </c>
      <c r="BG23" s="327">
        <v>5</v>
      </c>
      <c r="BH23" s="323">
        <v>2</v>
      </c>
      <c r="BI23" s="323">
        <v>1</v>
      </c>
      <c r="BJ23" s="323">
        <v>2</v>
      </c>
      <c r="BK23" s="323">
        <v>3</v>
      </c>
      <c r="BL23" s="323">
        <v>0</v>
      </c>
      <c r="BM23" s="323">
        <v>0</v>
      </c>
      <c r="BN23" s="323">
        <v>0</v>
      </c>
      <c r="BO23" s="323">
        <v>0</v>
      </c>
      <c r="BP23" s="323">
        <v>0</v>
      </c>
      <c r="BQ23" s="323">
        <v>0</v>
      </c>
      <c r="BR23" s="328">
        <v>0</v>
      </c>
      <c r="BS23" s="323">
        <v>13</v>
      </c>
      <c r="BT23" s="329">
        <v>0.13578869047619047</v>
      </c>
      <c r="BU23" s="330">
        <v>6.7194403534609717E-2</v>
      </c>
      <c r="BV23" s="330">
        <v>0.12405120652543333</v>
      </c>
      <c r="BW23" s="330">
        <v>0.12615843252468084</v>
      </c>
      <c r="BX23" s="330">
        <v>0.15327118501721673</v>
      </c>
      <c r="BY23" s="330">
        <v>0.14855514855514856</v>
      </c>
      <c r="BZ23" s="330">
        <v>0.15020576131687244</v>
      </c>
      <c r="CA23" s="330">
        <v>0.15146799460524951</v>
      </c>
      <c r="CB23" s="330">
        <v>0.150997150997151</v>
      </c>
      <c r="CC23" s="330">
        <v>0.15216767154751651</v>
      </c>
      <c r="CD23" s="330">
        <v>0.15313895455739426</v>
      </c>
      <c r="CE23" s="331">
        <v>0.14814814814814814</v>
      </c>
      <c r="CF23" s="2"/>
      <c r="CG23" s="327">
        <v>27</v>
      </c>
      <c r="CH23" s="323">
        <v>24</v>
      </c>
      <c r="CI23" s="323">
        <v>24</v>
      </c>
      <c r="CJ23" s="323">
        <v>24</v>
      </c>
      <c r="CK23" s="323">
        <v>0</v>
      </c>
      <c r="CL23" s="323">
        <v>0</v>
      </c>
      <c r="CM23" s="323">
        <v>0</v>
      </c>
      <c r="CN23" s="323">
        <v>0</v>
      </c>
      <c r="CO23" s="323">
        <v>0</v>
      </c>
      <c r="CP23" s="323">
        <v>0</v>
      </c>
      <c r="CQ23" s="323">
        <v>0</v>
      </c>
      <c r="CR23" s="332">
        <v>0</v>
      </c>
      <c r="CS23" s="327">
        <v>0</v>
      </c>
      <c r="CT23" s="323">
        <v>0</v>
      </c>
      <c r="CU23" s="323">
        <v>0</v>
      </c>
      <c r="CV23" s="323">
        <v>0</v>
      </c>
      <c r="CW23" s="323">
        <v>0</v>
      </c>
      <c r="CX23" s="323">
        <v>0</v>
      </c>
      <c r="CY23" s="323">
        <v>0</v>
      </c>
      <c r="CZ23" s="323">
        <v>0</v>
      </c>
      <c r="DA23" s="323">
        <v>0</v>
      </c>
      <c r="DB23" s="323">
        <v>0</v>
      </c>
      <c r="DC23" s="323">
        <v>0</v>
      </c>
      <c r="DD23" s="328">
        <v>0</v>
      </c>
      <c r="DE23" s="4"/>
      <c r="DF23" s="416">
        <v>0</v>
      </c>
      <c r="DG23" s="417">
        <v>0</v>
      </c>
      <c r="DH23" s="417">
        <v>0</v>
      </c>
      <c r="DI23" s="417">
        <v>0</v>
      </c>
      <c r="DJ23" s="417">
        <v>0</v>
      </c>
      <c r="DK23" s="417">
        <v>0</v>
      </c>
      <c r="DL23" s="417">
        <v>0</v>
      </c>
      <c r="DM23" s="417">
        <v>0</v>
      </c>
      <c r="DN23" s="417">
        <v>0</v>
      </c>
      <c r="DO23" s="417">
        <v>0</v>
      </c>
      <c r="DP23" s="417">
        <v>0</v>
      </c>
      <c r="DQ23" s="417">
        <v>0</v>
      </c>
      <c r="DS23" s="327">
        <v>3</v>
      </c>
      <c r="DT23" s="323">
        <v>0</v>
      </c>
      <c r="DU23" s="323">
        <v>0</v>
      </c>
      <c r="DV23" s="323">
        <v>0</v>
      </c>
      <c r="DW23" s="323">
        <v>0</v>
      </c>
      <c r="DX23" s="323">
        <v>0</v>
      </c>
      <c r="DY23" s="323">
        <v>10</v>
      </c>
      <c r="DZ23" s="328">
        <v>13</v>
      </c>
      <c r="EA23" s="4"/>
      <c r="EB23" s="418" t="s">
        <v>207</v>
      </c>
      <c r="EC23" s="419" t="s">
        <v>338</v>
      </c>
      <c r="ED23" s="340">
        <v>0.15358720807910792</v>
      </c>
      <c r="EE23" s="340">
        <v>6.1855670103092786E-2</v>
      </c>
      <c r="EF23" s="340">
        <v>2.0618556701030927E-2</v>
      </c>
      <c r="EG23" s="323">
        <v>6</v>
      </c>
      <c r="EH23" s="420"/>
      <c r="EI23" s="420">
        <v>14.897959183673468</v>
      </c>
      <c r="EJ23" s="421"/>
      <c r="EK23" s="323">
        <v>96</v>
      </c>
      <c r="EL23" s="323">
        <v>98</v>
      </c>
      <c r="EM23" s="323">
        <v>97</v>
      </c>
      <c r="EN23" s="323">
        <v>98</v>
      </c>
      <c r="EO23" s="323">
        <v>96</v>
      </c>
      <c r="EP23" s="323">
        <v>0</v>
      </c>
      <c r="EQ23" s="323">
        <v>0</v>
      </c>
      <c r="ER23" s="323">
        <v>0</v>
      </c>
      <c r="ES23" s="323">
        <v>0</v>
      </c>
      <c r="ET23" s="323">
        <v>0</v>
      </c>
      <c r="EU23" s="323">
        <v>0</v>
      </c>
      <c r="EV23" s="323">
        <v>0</v>
      </c>
      <c r="EW23" s="347">
        <v>97</v>
      </c>
      <c r="EX23" s="323">
        <v>96</v>
      </c>
      <c r="EY23" s="323">
        <v>0</v>
      </c>
      <c r="EZ23" s="323">
        <v>2</v>
      </c>
      <c r="FA23" s="323">
        <v>1</v>
      </c>
      <c r="FB23" s="323">
        <v>0</v>
      </c>
      <c r="FC23" s="323">
        <v>0</v>
      </c>
      <c r="FD23" s="323">
        <v>0</v>
      </c>
      <c r="FE23" s="323">
        <v>3</v>
      </c>
      <c r="FF23" s="323">
        <v>0</v>
      </c>
      <c r="FG23" s="323">
        <v>0</v>
      </c>
      <c r="FH23" s="323">
        <v>6</v>
      </c>
      <c r="FI23" s="323">
        <v>2</v>
      </c>
      <c r="FJ23" s="4"/>
      <c r="FK23" s="323">
        <v>90</v>
      </c>
      <c r="FL23" s="323">
        <v>6</v>
      </c>
      <c r="FM23" s="2"/>
      <c r="FN23" s="323">
        <v>5</v>
      </c>
      <c r="FO23" s="323">
        <v>1</v>
      </c>
      <c r="FP23" s="323">
        <v>0</v>
      </c>
      <c r="FR23" s="418" t="s">
        <v>207</v>
      </c>
      <c r="FS23" s="419" t="s">
        <v>338</v>
      </c>
      <c r="FT23" s="340">
        <v>0</v>
      </c>
      <c r="FU23" s="340">
        <v>0</v>
      </c>
      <c r="FV23" s="340">
        <v>0</v>
      </c>
      <c r="FW23" s="323">
        <v>0</v>
      </c>
      <c r="FX23" s="420"/>
      <c r="FY23" s="420">
        <v>0</v>
      </c>
      <c r="FZ23" s="421"/>
      <c r="GA23" s="323">
        <v>0</v>
      </c>
      <c r="GB23" s="323">
        <v>0</v>
      </c>
      <c r="GC23" s="323">
        <v>0</v>
      </c>
      <c r="GD23" s="323">
        <v>0</v>
      </c>
      <c r="GE23" s="323">
        <v>1</v>
      </c>
      <c r="GF23" s="323">
        <v>0</v>
      </c>
      <c r="GG23" s="323">
        <v>0</v>
      </c>
      <c r="GH23" s="323">
        <v>0</v>
      </c>
      <c r="GI23" s="323">
        <v>0</v>
      </c>
      <c r="GJ23" s="323">
        <v>0</v>
      </c>
      <c r="GK23" s="323">
        <v>0</v>
      </c>
      <c r="GL23" s="323">
        <v>0</v>
      </c>
      <c r="GM23" s="347">
        <v>1</v>
      </c>
      <c r="GN23" s="341">
        <v>1</v>
      </c>
      <c r="GO23" s="323">
        <v>0</v>
      </c>
      <c r="GP23" s="323">
        <v>0</v>
      </c>
      <c r="GQ23" s="323">
        <v>0</v>
      </c>
      <c r="GR23" s="323">
        <v>0</v>
      </c>
      <c r="GS23" s="323">
        <v>0</v>
      </c>
      <c r="GT23" s="323">
        <v>0</v>
      </c>
      <c r="GU23" s="323">
        <v>0</v>
      </c>
      <c r="GV23" s="323">
        <v>0</v>
      </c>
      <c r="GW23" s="323">
        <v>0</v>
      </c>
      <c r="GX23" s="323">
        <v>0</v>
      </c>
      <c r="GY23" s="323">
        <v>0</v>
      </c>
      <c r="GZ23" s="4"/>
      <c r="HA23" s="323">
        <v>1</v>
      </c>
      <c r="HB23" s="323">
        <v>0</v>
      </c>
      <c r="HC23" s="2"/>
      <c r="HD23" s="323">
        <v>0</v>
      </c>
      <c r="HE23" s="323">
        <v>0</v>
      </c>
      <c r="HF23" s="323">
        <v>0</v>
      </c>
      <c r="HH23">
        <v>0</v>
      </c>
      <c r="HI23">
        <v>0</v>
      </c>
      <c r="HJ23">
        <v>6</v>
      </c>
      <c r="HK23">
        <v>4.1379310344827586E-2</v>
      </c>
      <c r="HL23">
        <v>7</v>
      </c>
      <c r="HM23">
        <v>4.8275862068965517E-2</v>
      </c>
      <c r="HN23">
        <v>7</v>
      </c>
      <c r="HO23">
        <v>4.8275862068965517E-2</v>
      </c>
      <c r="HP23">
        <v>15</v>
      </c>
      <c r="HQ23">
        <v>0.10344827586206896</v>
      </c>
      <c r="HR23">
        <v>27</v>
      </c>
      <c r="HS23">
        <v>0.18620689655172415</v>
      </c>
      <c r="HT23">
        <v>118</v>
      </c>
      <c r="HU23">
        <v>0.81379310344827582</v>
      </c>
      <c r="HV23">
        <v>145</v>
      </c>
    </row>
    <row r="24" spans="1:230" x14ac:dyDescent="0.25">
      <c r="A24" t="s">
        <v>510</v>
      </c>
      <c r="B24" s="4">
        <v>1127</v>
      </c>
      <c r="C24" s="444" t="s">
        <v>245</v>
      </c>
      <c r="D24" s="418" t="s">
        <v>204</v>
      </c>
      <c r="E24" s="419" t="s">
        <v>510</v>
      </c>
      <c r="F24" s="340">
        <v>0.64613205877146396</v>
      </c>
      <c r="G24" s="340">
        <v>0.26022304832713755</v>
      </c>
      <c r="H24" s="340">
        <v>4.9566294919454766E-2</v>
      </c>
      <c r="I24" s="323">
        <v>42</v>
      </c>
      <c r="J24" s="420"/>
      <c r="K24" s="478">
        <v>104.28571428571428</v>
      </c>
      <c r="L24" s="421"/>
      <c r="M24" s="323">
        <v>157</v>
      </c>
      <c r="N24" s="323">
        <v>168</v>
      </c>
      <c r="O24" s="323">
        <v>166</v>
      </c>
      <c r="P24" s="323">
        <v>157</v>
      </c>
      <c r="Q24" s="323">
        <v>159</v>
      </c>
      <c r="R24" s="323">
        <v>0</v>
      </c>
      <c r="S24" s="323">
        <v>0</v>
      </c>
      <c r="T24" s="323">
        <v>0</v>
      </c>
      <c r="U24" s="323">
        <v>0</v>
      </c>
      <c r="V24" s="323">
        <v>0</v>
      </c>
      <c r="W24" s="323">
        <v>0</v>
      </c>
      <c r="X24" s="323">
        <v>0</v>
      </c>
      <c r="Y24" s="347">
        <v>161.4</v>
      </c>
      <c r="Z24" s="323">
        <v>159</v>
      </c>
      <c r="AA24" s="323">
        <v>0</v>
      </c>
      <c r="AB24" s="323">
        <v>11</v>
      </c>
      <c r="AC24" s="323">
        <v>1</v>
      </c>
      <c r="AD24" s="323">
        <v>8</v>
      </c>
      <c r="AE24" s="323">
        <v>0</v>
      </c>
      <c r="AF24" s="323">
        <v>1</v>
      </c>
      <c r="AG24" s="323">
        <v>20</v>
      </c>
      <c r="AH24" s="323">
        <v>0</v>
      </c>
      <c r="AI24" s="323">
        <v>1</v>
      </c>
      <c r="AJ24" s="323">
        <v>42</v>
      </c>
      <c r="AK24" s="328">
        <v>8</v>
      </c>
      <c r="AL24" s="4" t="s">
        <v>204</v>
      </c>
      <c r="AM24" s="327">
        <v>154</v>
      </c>
      <c r="AN24" s="328">
        <v>5</v>
      </c>
      <c r="AO24" s="2"/>
      <c r="AP24" s="323">
        <v>32</v>
      </c>
      <c r="AQ24" s="323">
        <v>10</v>
      </c>
      <c r="AR24" s="323">
        <v>0</v>
      </c>
      <c r="AS24" s="2"/>
      <c r="AT24" s="323">
        <v>6</v>
      </c>
      <c r="AU24" s="323">
        <v>4</v>
      </c>
      <c r="AV24" s="323">
        <v>9</v>
      </c>
      <c r="AW24" s="323">
        <v>15</v>
      </c>
      <c r="AX24" s="323">
        <v>8</v>
      </c>
      <c r="AY24" s="323">
        <v>0</v>
      </c>
      <c r="AZ24" s="323">
        <v>0</v>
      </c>
      <c r="BA24" s="323">
        <v>0</v>
      </c>
      <c r="BB24" s="323">
        <v>0</v>
      </c>
      <c r="BC24" s="323">
        <v>0</v>
      </c>
      <c r="BD24" s="323">
        <v>0</v>
      </c>
      <c r="BE24" s="323">
        <v>0</v>
      </c>
      <c r="BF24" s="2" t="s">
        <v>510</v>
      </c>
      <c r="BG24" s="327">
        <v>4</v>
      </c>
      <c r="BH24" s="323">
        <v>14</v>
      </c>
      <c r="BI24" s="323">
        <v>10</v>
      </c>
      <c r="BJ24" s="323">
        <v>7</v>
      </c>
      <c r="BK24" s="323">
        <v>9</v>
      </c>
      <c r="BL24" s="323">
        <v>0</v>
      </c>
      <c r="BM24" s="323">
        <v>0</v>
      </c>
      <c r="BN24" s="323">
        <v>0</v>
      </c>
      <c r="BO24" s="323">
        <v>0</v>
      </c>
      <c r="BP24" s="323">
        <v>0</v>
      </c>
      <c r="BQ24" s="323">
        <v>0</v>
      </c>
      <c r="BR24" s="328">
        <v>0</v>
      </c>
      <c r="BS24" s="323">
        <v>44</v>
      </c>
      <c r="BT24" s="329">
        <v>0.49818016378525931</v>
      </c>
      <c r="BU24" s="330">
        <v>0.40109890109890112</v>
      </c>
      <c r="BV24" s="330">
        <v>0.46563416217184045</v>
      </c>
      <c r="BW24" s="330">
        <v>0.64373897707231043</v>
      </c>
      <c r="BX24" s="330">
        <v>0.64613205877146396</v>
      </c>
      <c r="BY24" s="330">
        <v>0.62625107234772659</v>
      </c>
      <c r="BZ24" s="330">
        <v>0.63320941759603466</v>
      </c>
      <c r="CA24" s="330">
        <v>0.63853050513885856</v>
      </c>
      <c r="CB24" s="330">
        <v>0.63654561052330572</v>
      </c>
      <c r="CC24" s="330">
        <v>0.64148007262038553</v>
      </c>
      <c r="CD24" s="330">
        <v>0.64557462627540929</v>
      </c>
      <c r="CE24" s="331">
        <v>0.62453531598513012</v>
      </c>
      <c r="CF24" s="2"/>
      <c r="CG24" s="327">
        <v>59</v>
      </c>
      <c r="CH24" s="323">
        <v>62</v>
      </c>
      <c r="CI24" s="323">
        <v>48</v>
      </c>
      <c r="CJ24" s="323">
        <v>46</v>
      </c>
      <c r="CK24" s="323">
        <v>0</v>
      </c>
      <c r="CL24" s="323">
        <v>0</v>
      </c>
      <c r="CM24" s="323">
        <v>0</v>
      </c>
      <c r="CN24" s="323">
        <v>0</v>
      </c>
      <c r="CO24" s="323">
        <v>0</v>
      </c>
      <c r="CP24" s="323">
        <v>0</v>
      </c>
      <c r="CQ24" s="323">
        <v>0</v>
      </c>
      <c r="CR24" s="332">
        <v>0</v>
      </c>
      <c r="CS24" s="327">
        <v>0</v>
      </c>
      <c r="CT24" s="323">
        <v>0</v>
      </c>
      <c r="CU24" s="323">
        <v>0</v>
      </c>
      <c r="CV24" s="323">
        <v>0</v>
      </c>
      <c r="CW24" s="323">
        <v>0</v>
      </c>
      <c r="CX24" s="323">
        <v>0</v>
      </c>
      <c r="CY24" s="323">
        <v>0</v>
      </c>
      <c r="CZ24" s="323">
        <v>0</v>
      </c>
      <c r="DA24" s="323">
        <v>0</v>
      </c>
      <c r="DB24" s="323">
        <v>0</v>
      </c>
      <c r="DC24" s="323">
        <v>0</v>
      </c>
      <c r="DD24" s="328">
        <v>0</v>
      </c>
      <c r="DE24" s="4"/>
      <c r="DF24" s="416">
        <v>0</v>
      </c>
      <c r="DG24" s="417">
        <v>0</v>
      </c>
      <c r="DH24" s="417">
        <v>0</v>
      </c>
      <c r="DI24" s="417">
        <v>0</v>
      </c>
      <c r="DJ24" s="417">
        <v>0</v>
      </c>
      <c r="DK24" s="417">
        <v>0</v>
      </c>
      <c r="DL24" s="417">
        <v>0</v>
      </c>
      <c r="DM24" s="417">
        <v>0</v>
      </c>
      <c r="DN24" s="417">
        <v>0</v>
      </c>
      <c r="DO24" s="417">
        <v>0</v>
      </c>
      <c r="DP24" s="417">
        <v>0</v>
      </c>
      <c r="DQ24" s="417" t="s">
        <v>130</v>
      </c>
      <c r="DS24" s="327">
        <v>17</v>
      </c>
      <c r="DT24" s="323">
        <v>0</v>
      </c>
      <c r="DU24" s="323">
        <v>0</v>
      </c>
      <c r="DV24" s="323">
        <v>0</v>
      </c>
      <c r="DW24" s="323">
        <v>0</v>
      </c>
      <c r="DX24" s="323">
        <v>0</v>
      </c>
      <c r="DY24" s="323">
        <v>27</v>
      </c>
      <c r="DZ24" s="328">
        <v>44</v>
      </c>
      <c r="EA24" s="4"/>
      <c r="EB24" s="418" t="s">
        <v>204</v>
      </c>
      <c r="EC24" s="419" t="s">
        <v>340</v>
      </c>
      <c r="ED24" s="340">
        <v>0.6480895784088514</v>
      </c>
      <c r="EE24" s="340">
        <v>0.2610114192495922</v>
      </c>
      <c r="EF24" s="340">
        <v>4.0783034257748776E-2</v>
      </c>
      <c r="EG24" s="323">
        <v>32</v>
      </c>
      <c r="EH24" s="420"/>
      <c r="EI24" s="420">
        <v>79.455782312925166</v>
      </c>
      <c r="EJ24" s="421"/>
      <c r="EK24" s="323">
        <v>117</v>
      </c>
      <c r="EL24" s="323">
        <v>127</v>
      </c>
      <c r="EM24" s="323">
        <v>125</v>
      </c>
      <c r="EN24" s="323">
        <v>122</v>
      </c>
      <c r="EO24" s="323">
        <v>122</v>
      </c>
      <c r="EP24" s="323">
        <v>0</v>
      </c>
      <c r="EQ24" s="323">
        <v>0</v>
      </c>
      <c r="ER24" s="323">
        <v>0</v>
      </c>
      <c r="ES24" s="323">
        <v>0</v>
      </c>
      <c r="ET24" s="323">
        <v>0</v>
      </c>
      <c r="EU24" s="323">
        <v>0</v>
      </c>
      <c r="EV24" s="323">
        <v>0</v>
      </c>
      <c r="EW24" s="347">
        <v>122.6</v>
      </c>
      <c r="EX24" s="323">
        <v>122</v>
      </c>
      <c r="EY24" s="323">
        <v>0</v>
      </c>
      <c r="EZ24" s="323">
        <v>9</v>
      </c>
      <c r="FA24" s="323">
        <v>1</v>
      </c>
      <c r="FB24" s="323">
        <v>4</v>
      </c>
      <c r="FC24" s="323">
        <v>0</v>
      </c>
      <c r="FD24" s="323">
        <v>0</v>
      </c>
      <c r="FE24" s="323">
        <v>18</v>
      </c>
      <c r="FF24" s="323">
        <v>0</v>
      </c>
      <c r="FG24" s="323">
        <v>0</v>
      </c>
      <c r="FH24" s="323">
        <v>32</v>
      </c>
      <c r="FI24" s="323">
        <v>5</v>
      </c>
      <c r="FJ24" s="4"/>
      <c r="FK24" s="323">
        <v>117</v>
      </c>
      <c r="FL24" s="323">
        <v>5</v>
      </c>
      <c r="FM24" s="2"/>
      <c r="FN24" s="323">
        <v>27</v>
      </c>
      <c r="FO24" s="323">
        <v>5</v>
      </c>
      <c r="FP24" s="323">
        <v>0</v>
      </c>
      <c r="FR24" s="418" t="s">
        <v>204</v>
      </c>
      <c r="FS24" s="419" t="s">
        <v>340</v>
      </c>
      <c r="FT24" s="340">
        <v>0.63994670032961642</v>
      </c>
      <c r="FU24" s="340">
        <v>0.25773195876288663</v>
      </c>
      <c r="FV24" s="340">
        <v>7.7319587628865982E-2</v>
      </c>
      <c r="FW24" s="323">
        <v>10</v>
      </c>
      <c r="FX24" s="420"/>
      <c r="FY24" s="420">
        <v>24.829931972789115</v>
      </c>
      <c r="FZ24" s="421"/>
      <c r="GA24" s="323">
        <v>40</v>
      </c>
      <c r="GB24" s="323">
        <v>41</v>
      </c>
      <c r="GC24" s="323">
        <v>41</v>
      </c>
      <c r="GD24" s="323">
        <v>35</v>
      </c>
      <c r="GE24" s="323">
        <v>37</v>
      </c>
      <c r="GF24" s="323">
        <v>0</v>
      </c>
      <c r="GG24" s="323">
        <v>0</v>
      </c>
      <c r="GH24" s="323">
        <v>0</v>
      </c>
      <c r="GI24" s="323">
        <v>0</v>
      </c>
      <c r="GJ24" s="323">
        <v>0</v>
      </c>
      <c r="GK24" s="323">
        <v>0</v>
      </c>
      <c r="GL24" s="323">
        <v>0</v>
      </c>
      <c r="GM24" s="347">
        <v>38.799999999999997</v>
      </c>
      <c r="GN24" s="341">
        <v>37</v>
      </c>
      <c r="GO24" s="323">
        <v>0</v>
      </c>
      <c r="GP24" s="323">
        <v>2</v>
      </c>
      <c r="GQ24" s="323">
        <v>0</v>
      </c>
      <c r="GR24" s="323">
        <v>4</v>
      </c>
      <c r="GS24" s="323">
        <v>0</v>
      </c>
      <c r="GT24" s="323">
        <v>1</v>
      </c>
      <c r="GU24" s="323">
        <v>2</v>
      </c>
      <c r="GV24" s="323">
        <v>0</v>
      </c>
      <c r="GW24" s="323">
        <v>1</v>
      </c>
      <c r="GX24" s="323">
        <v>10</v>
      </c>
      <c r="GY24" s="323">
        <v>3</v>
      </c>
      <c r="GZ24" s="4"/>
      <c r="HA24" s="323">
        <v>37</v>
      </c>
      <c r="HB24" s="323">
        <v>0</v>
      </c>
      <c r="HC24" s="2"/>
      <c r="HD24" s="323">
        <v>5</v>
      </c>
      <c r="HE24" s="323">
        <v>5</v>
      </c>
      <c r="HF24" s="323">
        <v>0</v>
      </c>
      <c r="HH24">
        <v>3</v>
      </c>
      <c r="HI24">
        <v>1.3452914798206279E-2</v>
      </c>
      <c r="HJ24">
        <v>11</v>
      </c>
      <c r="HK24">
        <v>4.9327354260089683E-2</v>
      </c>
      <c r="HL24">
        <v>20</v>
      </c>
      <c r="HM24">
        <v>8.9686098654708515E-2</v>
      </c>
      <c r="HN24">
        <v>24</v>
      </c>
      <c r="HO24">
        <v>0.10762331838565023</v>
      </c>
      <c r="HP24">
        <v>38</v>
      </c>
      <c r="HQ24">
        <v>0.17040358744394618</v>
      </c>
      <c r="HR24">
        <v>59</v>
      </c>
      <c r="HS24">
        <v>0.26457399103139012</v>
      </c>
      <c r="HT24">
        <v>164</v>
      </c>
      <c r="HU24">
        <v>0.73542600896860988</v>
      </c>
      <c r="HV24">
        <v>223</v>
      </c>
    </row>
    <row r="25" spans="1:230" x14ac:dyDescent="0.25">
      <c r="A25" t="s">
        <v>511</v>
      </c>
      <c r="B25" s="4">
        <v>1135</v>
      </c>
      <c r="C25" s="444" t="s">
        <v>237</v>
      </c>
      <c r="D25" s="418" t="s">
        <v>205</v>
      </c>
      <c r="E25" s="419" t="s">
        <v>511</v>
      </c>
      <c r="F25" s="340">
        <v>0.16317589467331292</v>
      </c>
      <c r="G25" s="340">
        <v>6.5717415115005479E-2</v>
      </c>
      <c r="H25" s="340">
        <v>0</v>
      </c>
      <c r="I25" s="323">
        <v>12</v>
      </c>
      <c r="J25" s="420"/>
      <c r="K25" s="478">
        <v>29.795918367346935</v>
      </c>
      <c r="L25" s="421"/>
      <c r="M25" s="323">
        <v>186</v>
      </c>
      <c r="N25" s="323">
        <v>184</v>
      </c>
      <c r="O25" s="323">
        <v>183</v>
      </c>
      <c r="P25" s="323">
        <v>180</v>
      </c>
      <c r="Q25" s="323">
        <v>180</v>
      </c>
      <c r="R25" s="323">
        <v>0</v>
      </c>
      <c r="S25" s="323">
        <v>0</v>
      </c>
      <c r="T25" s="323">
        <v>0</v>
      </c>
      <c r="U25" s="323">
        <v>0</v>
      </c>
      <c r="V25" s="323">
        <v>0</v>
      </c>
      <c r="W25" s="323">
        <v>0</v>
      </c>
      <c r="X25" s="323">
        <v>0</v>
      </c>
      <c r="Y25" s="347">
        <v>182.6</v>
      </c>
      <c r="Z25" s="323">
        <v>180</v>
      </c>
      <c r="AA25" s="323">
        <v>0</v>
      </c>
      <c r="AB25" s="323">
        <v>1</v>
      </c>
      <c r="AC25" s="323">
        <v>1</v>
      </c>
      <c r="AD25" s="323">
        <v>1</v>
      </c>
      <c r="AE25" s="323">
        <v>0</v>
      </c>
      <c r="AF25" s="323">
        <v>0</v>
      </c>
      <c r="AG25" s="323">
        <v>9</v>
      </c>
      <c r="AH25" s="323">
        <v>0</v>
      </c>
      <c r="AI25" s="323">
        <v>0</v>
      </c>
      <c r="AJ25" s="323">
        <v>12</v>
      </c>
      <c r="AK25" s="328">
        <v>0</v>
      </c>
      <c r="AL25" s="4" t="s">
        <v>205</v>
      </c>
      <c r="AM25" s="327">
        <v>171</v>
      </c>
      <c r="AN25" s="328">
        <v>9</v>
      </c>
      <c r="AO25" s="2"/>
      <c r="AP25" s="323">
        <v>10</v>
      </c>
      <c r="AQ25" s="323">
        <v>2</v>
      </c>
      <c r="AR25" s="323">
        <v>0</v>
      </c>
      <c r="AS25" s="2"/>
      <c r="AT25" s="323">
        <v>6</v>
      </c>
      <c r="AU25" s="323">
        <v>1</v>
      </c>
      <c r="AV25" s="323">
        <v>2</v>
      </c>
      <c r="AW25" s="323">
        <v>3</v>
      </c>
      <c r="AX25" s="323">
        <v>0</v>
      </c>
      <c r="AY25" s="323">
        <v>0</v>
      </c>
      <c r="AZ25" s="323">
        <v>0</v>
      </c>
      <c r="BA25" s="323">
        <v>0</v>
      </c>
      <c r="BB25" s="323">
        <v>0</v>
      </c>
      <c r="BC25" s="323">
        <v>0</v>
      </c>
      <c r="BD25" s="323">
        <v>0</v>
      </c>
      <c r="BE25" s="323">
        <v>0</v>
      </c>
      <c r="BF25" s="2" t="s">
        <v>511</v>
      </c>
      <c r="BG25" s="327">
        <v>0</v>
      </c>
      <c r="BH25" s="323">
        <v>0</v>
      </c>
      <c r="BI25" s="323">
        <v>1</v>
      </c>
      <c r="BJ25" s="323">
        <v>0</v>
      </c>
      <c r="BK25" s="323">
        <v>1</v>
      </c>
      <c r="BL25" s="323">
        <v>0</v>
      </c>
      <c r="BM25" s="323">
        <v>0</v>
      </c>
      <c r="BN25" s="323">
        <v>0</v>
      </c>
      <c r="BO25" s="323">
        <v>0</v>
      </c>
      <c r="BP25" s="323">
        <v>0</v>
      </c>
      <c r="BQ25" s="323">
        <v>0</v>
      </c>
      <c r="BR25" s="328">
        <v>0</v>
      </c>
      <c r="BS25" s="323">
        <v>2</v>
      </c>
      <c r="BT25" s="329">
        <v>0.42050691244239635</v>
      </c>
      <c r="BU25" s="330">
        <v>0.24662162162162163</v>
      </c>
      <c r="BV25" s="330">
        <v>0.19583490650398422</v>
      </c>
      <c r="BW25" s="330">
        <v>0.20085523977667469</v>
      </c>
      <c r="BX25" s="330">
        <v>0.16317589467331289</v>
      </c>
      <c r="BY25" s="330">
        <v>0.15815509791413407</v>
      </c>
      <c r="BZ25" s="330">
        <v>0.15991237677984668</v>
      </c>
      <c r="CA25" s="330">
        <v>0.1612561782653916</v>
      </c>
      <c r="CB25" s="330">
        <v>0.16075490774285955</v>
      </c>
      <c r="CC25" s="330">
        <v>0.16200106981838561</v>
      </c>
      <c r="CD25" s="330">
        <v>0.16303511920020508</v>
      </c>
      <c r="CE25" s="331">
        <v>0.15772179627601315</v>
      </c>
      <c r="CF25" s="2"/>
      <c r="CG25" s="327">
        <v>29</v>
      </c>
      <c r="CH25" s="323">
        <v>29</v>
      </c>
      <c r="CI25" s="323">
        <v>30</v>
      </c>
      <c r="CJ25" s="323">
        <v>29</v>
      </c>
      <c r="CK25" s="323">
        <v>0</v>
      </c>
      <c r="CL25" s="323">
        <v>0</v>
      </c>
      <c r="CM25" s="323">
        <v>0</v>
      </c>
      <c r="CN25" s="323">
        <v>0</v>
      </c>
      <c r="CO25" s="323">
        <v>0</v>
      </c>
      <c r="CP25" s="323">
        <v>0</v>
      </c>
      <c r="CQ25" s="323">
        <v>0</v>
      </c>
      <c r="CR25" s="332">
        <v>0</v>
      </c>
      <c r="CS25" s="327">
        <v>0</v>
      </c>
      <c r="CT25" s="323">
        <v>0</v>
      </c>
      <c r="CU25" s="323">
        <v>0</v>
      </c>
      <c r="CV25" s="323">
        <v>0</v>
      </c>
      <c r="CW25" s="323">
        <v>0</v>
      </c>
      <c r="CX25" s="323">
        <v>0</v>
      </c>
      <c r="CY25" s="323">
        <v>0</v>
      </c>
      <c r="CZ25" s="323">
        <v>0</v>
      </c>
      <c r="DA25" s="323">
        <v>0</v>
      </c>
      <c r="DB25" s="323">
        <v>0</v>
      </c>
      <c r="DC25" s="323">
        <v>0</v>
      </c>
      <c r="DD25" s="328">
        <v>0</v>
      </c>
      <c r="DE25" s="4"/>
      <c r="DF25" s="416">
        <v>0</v>
      </c>
      <c r="DG25" s="417">
        <v>0</v>
      </c>
      <c r="DH25" s="417">
        <v>0</v>
      </c>
      <c r="DI25" s="417">
        <v>0</v>
      </c>
      <c r="DJ25" s="417">
        <v>0</v>
      </c>
      <c r="DK25" s="417">
        <v>0</v>
      </c>
      <c r="DL25" s="417">
        <v>0</v>
      </c>
      <c r="DM25" s="417">
        <v>0</v>
      </c>
      <c r="DN25" s="417">
        <v>0</v>
      </c>
      <c r="DO25" s="417">
        <v>0</v>
      </c>
      <c r="DP25" s="417" t="s">
        <v>130</v>
      </c>
      <c r="DQ25" s="417">
        <v>0</v>
      </c>
      <c r="DS25" s="327">
        <v>0</v>
      </c>
      <c r="DT25" s="323">
        <v>0</v>
      </c>
      <c r="DU25" s="323">
        <v>0</v>
      </c>
      <c r="DV25" s="323">
        <v>0</v>
      </c>
      <c r="DW25" s="323">
        <v>0</v>
      </c>
      <c r="DX25" s="323">
        <v>0</v>
      </c>
      <c r="DY25" s="323">
        <v>2</v>
      </c>
      <c r="DZ25" s="328">
        <v>2</v>
      </c>
      <c r="EA25" s="4"/>
      <c r="EB25" s="418" t="s">
        <v>205</v>
      </c>
      <c r="EC25" s="419" t="s">
        <v>342</v>
      </c>
      <c r="ED25" s="340">
        <v>0.17621242045205179</v>
      </c>
      <c r="EE25" s="340">
        <v>7.0967741935483872E-2</v>
      </c>
      <c r="EF25" s="340">
        <v>0</v>
      </c>
      <c r="EG25" s="323">
        <v>11</v>
      </c>
      <c r="EH25" s="420"/>
      <c r="EI25" s="420">
        <v>27.312925170068027</v>
      </c>
      <c r="EJ25" s="421"/>
      <c r="EK25" s="323">
        <v>158</v>
      </c>
      <c r="EL25" s="323">
        <v>156</v>
      </c>
      <c r="EM25" s="323">
        <v>155</v>
      </c>
      <c r="EN25" s="323">
        <v>153</v>
      </c>
      <c r="EO25" s="323">
        <v>153</v>
      </c>
      <c r="EP25" s="323">
        <v>0</v>
      </c>
      <c r="EQ25" s="323">
        <v>0</v>
      </c>
      <c r="ER25" s="323">
        <v>0</v>
      </c>
      <c r="ES25" s="323">
        <v>0</v>
      </c>
      <c r="ET25" s="323">
        <v>0</v>
      </c>
      <c r="EU25" s="323">
        <v>0</v>
      </c>
      <c r="EV25" s="323">
        <v>0</v>
      </c>
      <c r="EW25" s="347">
        <v>155</v>
      </c>
      <c r="EX25" s="323">
        <v>153</v>
      </c>
      <c r="EY25" s="323">
        <v>0</v>
      </c>
      <c r="EZ25" s="323">
        <v>1</v>
      </c>
      <c r="FA25" s="323">
        <v>1</v>
      </c>
      <c r="FB25" s="323">
        <v>1</v>
      </c>
      <c r="FC25" s="323">
        <v>0</v>
      </c>
      <c r="FD25" s="323">
        <v>0</v>
      </c>
      <c r="FE25" s="323">
        <v>8</v>
      </c>
      <c r="FF25" s="323">
        <v>0</v>
      </c>
      <c r="FG25" s="323">
        <v>0</v>
      </c>
      <c r="FH25" s="323">
        <v>11</v>
      </c>
      <c r="FI25" s="323">
        <v>0</v>
      </c>
      <c r="FJ25" s="4"/>
      <c r="FK25" s="323">
        <v>144</v>
      </c>
      <c r="FL25" s="323">
        <v>9</v>
      </c>
      <c r="FM25" s="2"/>
      <c r="FN25" s="323">
        <v>9</v>
      </c>
      <c r="FO25" s="323">
        <v>2</v>
      </c>
      <c r="FP25" s="323">
        <v>0</v>
      </c>
      <c r="FR25" s="418" t="s">
        <v>205</v>
      </c>
      <c r="FS25" s="419" t="s">
        <v>342</v>
      </c>
      <c r="FT25" s="340">
        <v>8.9963521640540278E-2</v>
      </c>
      <c r="FU25" s="340">
        <v>3.6231884057971016E-2</v>
      </c>
      <c r="FV25" s="340">
        <v>0</v>
      </c>
      <c r="FW25" s="323">
        <v>1</v>
      </c>
      <c r="FX25" s="420"/>
      <c r="FY25" s="420">
        <v>2.4829931972789114</v>
      </c>
      <c r="FZ25" s="421"/>
      <c r="GA25" s="323">
        <v>28</v>
      </c>
      <c r="GB25" s="323">
        <v>28</v>
      </c>
      <c r="GC25" s="323">
        <v>28</v>
      </c>
      <c r="GD25" s="323">
        <v>27</v>
      </c>
      <c r="GE25" s="323">
        <v>27</v>
      </c>
      <c r="GF25" s="323">
        <v>0</v>
      </c>
      <c r="GG25" s="323">
        <v>0</v>
      </c>
      <c r="GH25" s="323">
        <v>0</v>
      </c>
      <c r="GI25" s="323">
        <v>0</v>
      </c>
      <c r="GJ25" s="323">
        <v>0</v>
      </c>
      <c r="GK25" s="323">
        <v>0</v>
      </c>
      <c r="GL25" s="323">
        <v>0</v>
      </c>
      <c r="GM25" s="347">
        <v>27.6</v>
      </c>
      <c r="GN25" s="341">
        <v>27</v>
      </c>
      <c r="GO25" s="323">
        <v>0</v>
      </c>
      <c r="GP25" s="323">
        <v>0</v>
      </c>
      <c r="GQ25" s="323">
        <v>0</v>
      </c>
      <c r="GR25" s="323">
        <v>0</v>
      </c>
      <c r="GS25" s="323">
        <v>0</v>
      </c>
      <c r="GT25" s="323">
        <v>0</v>
      </c>
      <c r="GU25" s="323">
        <v>1</v>
      </c>
      <c r="GV25" s="323">
        <v>0</v>
      </c>
      <c r="GW25" s="323">
        <v>0</v>
      </c>
      <c r="GX25" s="323">
        <v>1</v>
      </c>
      <c r="GY25" s="323">
        <v>0</v>
      </c>
      <c r="GZ25" s="4"/>
      <c r="HA25" s="323">
        <v>27</v>
      </c>
      <c r="HB25" s="323">
        <v>0</v>
      </c>
      <c r="HC25" s="2"/>
      <c r="HD25" s="323">
        <v>1</v>
      </c>
      <c r="HE25" s="323">
        <v>0</v>
      </c>
      <c r="HF25" s="323">
        <v>0</v>
      </c>
      <c r="HH25">
        <v>5</v>
      </c>
      <c r="HI25">
        <v>1.9011406844106463E-2</v>
      </c>
      <c r="HJ25">
        <v>6</v>
      </c>
      <c r="HK25">
        <v>2.2813688212927757E-2</v>
      </c>
      <c r="HL25">
        <v>6</v>
      </c>
      <c r="HM25">
        <v>2.2813688212927757E-2</v>
      </c>
      <c r="HN25">
        <v>6</v>
      </c>
      <c r="HO25">
        <v>2.2813688212927757E-2</v>
      </c>
      <c r="HP25">
        <v>15</v>
      </c>
      <c r="HQ25">
        <v>5.7034220532319393E-2</v>
      </c>
      <c r="HR25">
        <v>29</v>
      </c>
      <c r="HS25">
        <v>0.11026615969581749</v>
      </c>
      <c r="HT25">
        <v>234</v>
      </c>
      <c r="HU25">
        <v>0.88973384030418246</v>
      </c>
      <c r="HV25">
        <v>263</v>
      </c>
    </row>
    <row r="26" spans="1:230" x14ac:dyDescent="0.25">
      <c r="A26" t="s">
        <v>512</v>
      </c>
      <c r="B26" s="4">
        <v>1165</v>
      </c>
      <c r="C26" s="444" t="s">
        <v>230</v>
      </c>
      <c r="D26" s="418" t="s">
        <v>208</v>
      </c>
      <c r="E26" s="419" t="s">
        <v>512</v>
      </c>
      <c r="F26" s="340">
        <v>0.75800947441682931</v>
      </c>
      <c r="G26" s="340">
        <v>0.30528052805280526</v>
      </c>
      <c r="H26" s="340">
        <v>8.2508250825082501E-3</v>
      </c>
      <c r="I26" s="323">
        <v>37</v>
      </c>
      <c r="J26" s="420"/>
      <c r="K26" s="478">
        <v>91.870748299319729</v>
      </c>
      <c r="L26" s="421"/>
      <c r="M26" s="323">
        <v>128</v>
      </c>
      <c r="N26" s="323">
        <v>124</v>
      </c>
      <c r="O26" s="323">
        <v>123</v>
      </c>
      <c r="P26" s="323">
        <v>117</v>
      </c>
      <c r="Q26" s="323">
        <v>114</v>
      </c>
      <c r="R26" s="323">
        <v>0</v>
      </c>
      <c r="S26" s="323">
        <v>0</v>
      </c>
      <c r="T26" s="323">
        <v>0</v>
      </c>
      <c r="U26" s="323">
        <v>0</v>
      </c>
      <c r="V26" s="323">
        <v>0</v>
      </c>
      <c r="W26" s="323">
        <v>0</v>
      </c>
      <c r="X26" s="323">
        <v>0</v>
      </c>
      <c r="Y26" s="347">
        <v>121.2</v>
      </c>
      <c r="Z26" s="323">
        <v>114</v>
      </c>
      <c r="AA26" s="323">
        <v>0</v>
      </c>
      <c r="AB26" s="323">
        <v>16</v>
      </c>
      <c r="AC26" s="323">
        <v>1</v>
      </c>
      <c r="AD26" s="323">
        <v>0</v>
      </c>
      <c r="AE26" s="323">
        <v>0</v>
      </c>
      <c r="AF26" s="323">
        <v>0</v>
      </c>
      <c r="AG26" s="323">
        <v>20</v>
      </c>
      <c r="AH26" s="323">
        <v>0</v>
      </c>
      <c r="AI26" s="323">
        <v>0</v>
      </c>
      <c r="AJ26" s="323">
        <v>37</v>
      </c>
      <c r="AK26" s="328">
        <v>1</v>
      </c>
      <c r="AL26" s="4" t="s">
        <v>208</v>
      </c>
      <c r="AM26" s="327">
        <v>105</v>
      </c>
      <c r="AN26" s="328">
        <v>9</v>
      </c>
      <c r="AO26" s="2"/>
      <c r="AP26" s="323">
        <v>36</v>
      </c>
      <c r="AQ26" s="323">
        <v>1</v>
      </c>
      <c r="AR26" s="323">
        <v>0</v>
      </c>
      <c r="AS26" s="2"/>
      <c r="AT26" s="323">
        <v>9</v>
      </c>
      <c r="AU26" s="323">
        <v>8</v>
      </c>
      <c r="AV26" s="323">
        <v>5</v>
      </c>
      <c r="AW26" s="323">
        <v>14</v>
      </c>
      <c r="AX26" s="323">
        <v>1</v>
      </c>
      <c r="AY26" s="323">
        <v>0</v>
      </c>
      <c r="AZ26" s="323">
        <v>0</v>
      </c>
      <c r="BA26" s="323">
        <v>0</v>
      </c>
      <c r="BB26" s="323">
        <v>0</v>
      </c>
      <c r="BC26" s="323">
        <v>0</v>
      </c>
      <c r="BD26" s="323">
        <v>0</v>
      </c>
      <c r="BE26" s="323">
        <v>0</v>
      </c>
      <c r="BF26" s="2" t="s">
        <v>512</v>
      </c>
      <c r="BG26" s="327">
        <v>17</v>
      </c>
      <c r="BH26" s="323">
        <v>5</v>
      </c>
      <c r="BI26" s="323">
        <v>8</v>
      </c>
      <c r="BJ26" s="323">
        <v>12</v>
      </c>
      <c r="BK26" s="323">
        <v>1</v>
      </c>
      <c r="BL26" s="323">
        <v>0</v>
      </c>
      <c r="BM26" s="323">
        <v>0</v>
      </c>
      <c r="BN26" s="323">
        <v>0</v>
      </c>
      <c r="BO26" s="323">
        <v>0</v>
      </c>
      <c r="BP26" s="323">
        <v>0</v>
      </c>
      <c r="BQ26" s="323">
        <v>0</v>
      </c>
      <c r="BR26" s="328">
        <v>0</v>
      </c>
      <c r="BS26" s="323">
        <v>43</v>
      </c>
      <c r="BT26" s="329">
        <v>0.91657366071428581</v>
      </c>
      <c r="BU26" s="330">
        <v>0.87939342403628118</v>
      </c>
      <c r="BV26" s="330">
        <v>0.70593406593406594</v>
      </c>
      <c r="BW26" s="330">
        <v>0.89772494363599098</v>
      </c>
      <c r="BX26" s="330">
        <v>0.75800947441682942</v>
      </c>
      <c r="BY26" s="330">
        <v>0.73468610597323469</v>
      </c>
      <c r="BZ26" s="330">
        <v>0.74284928492849289</v>
      </c>
      <c r="CA26" s="330">
        <v>0.74909171589427859</v>
      </c>
      <c r="CB26" s="330">
        <v>0.74676313785224691</v>
      </c>
      <c r="CC26" s="330">
        <v>0.75255199938598505</v>
      </c>
      <c r="CD26" s="330">
        <v>0.75735552278632112</v>
      </c>
      <c r="CE26" s="331">
        <v>0.73267326732673266</v>
      </c>
      <c r="CF26" s="2"/>
      <c r="CG26" s="327">
        <v>29</v>
      </c>
      <c r="CH26" s="323">
        <v>29</v>
      </c>
      <c r="CI26" s="323">
        <v>28</v>
      </c>
      <c r="CJ26" s="323">
        <v>26</v>
      </c>
      <c r="CK26" s="323">
        <v>0</v>
      </c>
      <c r="CL26" s="323">
        <v>0</v>
      </c>
      <c r="CM26" s="323">
        <v>0</v>
      </c>
      <c r="CN26" s="323">
        <v>0</v>
      </c>
      <c r="CO26" s="323">
        <v>0</v>
      </c>
      <c r="CP26" s="323">
        <v>0</v>
      </c>
      <c r="CQ26" s="323">
        <v>0</v>
      </c>
      <c r="CR26" s="332">
        <v>0</v>
      </c>
      <c r="CS26" s="327">
        <v>0</v>
      </c>
      <c r="CT26" s="323">
        <v>0</v>
      </c>
      <c r="CU26" s="323">
        <v>0</v>
      </c>
      <c r="CV26" s="323">
        <v>0</v>
      </c>
      <c r="CW26" s="323">
        <v>0</v>
      </c>
      <c r="CX26" s="323">
        <v>0</v>
      </c>
      <c r="CY26" s="323">
        <v>0</v>
      </c>
      <c r="CZ26" s="323">
        <v>0</v>
      </c>
      <c r="DA26" s="323">
        <v>0</v>
      </c>
      <c r="DB26" s="323">
        <v>0</v>
      </c>
      <c r="DC26" s="323">
        <v>0</v>
      </c>
      <c r="DD26" s="328">
        <v>0</v>
      </c>
      <c r="DE26" s="4"/>
      <c r="DF26" s="416">
        <v>0</v>
      </c>
      <c r="DG26" s="417">
        <v>0</v>
      </c>
      <c r="DH26" s="417">
        <v>0</v>
      </c>
      <c r="DI26" s="417">
        <v>0</v>
      </c>
      <c r="DJ26" s="417">
        <v>0</v>
      </c>
      <c r="DK26" s="417">
        <v>0</v>
      </c>
      <c r="DL26" s="417">
        <v>0</v>
      </c>
      <c r="DM26" s="417">
        <v>0</v>
      </c>
      <c r="DN26" s="417">
        <v>0</v>
      </c>
      <c r="DO26" s="417" t="s">
        <v>130</v>
      </c>
      <c r="DP26" s="417">
        <v>0</v>
      </c>
      <c r="DQ26" s="417">
        <v>0</v>
      </c>
      <c r="DS26" s="327">
        <v>22</v>
      </c>
      <c r="DT26" s="323">
        <v>0</v>
      </c>
      <c r="DU26" s="323">
        <v>0</v>
      </c>
      <c r="DV26" s="323">
        <v>0</v>
      </c>
      <c r="DW26" s="323">
        <v>0</v>
      </c>
      <c r="DX26" s="323">
        <v>0</v>
      </c>
      <c r="DY26" s="323">
        <v>21</v>
      </c>
      <c r="DZ26" s="328">
        <v>43</v>
      </c>
      <c r="EA26" s="4"/>
      <c r="EB26" s="418" t="s">
        <v>208</v>
      </c>
      <c r="EC26" s="419" t="s">
        <v>344</v>
      </c>
      <c r="ED26" s="340">
        <v>0.76178066583183845</v>
      </c>
      <c r="EE26" s="340">
        <v>0.30679933665008291</v>
      </c>
      <c r="EF26" s="340">
        <v>8.291873963515755E-3</v>
      </c>
      <c r="EG26" s="323">
        <v>37</v>
      </c>
      <c r="EH26" s="420"/>
      <c r="EI26" s="420">
        <v>91.870748299319729</v>
      </c>
      <c r="EJ26" s="421"/>
      <c r="EK26" s="323">
        <v>127</v>
      </c>
      <c r="EL26" s="323">
        <v>123</v>
      </c>
      <c r="EM26" s="323">
        <v>122</v>
      </c>
      <c r="EN26" s="323">
        <v>117</v>
      </c>
      <c r="EO26" s="323">
        <v>114</v>
      </c>
      <c r="EP26" s="323">
        <v>0</v>
      </c>
      <c r="EQ26" s="323">
        <v>0</v>
      </c>
      <c r="ER26" s="323">
        <v>0</v>
      </c>
      <c r="ES26" s="323">
        <v>0</v>
      </c>
      <c r="ET26" s="323">
        <v>0</v>
      </c>
      <c r="EU26" s="323">
        <v>0</v>
      </c>
      <c r="EV26" s="323">
        <v>0</v>
      </c>
      <c r="EW26" s="347">
        <v>120.6</v>
      </c>
      <c r="EX26" s="323">
        <v>114</v>
      </c>
      <c r="EY26" s="323">
        <v>0</v>
      </c>
      <c r="EZ26" s="323">
        <v>16</v>
      </c>
      <c r="FA26" s="323">
        <v>1</v>
      </c>
      <c r="FB26" s="323">
        <v>0</v>
      </c>
      <c r="FC26" s="323">
        <v>0</v>
      </c>
      <c r="FD26" s="323">
        <v>0</v>
      </c>
      <c r="FE26" s="323">
        <v>20</v>
      </c>
      <c r="FF26" s="323">
        <v>0</v>
      </c>
      <c r="FG26" s="323">
        <v>0</v>
      </c>
      <c r="FH26" s="323">
        <v>37</v>
      </c>
      <c r="FI26" s="323">
        <v>1</v>
      </c>
      <c r="FJ26" s="4"/>
      <c r="FK26" s="323">
        <v>105</v>
      </c>
      <c r="FL26" s="323">
        <v>9</v>
      </c>
      <c r="FM26" s="2"/>
      <c r="FN26" s="323">
        <v>36</v>
      </c>
      <c r="FO26" s="323">
        <v>1</v>
      </c>
      <c r="FP26" s="323">
        <v>0</v>
      </c>
      <c r="FR26" s="418" t="s">
        <v>208</v>
      </c>
      <c r="FS26" s="419" t="s">
        <v>344</v>
      </c>
      <c r="FT26" s="340">
        <v>0</v>
      </c>
      <c r="FU26" s="340">
        <v>0</v>
      </c>
      <c r="FV26" s="340">
        <v>0</v>
      </c>
      <c r="FW26" s="323">
        <v>0</v>
      </c>
      <c r="FX26" s="420"/>
      <c r="FY26" s="420">
        <v>0</v>
      </c>
      <c r="FZ26" s="421"/>
      <c r="GA26" s="323">
        <v>1</v>
      </c>
      <c r="GB26" s="323">
        <v>1</v>
      </c>
      <c r="GC26" s="323">
        <v>1</v>
      </c>
      <c r="GD26" s="323">
        <v>0</v>
      </c>
      <c r="GE26" s="323">
        <v>0</v>
      </c>
      <c r="GF26" s="323">
        <v>0</v>
      </c>
      <c r="GG26" s="323">
        <v>0</v>
      </c>
      <c r="GH26" s="323">
        <v>0</v>
      </c>
      <c r="GI26" s="323">
        <v>0</v>
      </c>
      <c r="GJ26" s="323">
        <v>0</v>
      </c>
      <c r="GK26" s="323">
        <v>0</v>
      </c>
      <c r="GL26" s="323">
        <v>0</v>
      </c>
      <c r="GM26" s="347">
        <v>1</v>
      </c>
      <c r="GN26" s="341">
        <v>0</v>
      </c>
      <c r="GO26" s="323">
        <v>0</v>
      </c>
      <c r="GP26" s="323">
        <v>0</v>
      </c>
      <c r="GQ26" s="323">
        <v>0</v>
      </c>
      <c r="GR26" s="323">
        <v>0</v>
      </c>
      <c r="GS26" s="323">
        <v>0</v>
      </c>
      <c r="GT26" s="323">
        <v>0</v>
      </c>
      <c r="GU26" s="323">
        <v>0</v>
      </c>
      <c r="GV26" s="323">
        <v>0</v>
      </c>
      <c r="GW26" s="323">
        <v>0</v>
      </c>
      <c r="GX26" s="323">
        <v>0</v>
      </c>
      <c r="GY26" s="323">
        <v>0</v>
      </c>
      <c r="GZ26" s="4"/>
      <c r="HA26" s="323">
        <v>0</v>
      </c>
      <c r="HB26" s="323">
        <v>0</v>
      </c>
      <c r="HC26" s="2"/>
      <c r="HD26" s="323">
        <v>0</v>
      </c>
      <c r="HE26" s="323">
        <v>0</v>
      </c>
      <c r="HF26" s="323">
        <v>0</v>
      </c>
      <c r="HH26">
        <v>0</v>
      </c>
      <c r="HI26">
        <v>0</v>
      </c>
      <c r="HJ26">
        <v>3</v>
      </c>
      <c r="HK26">
        <v>2.0270270270270271E-2</v>
      </c>
      <c r="HL26">
        <v>9</v>
      </c>
      <c r="HM26">
        <v>6.0810810810810814E-2</v>
      </c>
      <c r="HN26">
        <v>10</v>
      </c>
      <c r="HO26">
        <v>6.7567567567567571E-2</v>
      </c>
      <c r="HP26">
        <v>22</v>
      </c>
      <c r="HQ26">
        <v>0.14864864864864866</v>
      </c>
      <c r="HR26">
        <v>29</v>
      </c>
      <c r="HS26">
        <v>0.19594594594594594</v>
      </c>
      <c r="HT26">
        <v>119</v>
      </c>
      <c r="HU26">
        <v>0.80405405405405406</v>
      </c>
      <c r="HV26">
        <v>148</v>
      </c>
    </row>
    <row r="27" spans="1:230" x14ac:dyDescent="0.25">
      <c r="A27" t="s">
        <v>513</v>
      </c>
      <c r="B27" s="4">
        <v>1170</v>
      </c>
      <c r="C27" s="444" t="s">
        <v>228</v>
      </c>
      <c r="D27" s="418" t="s">
        <v>208</v>
      </c>
      <c r="E27" s="419" t="s">
        <v>513</v>
      </c>
      <c r="F27" s="340">
        <v>0.95983894191390107</v>
      </c>
      <c r="G27" s="340">
        <v>0.38656527249683142</v>
      </c>
      <c r="H27" s="340">
        <v>0.10773130544993662</v>
      </c>
      <c r="I27" s="323">
        <v>61</v>
      </c>
      <c r="J27" s="420"/>
      <c r="K27" s="478">
        <v>151.46258503401359</v>
      </c>
      <c r="L27" s="421"/>
      <c r="M27" s="323">
        <v>151</v>
      </c>
      <c r="N27" s="323">
        <v>159</v>
      </c>
      <c r="O27" s="323">
        <v>159</v>
      </c>
      <c r="P27" s="323">
        <v>162</v>
      </c>
      <c r="Q27" s="323">
        <v>158</v>
      </c>
      <c r="R27" s="323">
        <v>0</v>
      </c>
      <c r="S27" s="323">
        <v>0</v>
      </c>
      <c r="T27" s="323">
        <v>0</v>
      </c>
      <c r="U27" s="323">
        <v>0</v>
      </c>
      <c r="V27" s="323">
        <v>0</v>
      </c>
      <c r="W27" s="323">
        <v>0</v>
      </c>
      <c r="X27" s="323">
        <v>0</v>
      </c>
      <c r="Y27" s="347">
        <v>157.80000000000001</v>
      </c>
      <c r="Z27" s="323">
        <v>158</v>
      </c>
      <c r="AA27" s="323">
        <v>0</v>
      </c>
      <c r="AB27" s="323">
        <v>26</v>
      </c>
      <c r="AC27" s="323">
        <v>3</v>
      </c>
      <c r="AD27" s="323">
        <v>0</v>
      </c>
      <c r="AE27" s="323">
        <v>0</v>
      </c>
      <c r="AF27" s="323">
        <v>0</v>
      </c>
      <c r="AG27" s="323">
        <v>32</v>
      </c>
      <c r="AH27" s="323">
        <v>0</v>
      </c>
      <c r="AI27" s="323">
        <v>0</v>
      </c>
      <c r="AJ27" s="323">
        <v>61</v>
      </c>
      <c r="AK27" s="328">
        <v>17</v>
      </c>
      <c r="AL27" s="4" t="s">
        <v>208</v>
      </c>
      <c r="AM27" s="327">
        <v>122</v>
      </c>
      <c r="AN27" s="328">
        <v>36</v>
      </c>
      <c r="AO27" s="2"/>
      <c r="AP27" s="323">
        <v>58</v>
      </c>
      <c r="AQ27" s="323">
        <v>3</v>
      </c>
      <c r="AR27" s="323">
        <v>0</v>
      </c>
      <c r="AS27" s="2"/>
      <c r="AT27" s="323">
        <v>8</v>
      </c>
      <c r="AU27" s="323">
        <v>7</v>
      </c>
      <c r="AV27" s="323">
        <v>19</v>
      </c>
      <c r="AW27" s="323">
        <v>10</v>
      </c>
      <c r="AX27" s="323">
        <v>17</v>
      </c>
      <c r="AY27" s="323">
        <v>0</v>
      </c>
      <c r="AZ27" s="323">
        <v>0</v>
      </c>
      <c r="BA27" s="323">
        <v>0</v>
      </c>
      <c r="BB27" s="323">
        <v>0</v>
      </c>
      <c r="BC27" s="323">
        <v>0</v>
      </c>
      <c r="BD27" s="323">
        <v>0</v>
      </c>
      <c r="BE27" s="323">
        <v>0</v>
      </c>
      <c r="BF27" s="2" t="s">
        <v>513</v>
      </c>
      <c r="BG27" s="327">
        <v>8</v>
      </c>
      <c r="BH27" s="323">
        <v>17</v>
      </c>
      <c r="BI27" s="323">
        <v>18</v>
      </c>
      <c r="BJ27" s="323">
        <v>18</v>
      </c>
      <c r="BK27" s="323">
        <v>14</v>
      </c>
      <c r="BL27" s="323">
        <v>0</v>
      </c>
      <c r="BM27" s="323">
        <v>0</v>
      </c>
      <c r="BN27" s="323">
        <v>0</v>
      </c>
      <c r="BO27" s="323">
        <v>0</v>
      </c>
      <c r="BP27" s="323">
        <v>0</v>
      </c>
      <c r="BQ27" s="323">
        <v>0</v>
      </c>
      <c r="BR27" s="328">
        <v>0</v>
      </c>
      <c r="BS27" s="323">
        <v>75</v>
      </c>
      <c r="BT27" s="329">
        <v>0.69063386944181648</v>
      </c>
      <c r="BU27" s="330">
        <v>0.63076036866359453</v>
      </c>
      <c r="BV27" s="330">
        <v>0.87232596827479547</v>
      </c>
      <c r="BW27" s="330">
        <v>0.85551811849938086</v>
      </c>
      <c r="BX27" s="330">
        <v>0.95983894191390096</v>
      </c>
      <c r="BY27" s="330">
        <v>0.93030543600885807</v>
      </c>
      <c r="BZ27" s="330">
        <v>0.94064216307562332</v>
      </c>
      <c r="CA27" s="330">
        <v>0.94854671906785537</v>
      </c>
      <c r="CB27" s="330">
        <v>0.94559812810763377</v>
      </c>
      <c r="CC27" s="330">
        <v>0.95292834615497979</v>
      </c>
      <c r="CD27" s="330">
        <v>0.9590108675134158</v>
      </c>
      <c r="CE27" s="331">
        <v>0.92775665399239549</v>
      </c>
      <c r="CF27" s="2"/>
      <c r="CG27" s="327">
        <v>53</v>
      </c>
      <c r="CH27" s="323">
        <v>54</v>
      </c>
      <c r="CI27" s="323">
        <v>49</v>
      </c>
      <c r="CJ27" s="323">
        <v>48</v>
      </c>
      <c r="CK27" s="323">
        <v>0</v>
      </c>
      <c r="CL27" s="323">
        <v>0</v>
      </c>
      <c r="CM27" s="323">
        <v>0</v>
      </c>
      <c r="CN27" s="323">
        <v>0</v>
      </c>
      <c r="CO27" s="323">
        <v>0</v>
      </c>
      <c r="CP27" s="323">
        <v>0</v>
      </c>
      <c r="CQ27" s="323">
        <v>0</v>
      </c>
      <c r="CR27" s="332">
        <v>0</v>
      </c>
      <c r="CS27" s="327">
        <v>0</v>
      </c>
      <c r="CT27" s="323">
        <v>0</v>
      </c>
      <c r="CU27" s="323">
        <v>0</v>
      </c>
      <c r="CV27" s="323">
        <v>0</v>
      </c>
      <c r="CW27" s="323">
        <v>0</v>
      </c>
      <c r="CX27" s="323">
        <v>0</v>
      </c>
      <c r="CY27" s="323">
        <v>0</v>
      </c>
      <c r="CZ27" s="323">
        <v>0</v>
      </c>
      <c r="DA27" s="323">
        <v>0</v>
      </c>
      <c r="DB27" s="323">
        <v>0</v>
      </c>
      <c r="DC27" s="323">
        <v>0</v>
      </c>
      <c r="DD27" s="328">
        <v>0</v>
      </c>
      <c r="DE27" s="4"/>
      <c r="DF27" s="416">
        <v>0</v>
      </c>
      <c r="DG27" s="417">
        <v>0</v>
      </c>
      <c r="DH27" s="417">
        <v>0</v>
      </c>
      <c r="DI27" s="417">
        <v>0</v>
      </c>
      <c r="DJ27" s="417">
        <v>0</v>
      </c>
      <c r="DK27" s="417">
        <v>0</v>
      </c>
      <c r="DL27" s="417">
        <v>0</v>
      </c>
      <c r="DM27" s="417">
        <v>0</v>
      </c>
      <c r="DN27" s="417" t="s">
        <v>130</v>
      </c>
      <c r="DO27" s="417">
        <v>0</v>
      </c>
      <c r="DP27" s="417">
        <v>0</v>
      </c>
      <c r="DQ27" s="417">
        <v>0</v>
      </c>
      <c r="DS27" s="327">
        <v>40</v>
      </c>
      <c r="DT27" s="323">
        <v>0</v>
      </c>
      <c r="DU27" s="323">
        <v>0</v>
      </c>
      <c r="DV27" s="323">
        <v>0</v>
      </c>
      <c r="DW27" s="323">
        <v>0</v>
      </c>
      <c r="DX27" s="323">
        <v>0</v>
      </c>
      <c r="DY27" s="323">
        <v>35</v>
      </c>
      <c r="DZ27" s="328">
        <v>75</v>
      </c>
      <c r="EA27" s="4"/>
      <c r="EB27" s="418" t="s">
        <v>208</v>
      </c>
      <c r="EC27" s="419" t="s">
        <v>346</v>
      </c>
      <c r="ED27" s="340">
        <v>0.98247932266431748</v>
      </c>
      <c r="EE27" s="340">
        <v>0.39568345323741005</v>
      </c>
      <c r="EF27" s="340">
        <v>0.1079136690647482</v>
      </c>
      <c r="EG27" s="323">
        <v>55</v>
      </c>
      <c r="EH27" s="420"/>
      <c r="EI27" s="420">
        <v>136.56462585034012</v>
      </c>
      <c r="EJ27" s="421"/>
      <c r="EK27" s="323">
        <v>133</v>
      </c>
      <c r="EL27" s="323">
        <v>140</v>
      </c>
      <c r="EM27" s="323">
        <v>141</v>
      </c>
      <c r="EN27" s="323">
        <v>142</v>
      </c>
      <c r="EO27" s="323">
        <v>139</v>
      </c>
      <c r="EP27" s="323">
        <v>0</v>
      </c>
      <c r="EQ27" s="323">
        <v>0</v>
      </c>
      <c r="ER27" s="323">
        <v>0</v>
      </c>
      <c r="ES27" s="323">
        <v>0</v>
      </c>
      <c r="ET27" s="323">
        <v>0</v>
      </c>
      <c r="EU27" s="323">
        <v>0</v>
      </c>
      <c r="EV27" s="323">
        <v>0</v>
      </c>
      <c r="EW27" s="347">
        <v>139</v>
      </c>
      <c r="EX27" s="323">
        <v>139</v>
      </c>
      <c r="EY27" s="323">
        <v>0</v>
      </c>
      <c r="EZ27" s="323">
        <v>23</v>
      </c>
      <c r="FA27" s="323">
        <v>3</v>
      </c>
      <c r="FB27" s="323">
        <v>0</v>
      </c>
      <c r="FC27" s="323">
        <v>0</v>
      </c>
      <c r="FD27" s="323">
        <v>0</v>
      </c>
      <c r="FE27" s="323">
        <v>29</v>
      </c>
      <c r="FF27" s="323">
        <v>0</v>
      </c>
      <c r="FG27" s="323">
        <v>0</v>
      </c>
      <c r="FH27" s="323">
        <v>55</v>
      </c>
      <c r="FI27" s="323">
        <v>15</v>
      </c>
      <c r="FJ27" s="4"/>
      <c r="FK27" s="323">
        <v>103</v>
      </c>
      <c r="FL27" s="323">
        <v>36</v>
      </c>
      <c r="FM27" s="2"/>
      <c r="FN27" s="323">
        <v>52</v>
      </c>
      <c r="FO27" s="323">
        <v>3</v>
      </c>
      <c r="FP27" s="323">
        <v>0</v>
      </c>
      <c r="FR27" s="418" t="s">
        <v>208</v>
      </c>
      <c r="FS27" s="419" t="s">
        <v>346</v>
      </c>
      <c r="FT27" s="340">
        <v>0.79244463742943971</v>
      </c>
      <c r="FU27" s="340">
        <v>0.31914893617021273</v>
      </c>
      <c r="FV27" s="340">
        <v>0.10638297872340426</v>
      </c>
      <c r="FW27" s="323">
        <v>6</v>
      </c>
      <c r="FX27" s="420"/>
      <c r="FY27" s="420">
        <v>14.897959183673468</v>
      </c>
      <c r="FZ27" s="421"/>
      <c r="GA27" s="323">
        <v>18</v>
      </c>
      <c r="GB27" s="323">
        <v>19</v>
      </c>
      <c r="GC27" s="323">
        <v>18</v>
      </c>
      <c r="GD27" s="323">
        <v>20</v>
      </c>
      <c r="GE27" s="323">
        <v>19</v>
      </c>
      <c r="GF27" s="323">
        <v>0</v>
      </c>
      <c r="GG27" s="323">
        <v>0</v>
      </c>
      <c r="GH27" s="323">
        <v>0</v>
      </c>
      <c r="GI27" s="323">
        <v>0</v>
      </c>
      <c r="GJ27" s="323">
        <v>0</v>
      </c>
      <c r="GK27" s="323">
        <v>0</v>
      </c>
      <c r="GL27" s="323">
        <v>0</v>
      </c>
      <c r="GM27" s="347">
        <v>18.8</v>
      </c>
      <c r="GN27" s="341">
        <v>19</v>
      </c>
      <c r="GO27" s="323">
        <v>0</v>
      </c>
      <c r="GP27" s="323">
        <v>3</v>
      </c>
      <c r="GQ27" s="323">
        <v>0</v>
      </c>
      <c r="GR27" s="323">
        <v>0</v>
      </c>
      <c r="GS27" s="323">
        <v>0</v>
      </c>
      <c r="GT27" s="323">
        <v>0</v>
      </c>
      <c r="GU27" s="323">
        <v>3</v>
      </c>
      <c r="GV27" s="323">
        <v>0</v>
      </c>
      <c r="GW27" s="323">
        <v>0</v>
      </c>
      <c r="GX27" s="323">
        <v>6</v>
      </c>
      <c r="GY27" s="323">
        <v>2</v>
      </c>
      <c r="GZ27" s="4"/>
      <c r="HA27" s="323">
        <v>19</v>
      </c>
      <c r="HB27" s="323">
        <v>0</v>
      </c>
      <c r="HC27" s="2"/>
      <c r="HD27" s="323">
        <v>6</v>
      </c>
      <c r="HE27" s="323">
        <v>0</v>
      </c>
      <c r="HF27" s="323">
        <v>0</v>
      </c>
      <c r="HH27">
        <v>6</v>
      </c>
      <c r="HI27">
        <v>3.125E-2</v>
      </c>
      <c r="HJ27">
        <v>13</v>
      </c>
      <c r="HK27">
        <v>6.7708333333333329E-2</v>
      </c>
      <c r="HL27">
        <v>16</v>
      </c>
      <c r="HM27">
        <v>8.3333333333333329E-2</v>
      </c>
      <c r="HN27">
        <v>19</v>
      </c>
      <c r="HO27">
        <v>9.8958333333333329E-2</v>
      </c>
      <c r="HP27">
        <v>32</v>
      </c>
      <c r="HQ27">
        <v>0.16666666666666666</v>
      </c>
      <c r="HR27">
        <v>53</v>
      </c>
      <c r="HS27">
        <v>0.27604166666666669</v>
      </c>
      <c r="HT27">
        <v>139</v>
      </c>
      <c r="HU27">
        <v>0.72395833333333337</v>
      </c>
      <c r="HV27">
        <v>192</v>
      </c>
    </row>
    <row r="28" spans="1:230" x14ac:dyDescent="0.25">
      <c r="A28" t="s">
        <v>514</v>
      </c>
      <c r="B28" s="4">
        <v>1214</v>
      </c>
      <c r="C28" s="444" t="s">
        <v>224</v>
      </c>
      <c r="D28" s="418" t="s">
        <v>208</v>
      </c>
      <c r="E28" s="419" t="s">
        <v>514</v>
      </c>
      <c r="F28" s="340">
        <v>0.87444543034605149</v>
      </c>
      <c r="G28" s="340">
        <v>0.35217391304347828</v>
      </c>
      <c r="H28" s="340">
        <v>6.9565217391304349E-2</v>
      </c>
      <c r="I28" s="323">
        <v>81</v>
      </c>
      <c r="J28" s="420"/>
      <c r="K28" s="478">
        <v>201.12244897959184</v>
      </c>
      <c r="L28" s="421"/>
      <c r="M28" s="323">
        <v>224</v>
      </c>
      <c r="N28" s="323">
        <v>220</v>
      </c>
      <c r="O28" s="323">
        <v>229</v>
      </c>
      <c r="P28" s="323">
        <v>239</v>
      </c>
      <c r="Q28" s="323">
        <v>238</v>
      </c>
      <c r="R28" s="323">
        <v>0</v>
      </c>
      <c r="S28" s="323">
        <v>0</v>
      </c>
      <c r="T28" s="323">
        <v>0</v>
      </c>
      <c r="U28" s="323">
        <v>0</v>
      </c>
      <c r="V28" s="323">
        <v>0</v>
      </c>
      <c r="W28" s="323">
        <v>0</v>
      </c>
      <c r="X28" s="323">
        <v>0</v>
      </c>
      <c r="Y28" s="347">
        <v>230</v>
      </c>
      <c r="Z28" s="323">
        <v>238</v>
      </c>
      <c r="AA28" s="323">
        <v>0</v>
      </c>
      <c r="AB28" s="323">
        <v>31</v>
      </c>
      <c r="AC28" s="323">
        <v>7</v>
      </c>
      <c r="AD28" s="323">
        <v>7</v>
      </c>
      <c r="AE28" s="323">
        <v>2</v>
      </c>
      <c r="AF28" s="323">
        <v>0</v>
      </c>
      <c r="AG28" s="323">
        <v>34</v>
      </c>
      <c r="AH28" s="323">
        <v>0</v>
      </c>
      <c r="AI28" s="323">
        <v>0</v>
      </c>
      <c r="AJ28" s="323">
        <v>81</v>
      </c>
      <c r="AK28" s="328">
        <v>16</v>
      </c>
      <c r="AL28" s="4" t="s">
        <v>208</v>
      </c>
      <c r="AM28" s="327">
        <v>218</v>
      </c>
      <c r="AN28" s="328">
        <v>20</v>
      </c>
      <c r="AO28" s="2"/>
      <c r="AP28" s="323">
        <v>67</v>
      </c>
      <c r="AQ28" s="323">
        <v>14</v>
      </c>
      <c r="AR28" s="323">
        <v>0</v>
      </c>
      <c r="AS28" s="2"/>
      <c r="AT28" s="323">
        <v>10</v>
      </c>
      <c r="AU28" s="323">
        <v>20</v>
      </c>
      <c r="AV28" s="323">
        <v>21</v>
      </c>
      <c r="AW28" s="323">
        <v>14</v>
      </c>
      <c r="AX28" s="323">
        <v>16</v>
      </c>
      <c r="AY28" s="323">
        <v>0</v>
      </c>
      <c r="AZ28" s="323">
        <v>0</v>
      </c>
      <c r="BA28" s="323">
        <v>0</v>
      </c>
      <c r="BB28" s="323">
        <v>0</v>
      </c>
      <c r="BC28" s="323">
        <v>0</v>
      </c>
      <c r="BD28" s="323">
        <v>0</v>
      </c>
      <c r="BE28" s="323">
        <v>0</v>
      </c>
      <c r="BF28" s="2" t="s">
        <v>514</v>
      </c>
      <c r="BG28" s="327">
        <v>8</v>
      </c>
      <c r="BH28" s="323">
        <v>16</v>
      </c>
      <c r="BI28" s="323">
        <v>44</v>
      </c>
      <c r="BJ28" s="323">
        <v>32</v>
      </c>
      <c r="BK28" s="323">
        <v>20</v>
      </c>
      <c r="BL28" s="323">
        <v>0</v>
      </c>
      <c r="BM28" s="323">
        <v>0</v>
      </c>
      <c r="BN28" s="323">
        <v>0</v>
      </c>
      <c r="BO28" s="323">
        <v>0</v>
      </c>
      <c r="BP28" s="323">
        <v>0</v>
      </c>
      <c r="BQ28" s="323">
        <v>0</v>
      </c>
      <c r="BR28" s="328">
        <v>0</v>
      </c>
      <c r="BS28" s="323">
        <v>120</v>
      </c>
      <c r="BT28" s="329">
        <v>0.58195153061224492</v>
      </c>
      <c r="BU28" s="330">
        <v>0.88079150579150589</v>
      </c>
      <c r="BV28" s="330">
        <v>0.9118593145339059</v>
      </c>
      <c r="BW28" s="330">
        <v>0.87442871885596352</v>
      </c>
      <c r="BX28" s="330">
        <v>0.87444543034605149</v>
      </c>
      <c r="BY28" s="330">
        <v>0.84753941710463454</v>
      </c>
      <c r="BZ28" s="330">
        <v>0.85695652173913039</v>
      </c>
      <c r="CA28" s="330">
        <v>0.86415783704786264</v>
      </c>
      <c r="CB28" s="330">
        <v>0.86147157190635459</v>
      </c>
      <c r="CC28" s="330">
        <v>0.86814964610717893</v>
      </c>
      <c r="CD28" s="330">
        <v>0.87369102682701194</v>
      </c>
      <c r="CE28" s="331">
        <v>0.84521739130434792</v>
      </c>
      <c r="CF28" s="2"/>
      <c r="CG28" s="327">
        <v>127</v>
      </c>
      <c r="CH28" s="323">
        <v>141</v>
      </c>
      <c r="CI28" s="323">
        <v>150</v>
      </c>
      <c r="CJ28" s="323">
        <v>138</v>
      </c>
      <c r="CK28" s="323">
        <v>0</v>
      </c>
      <c r="CL28" s="323">
        <v>0</v>
      </c>
      <c r="CM28" s="323">
        <v>0</v>
      </c>
      <c r="CN28" s="323">
        <v>0</v>
      </c>
      <c r="CO28" s="323">
        <v>0</v>
      </c>
      <c r="CP28" s="323">
        <v>0</v>
      </c>
      <c r="CQ28" s="323">
        <v>0</v>
      </c>
      <c r="CR28" s="332">
        <v>0</v>
      </c>
      <c r="CS28" s="327">
        <v>0</v>
      </c>
      <c r="CT28" s="323">
        <v>0</v>
      </c>
      <c r="CU28" s="323">
        <v>0</v>
      </c>
      <c r="CV28" s="323">
        <v>0</v>
      </c>
      <c r="CW28" s="323">
        <v>0</v>
      </c>
      <c r="CX28" s="323">
        <v>0</v>
      </c>
      <c r="CY28" s="323">
        <v>0</v>
      </c>
      <c r="CZ28" s="323">
        <v>0</v>
      </c>
      <c r="DA28" s="323">
        <v>0</v>
      </c>
      <c r="DB28" s="323">
        <v>0</v>
      </c>
      <c r="DC28" s="323">
        <v>0</v>
      </c>
      <c r="DD28" s="328">
        <v>0</v>
      </c>
      <c r="DE28" s="4"/>
      <c r="DF28" s="416">
        <v>0</v>
      </c>
      <c r="DG28" s="417">
        <v>0</v>
      </c>
      <c r="DH28" s="417">
        <v>0</v>
      </c>
      <c r="DI28" s="417">
        <v>0</v>
      </c>
      <c r="DJ28" s="417">
        <v>0</v>
      </c>
      <c r="DK28" s="417">
        <v>0</v>
      </c>
      <c r="DL28" s="417">
        <v>0</v>
      </c>
      <c r="DM28" s="417" t="s">
        <v>130</v>
      </c>
      <c r="DN28" s="417">
        <v>0</v>
      </c>
      <c r="DO28" s="417">
        <v>0</v>
      </c>
      <c r="DP28" s="417">
        <v>0</v>
      </c>
      <c r="DQ28" s="417">
        <v>0</v>
      </c>
      <c r="DS28" s="327">
        <v>44</v>
      </c>
      <c r="DT28" s="323">
        <v>0</v>
      </c>
      <c r="DU28" s="323">
        <v>0</v>
      </c>
      <c r="DV28" s="323">
        <v>0</v>
      </c>
      <c r="DW28" s="323">
        <v>0</v>
      </c>
      <c r="DX28" s="323">
        <v>0</v>
      </c>
      <c r="DY28" s="323">
        <v>76</v>
      </c>
      <c r="DZ28" s="328">
        <v>120</v>
      </c>
      <c r="EA28" s="4"/>
      <c r="EB28" s="418" t="s">
        <v>208</v>
      </c>
      <c r="EC28" s="419" t="s">
        <v>348</v>
      </c>
      <c r="ED28" s="340">
        <v>0.86021299905730086</v>
      </c>
      <c r="EE28" s="340">
        <v>0.34644194756554308</v>
      </c>
      <c r="EF28" s="340">
        <v>7.4906367041198504E-2</v>
      </c>
      <c r="EG28" s="323">
        <v>74</v>
      </c>
      <c r="EH28" s="420"/>
      <c r="EI28" s="420">
        <v>183.74149659863946</v>
      </c>
      <c r="EJ28" s="421"/>
      <c r="EK28" s="323">
        <v>206</v>
      </c>
      <c r="EL28" s="323">
        <v>203</v>
      </c>
      <c r="EM28" s="323">
        <v>214</v>
      </c>
      <c r="EN28" s="323">
        <v>224</v>
      </c>
      <c r="EO28" s="323">
        <v>221</v>
      </c>
      <c r="EP28" s="323">
        <v>0</v>
      </c>
      <c r="EQ28" s="323">
        <v>0</v>
      </c>
      <c r="ER28" s="323">
        <v>0</v>
      </c>
      <c r="ES28" s="323">
        <v>0</v>
      </c>
      <c r="ET28" s="323">
        <v>0</v>
      </c>
      <c r="EU28" s="323">
        <v>0</v>
      </c>
      <c r="EV28" s="323">
        <v>0</v>
      </c>
      <c r="EW28" s="347">
        <v>213.6</v>
      </c>
      <c r="EX28" s="323">
        <v>221</v>
      </c>
      <c r="EY28" s="323">
        <v>0</v>
      </c>
      <c r="EZ28" s="323">
        <v>31</v>
      </c>
      <c r="FA28" s="323">
        <v>7</v>
      </c>
      <c r="FB28" s="323">
        <v>3</v>
      </c>
      <c r="FC28" s="323">
        <v>2</v>
      </c>
      <c r="FD28" s="323">
        <v>0</v>
      </c>
      <c r="FE28" s="323">
        <v>31</v>
      </c>
      <c r="FF28" s="323">
        <v>0</v>
      </c>
      <c r="FG28" s="323">
        <v>0</v>
      </c>
      <c r="FH28" s="323">
        <v>74</v>
      </c>
      <c r="FI28" s="323">
        <v>16</v>
      </c>
      <c r="FJ28" s="4"/>
      <c r="FK28" s="323">
        <v>201</v>
      </c>
      <c r="FL28" s="323">
        <v>20</v>
      </c>
      <c r="FM28" s="2"/>
      <c r="FN28" s="323">
        <v>64</v>
      </c>
      <c r="FO28" s="323">
        <v>10</v>
      </c>
      <c r="FP28" s="323">
        <v>0</v>
      </c>
      <c r="FR28" s="418" t="s">
        <v>208</v>
      </c>
      <c r="FS28" s="419" t="s">
        <v>348</v>
      </c>
      <c r="FT28" s="340">
        <v>1.0598141695702672</v>
      </c>
      <c r="FU28" s="340">
        <v>0.42682926829268297</v>
      </c>
      <c r="FV28" s="340">
        <v>0</v>
      </c>
      <c r="FW28" s="323">
        <v>7</v>
      </c>
      <c r="FX28" s="420"/>
      <c r="FY28" s="420">
        <v>17.38095238095238</v>
      </c>
      <c r="FZ28" s="421"/>
      <c r="GA28" s="323">
        <v>18</v>
      </c>
      <c r="GB28" s="323">
        <v>17</v>
      </c>
      <c r="GC28" s="323">
        <v>15</v>
      </c>
      <c r="GD28" s="323">
        <v>15</v>
      </c>
      <c r="GE28" s="323">
        <v>17</v>
      </c>
      <c r="GF28" s="323">
        <v>0</v>
      </c>
      <c r="GG28" s="323">
        <v>0</v>
      </c>
      <c r="GH28" s="323">
        <v>0</v>
      </c>
      <c r="GI28" s="323">
        <v>0</v>
      </c>
      <c r="GJ28" s="323">
        <v>0</v>
      </c>
      <c r="GK28" s="323">
        <v>0</v>
      </c>
      <c r="GL28" s="323">
        <v>0</v>
      </c>
      <c r="GM28" s="347">
        <v>16.399999999999999</v>
      </c>
      <c r="GN28" s="341">
        <v>17</v>
      </c>
      <c r="GO28" s="323">
        <v>0</v>
      </c>
      <c r="GP28" s="323">
        <v>0</v>
      </c>
      <c r="GQ28" s="323">
        <v>0</v>
      </c>
      <c r="GR28" s="323">
        <v>4</v>
      </c>
      <c r="GS28" s="323">
        <v>0</v>
      </c>
      <c r="GT28" s="323">
        <v>0</v>
      </c>
      <c r="GU28" s="323">
        <v>3</v>
      </c>
      <c r="GV28" s="323">
        <v>0</v>
      </c>
      <c r="GW28" s="323">
        <v>0</v>
      </c>
      <c r="GX28" s="323">
        <v>7</v>
      </c>
      <c r="GY28" s="323">
        <v>0</v>
      </c>
      <c r="GZ28" s="4"/>
      <c r="HA28" s="323">
        <v>17</v>
      </c>
      <c r="HB28" s="323">
        <v>0</v>
      </c>
      <c r="HC28" s="2"/>
      <c r="HD28" s="323">
        <v>3</v>
      </c>
      <c r="HE28" s="323">
        <v>4</v>
      </c>
      <c r="HF28" s="323">
        <v>0</v>
      </c>
      <c r="HH28">
        <v>31</v>
      </c>
      <c r="HI28">
        <v>9.480122324159021E-2</v>
      </c>
      <c r="HJ28">
        <v>48</v>
      </c>
      <c r="HK28">
        <v>0.14678899082568808</v>
      </c>
      <c r="HL28">
        <v>62</v>
      </c>
      <c r="HM28">
        <v>0.18960244648318042</v>
      </c>
      <c r="HN28">
        <v>73</v>
      </c>
      <c r="HO28">
        <v>0.22324159021406728</v>
      </c>
      <c r="HP28">
        <v>104</v>
      </c>
      <c r="HQ28">
        <v>0.31804281345565749</v>
      </c>
      <c r="HR28">
        <v>127</v>
      </c>
      <c r="HS28">
        <v>0.38837920489296635</v>
      </c>
      <c r="HT28">
        <v>200</v>
      </c>
      <c r="HU28">
        <v>0.6116207951070336</v>
      </c>
      <c r="HV28">
        <v>327</v>
      </c>
    </row>
    <row r="29" spans="1:230" x14ac:dyDescent="0.25">
      <c r="A29" t="s">
        <v>515</v>
      </c>
      <c r="B29" s="4">
        <v>1315</v>
      </c>
      <c r="C29" s="444" t="s">
        <v>243</v>
      </c>
      <c r="D29" s="418" t="s">
        <v>207</v>
      </c>
      <c r="E29" s="419" t="s">
        <v>515</v>
      </c>
      <c r="F29" s="340">
        <v>0.99319727891156462</v>
      </c>
      <c r="G29" s="340">
        <v>0.4</v>
      </c>
      <c r="H29" s="340">
        <v>0.08</v>
      </c>
      <c r="I29" s="323">
        <v>20</v>
      </c>
      <c r="J29" s="420"/>
      <c r="K29" s="478">
        <v>49.65986394557823</v>
      </c>
      <c r="L29" s="421"/>
      <c r="M29" s="323">
        <v>50</v>
      </c>
      <c r="N29" s="323">
        <v>48</v>
      </c>
      <c r="O29" s="323">
        <v>52</v>
      </c>
      <c r="P29" s="323">
        <v>49</v>
      </c>
      <c r="Q29" s="323">
        <v>51</v>
      </c>
      <c r="R29" s="323">
        <v>0</v>
      </c>
      <c r="S29" s="323">
        <v>0</v>
      </c>
      <c r="T29" s="323">
        <v>0</v>
      </c>
      <c r="U29" s="323">
        <v>0</v>
      </c>
      <c r="V29" s="323">
        <v>0</v>
      </c>
      <c r="W29" s="323">
        <v>0</v>
      </c>
      <c r="X29" s="323">
        <v>0</v>
      </c>
      <c r="Y29" s="347">
        <v>50</v>
      </c>
      <c r="Z29" s="323">
        <v>51</v>
      </c>
      <c r="AA29" s="323">
        <v>0</v>
      </c>
      <c r="AB29" s="323">
        <v>2</v>
      </c>
      <c r="AC29" s="323">
        <v>2</v>
      </c>
      <c r="AD29" s="323">
        <v>0</v>
      </c>
      <c r="AE29" s="323">
        <v>1</v>
      </c>
      <c r="AF29" s="323">
        <v>2</v>
      </c>
      <c r="AG29" s="323">
        <v>13</v>
      </c>
      <c r="AH29" s="323">
        <v>0</v>
      </c>
      <c r="AI29" s="323">
        <v>0</v>
      </c>
      <c r="AJ29" s="323">
        <v>20</v>
      </c>
      <c r="AK29" s="328">
        <v>4</v>
      </c>
      <c r="AL29" s="4" t="s">
        <v>207</v>
      </c>
      <c r="AM29" s="327">
        <v>51</v>
      </c>
      <c r="AN29" s="328">
        <v>0</v>
      </c>
      <c r="AO29" s="2"/>
      <c r="AP29" s="323">
        <v>16</v>
      </c>
      <c r="AQ29" s="323">
        <v>4</v>
      </c>
      <c r="AR29" s="323">
        <v>0</v>
      </c>
      <c r="AS29" s="2"/>
      <c r="AT29" s="323">
        <v>3</v>
      </c>
      <c r="AU29" s="323">
        <v>6</v>
      </c>
      <c r="AV29" s="323">
        <v>2</v>
      </c>
      <c r="AW29" s="323">
        <v>5</v>
      </c>
      <c r="AX29" s="323">
        <v>4</v>
      </c>
      <c r="AY29" s="323">
        <v>0</v>
      </c>
      <c r="AZ29" s="323">
        <v>0</v>
      </c>
      <c r="BA29" s="323">
        <v>0</v>
      </c>
      <c r="BB29" s="323">
        <v>0</v>
      </c>
      <c r="BC29" s="323">
        <v>0</v>
      </c>
      <c r="BD29" s="323">
        <v>0</v>
      </c>
      <c r="BE29" s="323">
        <v>0</v>
      </c>
      <c r="BF29" s="2" t="s">
        <v>515</v>
      </c>
      <c r="BG29" s="327">
        <v>3</v>
      </c>
      <c r="BH29" s="323">
        <v>4</v>
      </c>
      <c r="BI29" s="323">
        <v>5</v>
      </c>
      <c r="BJ29" s="323">
        <v>5</v>
      </c>
      <c r="BK29" s="323">
        <v>5</v>
      </c>
      <c r="BL29" s="323">
        <v>0</v>
      </c>
      <c r="BM29" s="323">
        <v>0</v>
      </c>
      <c r="BN29" s="323">
        <v>0</v>
      </c>
      <c r="BO29" s="323">
        <v>0</v>
      </c>
      <c r="BP29" s="323">
        <v>0</v>
      </c>
      <c r="BQ29" s="323">
        <v>0</v>
      </c>
      <c r="BR29" s="328">
        <v>0</v>
      </c>
      <c r="BS29" s="323">
        <v>22</v>
      </c>
      <c r="BT29" s="329">
        <v>0.78214285714285714</v>
      </c>
      <c r="BU29" s="330">
        <v>1.1971574344023326</v>
      </c>
      <c r="BV29" s="330">
        <v>0.8824175824175825</v>
      </c>
      <c r="BW29" s="330">
        <v>0.98644482918795662</v>
      </c>
      <c r="BX29" s="330">
        <v>0.99319727891156462</v>
      </c>
      <c r="BY29" s="330">
        <v>0.96263736263736266</v>
      </c>
      <c r="BZ29" s="330">
        <v>0.97333333333333327</v>
      </c>
      <c r="CA29" s="330">
        <v>0.98151260504201687</v>
      </c>
      <c r="CB29" s="330">
        <v>0.97846153846153849</v>
      </c>
      <c r="CC29" s="330">
        <v>0.98604651162790702</v>
      </c>
      <c r="CD29" s="330">
        <v>0.99234042553191493</v>
      </c>
      <c r="CE29" s="331">
        <v>0.96000000000000008</v>
      </c>
      <c r="CF29" s="2"/>
      <c r="CG29" s="327">
        <v>13</v>
      </c>
      <c r="CH29" s="323">
        <v>17</v>
      </c>
      <c r="CI29" s="323">
        <v>16</v>
      </c>
      <c r="CJ29" s="323">
        <v>15</v>
      </c>
      <c r="CK29" s="323">
        <v>0</v>
      </c>
      <c r="CL29" s="323">
        <v>0</v>
      </c>
      <c r="CM29" s="323">
        <v>0</v>
      </c>
      <c r="CN29" s="323">
        <v>0</v>
      </c>
      <c r="CO29" s="323">
        <v>0</v>
      </c>
      <c r="CP29" s="323">
        <v>0</v>
      </c>
      <c r="CQ29" s="323">
        <v>0</v>
      </c>
      <c r="CR29" s="332">
        <v>0</v>
      </c>
      <c r="CS29" s="327">
        <v>0</v>
      </c>
      <c r="CT29" s="323">
        <v>0</v>
      </c>
      <c r="CU29" s="323">
        <v>0</v>
      </c>
      <c r="CV29" s="323">
        <v>0</v>
      </c>
      <c r="CW29" s="323">
        <v>0</v>
      </c>
      <c r="CX29" s="323">
        <v>0</v>
      </c>
      <c r="CY29" s="323">
        <v>0</v>
      </c>
      <c r="CZ29" s="323">
        <v>0</v>
      </c>
      <c r="DA29" s="323">
        <v>0</v>
      </c>
      <c r="DB29" s="323">
        <v>0</v>
      </c>
      <c r="DC29" s="323">
        <v>0</v>
      </c>
      <c r="DD29" s="328">
        <v>0</v>
      </c>
      <c r="DE29" s="4"/>
      <c r="DF29" s="416">
        <v>0</v>
      </c>
      <c r="DG29" s="417">
        <v>0</v>
      </c>
      <c r="DH29" s="417">
        <v>0</v>
      </c>
      <c r="DI29" s="417">
        <v>0</v>
      </c>
      <c r="DJ29" s="417">
        <v>0</v>
      </c>
      <c r="DK29" s="417">
        <v>0</v>
      </c>
      <c r="DL29" s="417" t="s">
        <v>130</v>
      </c>
      <c r="DM29" s="417">
        <v>0</v>
      </c>
      <c r="DN29" s="417">
        <v>0</v>
      </c>
      <c r="DO29" s="417">
        <v>0</v>
      </c>
      <c r="DP29" s="417">
        <v>0</v>
      </c>
      <c r="DQ29" s="417">
        <v>0</v>
      </c>
      <c r="DS29" s="327">
        <v>10</v>
      </c>
      <c r="DT29" s="323">
        <v>0</v>
      </c>
      <c r="DU29" s="323">
        <v>0</v>
      </c>
      <c r="DV29" s="323">
        <v>0</v>
      </c>
      <c r="DW29" s="323">
        <v>0</v>
      </c>
      <c r="DX29" s="323">
        <v>0</v>
      </c>
      <c r="DY29" s="323">
        <v>12</v>
      </c>
      <c r="DZ29" s="328">
        <v>22</v>
      </c>
      <c r="EA29" s="4"/>
      <c r="EB29" s="418" t="s">
        <v>207</v>
      </c>
      <c r="EC29" s="419" t="s">
        <v>350</v>
      </c>
      <c r="ED29" s="340" t="e">
        <v>#DIV/0!</v>
      </c>
      <c r="EE29" s="340" t="e">
        <v>#DIV/0!</v>
      </c>
      <c r="EF29" s="340" t="e">
        <v>#DIV/0!</v>
      </c>
      <c r="EG29" s="323">
        <v>0</v>
      </c>
      <c r="EH29" s="420"/>
      <c r="EI29" s="420">
        <v>0</v>
      </c>
      <c r="EJ29" s="421"/>
      <c r="EK29" s="323">
        <v>0</v>
      </c>
      <c r="EL29" s="323">
        <v>0</v>
      </c>
      <c r="EM29" s="323">
        <v>0</v>
      </c>
      <c r="EN29" s="323">
        <v>0</v>
      </c>
      <c r="EO29" s="323">
        <v>0</v>
      </c>
      <c r="EP29" s="323">
        <v>0</v>
      </c>
      <c r="EQ29" s="323">
        <v>0</v>
      </c>
      <c r="ER29" s="323">
        <v>0</v>
      </c>
      <c r="ES29" s="323">
        <v>0</v>
      </c>
      <c r="ET29" s="323">
        <v>0</v>
      </c>
      <c r="EU29" s="323">
        <v>0</v>
      </c>
      <c r="EV29" s="323">
        <v>0</v>
      </c>
      <c r="EW29" s="347" t="e">
        <v>#DIV/0!</v>
      </c>
      <c r="EX29" s="323">
        <v>0</v>
      </c>
      <c r="EY29" s="323">
        <v>0</v>
      </c>
      <c r="EZ29" s="323">
        <v>0</v>
      </c>
      <c r="FA29" s="323">
        <v>0</v>
      </c>
      <c r="FB29" s="323">
        <v>0</v>
      </c>
      <c r="FC29" s="323">
        <v>0</v>
      </c>
      <c r="FD29" s="323">
        <v>0</v>
      </c>
      <c r="FE29" s="323">
        <v>0</v>
      </c>
      <c r="FF29" s="323">
        <v>0</v>
      </c>
      <c r="FG29" s="323">
        <v>0</v>
      </c>
      <c r="FH29" s="323">
        <v>0</v>
      </c>
      <c r="FI29" s="323">
        <v>0</v>
      </c>
      <c r="FJ29" s="4"/>
      <c r="FK29" s="323">
        <v>0</v>
      </c>
      <c r="FL29" s="323">
        <v>0</v>
      </c>
      <c r="FM29" s="2"/>
      <c r="FN29" s="323">
        <v>0</v>
      </c>
      <c r="FO29" s="323">
        <v>0</v>
      </c>
      <c r="FP29" s="323">
        <v>0</v>
      </c>
      <c r="FR29" s="418" t="s">
        <v>207</v>
      </c>
      <c r="FS29" s="419" t="s">
        <v>350</v>
      </c>
      <c r="FT29" s="340">
        <v>0.99319727891156462</v>
      </c>
      <c r="FU29" s="340">
        <v>0.4</v>
      </c>
      <c r="FV29" s="340">
        <v>0.08</v>
      </c>
      <c r="FW29" s="323">
        <v>20</v>
      </c>
      <c r="FX29" s="420"/>
      <c r="FY29" s="420">
        <v>49.65986394557823</v>
      </c>
      <c r="FZ29" s="421"/>
      <c r="GA29" s="323">
        <v>50</v>
      </c>
      <c r="GB29" s="323">
        <v>48</v>
      </c>
      <c r="GC29" s="323">
        <v>52</v>
      </c>
      <c r="GD29" s="323">
        <v>49</v>
      </c>
      <c r="GE29" s="323">
        <v>51</v>
      </c>
      <c r="GF29" s="323">
        <v>0</v>
      </c>
      <c r="GG29" s="323">
        <v>0</v>
      </c>
      <c r="GH29" s="323">
        <v>0</v>
      </c>
      <c r="GI29" s="323">
        <v>0</v>
      </c>
      <c r="GJ29" s="323">
        <v>0</v>
      </c>
      <c r="GK29" s="323">
        <v>0</v>
      </c>
      <c r="GL29" s="323">
        <v>0</v>
      </c>
      <c r="GM29" s="347">
        <v>50</v>
      </c>
      <c r="GN29" s="341">
        <v>51</v>
      </c>
      <c r="GO29" s="323">
        <v>0</v>
      </c>
      <c r="GP29" s="323">
        <v>2</v>
      </c>
      <c r="GQ29" s="323">
        <v>2</v>
      </c>
      <c r="GR29" s="323">
        <v>0</v>
      </c>
      <c r="GS29" s="323">
        <v>1</v>
      </c>
      <c r="GT29" s="323">
        <v>2</v>
      </c>
      <c r="GU29" s="323">
        <v>13</v>
      </c>
      <c r="GV29" s="323">
        <v>0</v>
      </c>
      <c r="GW29" s="323">
        <v>0</v>
      </c>
      <c r="GX29" s="323">
        <v>20</v>
      </c>
      <c r="GY29" s="323">
        <v>4</v>
      </c>
      <c r="GZ29" s="4"/>
      <c r="HA29" s="323">
        <v>51</v>
      </c>
      <c r="HB29" s="323">
        <v>0</v>
      </c>
      <c r="HC29" s="2"/>
      <c r="HD29" s="323">
        <v>16</v>
      </c>
      <c r="HE29" s="323">
        <v>4</v>
      </c>
      <c r="HF29" s="323">
        <v>0</v>
      </c>
      <c r="HH29">
        <v>1</v>
      </c>
      <c r="HI29">
        <v>1.8867924528301886E-2</v>
      </c>
      <c r="HJ29">
        <v>2</v>
      </c>
      <c r="HK29">
        <v>3.7735849056603772E-2</v>
      </c>
      <c r="HL29">
        <v>3</v>
      </c>
      <c r="HM29">
        <v>5.6603773584905662E-2</v>
      </c>
      <c r="HN29">
        <v>4</v>
      </c>
      <c r="HO29">
        <v>7.5471698113207544E-2</v>
      </c>
      <c r="HP29">
        <v>8</v>
      </c>
      <c r="HQ29">
        <v>0.15094339622641509</v>
      </c>
      <c r="HR29">
        <v>13</v>
      </c>
      <c r="HS29">
        <v>0.24528301886792453</v>
      </c>
      <c r="HT29">
        <v>40</v>
      </c>
      <c r="HU29">
        <v>0.75471698113207553</v>
      </c>
      <c r="HV29">
        <v>53</v>
      </c>
    </row>
    <row r="30" spans="1:230" x14ac:dyDescent="0.25">
      <c r="A30" t="s">
        <v>352</v>
      </c>
      <c r="B30" s="4">
        <v>1324</v>
      </c>
      <c r="C30" s="444" t="s">
        <v>263</v>
      </c>
      <c r="D30" s="418" t="s">
        <v>208</v>
      </c>
      <c r="E30" s="419" t="s">
        <v>352</v>
      </c>
      <c r="F30" s="340">
        <v>0.77593537414965985</v>
      </c>
      <c r="G30" s="340">
        <v>0.3125</v>
      </c>
      <c r="H30" s="340">
        <v>0</v>
      </c>
      <c r="I30" s="323">
        <v>2</v>
      </c>
      <c r="J30" s="420"/>
      <c r="K30" s="478">
        <v>4.9659863945578229</v>
      </c>
      <c r="L30" s="421"/>
      <c r="M30" s="323">
        <v>7</v>
      </c>
      <c r="N30" s="323">
        <v>7</v>
      </c>
      <c r="O30" s="323">
        <v>7</v>
      </c>
      <c r="P30" s="323">
        <v>5</v>
      </c>
      <c r="Q30" s="323">
        <v>6</v>
      </c>
      <c r="R30" s="323">
        <v>0</v>
      </c>
      <c r="S30" s="323">
        <v>0</v>
      </c>
      <c r="T30" s="323">
        <v>0</v>
      </c>
      <c r="U30" s="323">
        <v>0</v>
      </c>
      <c r="V30" s="323">
        <v>0</v>
      </c>
      <c r="W30" s="323">
        <v>0</v>
      </c>
      <c r="X30" s="323">
        <v>0</v>
      </c>
      <c r="Y30" s="347">
        <v>6.4</v>
      </c>
      <c r="Z30" s="323">
        <v>6</v>
      </c>
      <c r="AA30" s="323">
        <v>0</v>
      </c>
      <c r="AB30" s="323">
        <v>1</v>
      </c>
      <c r="AC30" s="323">
        <v>0</v>
      </c>
      <c r="AD30" s="323">
        <v>0</v>
      </c>
      <c r="AE30" s="323">
        <v>0</v>
      </c>
      <c r="AF30" s="323">
        <v>0</v>
      </c>
      <c r="AG30" s="323">
        <v>1</v>
      </c>
      <c r="AH30" s="323">
        <v>0</v>
      </c>
      <c r="AI30" s="323">
        <v>0</v>
      </c>
      <c r="AJ30" s="323">
        <v>2</v>
      </c>
      <c r="AK30" s="328">
        <v>0</v>
      </c>
      <c r="AL30" s="4" t="s">
        <v>208</v>
      </c>
      <c r="AM30" s="327">
        <v>6</v>
      </c>
      <c r="AN30" s="328">
        <v>0</v>
      </c>
      <c r="AO30" s="2"/>
      <c r="AP30" s="323">
        <v>2</v>
      </c>
      <c r="AQ30" s="323">
        <v>0</v>
      </c>
      <c r="AR30" s="323">
        <v>0</v>
      </c>
      <c r="AS30" s="2"/>
      <c r="AT30" s="323">
        <v>0</v>
      </c>
      <c r="AU30" s="323">
        <v>0</v>
      </c>
      <c r="AV30" s="323">
        <v>0</v>
      </c>
      <c r="AW30" s="323">
        <v>2</v>
      </c>
      <c r="AX30" s="323">
        <v>0</v>
      </c>
      <c r="AY30" s="323">
        <v>0</v>
      </c>
      <c r="AZ30" s="323">
        <v>0</v>
      </c>
      <c r="BA30" s="323">
        <v>0</v>
      </c>
      <c r="BB30" s="323">
        <v>0</v>
      </c>
      <c r="BC30" s="323">
        <v>0</v>
      </c>
      <c r="BD30" s="323">
        <v>0</v>
      </c>
      <c r="BE30" s="323">
        <v>0</v>
      </c>
      <c r="BF30" s="2" t="s">
        <v>352</v>
      </c>
      <c r="BG30" s="327">
        <v>0</v>
      </c>
      <c r="BH30" s="323">
        <v>0</v>
      </c>
      <c r="BI30" s="323">
        <v>0</v>
      </c>
      <c r="BJ30" s="323">
        <v>0</v>
      </c>
      <c r="BK30" s="323">
        <v>1</v>
      </c>
      <c r="BL30" s="323">
        <v>0</v>
      </c>
      <c r="BM30" s="323">
        <v>0</v>
      </c>
      <c r="BN30" s="323">
        <v>0</v>
      </c>
      <c r="BO30" s="323">
        <v>0</v>
      </c>
      <c r="BP30" s="323">
        <v>0</v>
      </c>
      <c r="BQ30" s="323">
        <v>0</v>
      </c>
      <c r="BR30" s="328">
        <v>0</v>
      </c>
      <c r="BS30" s="323">
        <v>1</v>
      </c>
      <c r="BT30" s="329">
        <v>0</v>
      </c>
      <c r="BU30" s="330">
        <v>0</v>
      </c>
      <c r="BV30" s="330">
        <v>0</v>
      </c>
      <c r="BW30" s="330">
        <v>0.94376212023270856</v>
      </c>
      <c r="BX30" s="330">
        <v>0.77593537414965974</v>
      </c>
      <c r="BY30" s="330">
        <v>0.75206043956043955</v>
      </c>
      <c r="BZ30" s="330">
        <v>0.76041666666666674</v>
      </c>
      <c r="CA30" s="330">
        <v>0.76680672268907568</v>
      </c>
      <c r="CB30" s="330">
        <v>0.76442307692307698</v>
      </c>
      <c r="CC30" s="330">
        <v>0.77034883720930225</v>
      </c>
      <c r="CD30" s="330">
        <v>0.77526595744680848</v>
      </c>
      <c r="CE30" s="331">
        <v>0.75</v>
      </c>
      <c r="CF30" s="2"/>
      <c r="CG30" s="327">
        <v>3</v>
      </c>
      <c r="CH30" s="323">
        <v>3</v>
      </c>
      <c r="CI30" s="323">
        <v>0</v>
      </c>
      <c r="CJ30" s="323">
        <v>0</v>
      </c>
      <c r="CK30" s="323">
        <v>0</v>
      </c>
      <c r="CL30" s="323">
        <v>0</v>
      </c>
      <c r="CM30" s="323">
        <v>0</v>
      </c>
      <c r="CN30" s="323">
        <v>0</v>
      </c>
      <c r="CO30" s="323">
        <v>0</v>
      </c>
      <c r="CP30" s="323">
        <v>0</v>
      </c>
      <c r="CQ30" s="323">
        <v>0</v>
      </c>
      <c r="CR30" s="332">
        <v>0</v>
      </c>
      <c r="CS30" s="327">
        <v>0</v>
      </c>
      <c r="CT30" s="323">
        <v>0</v>
      </c>
      <c r="CU30" s="323">
        <v>0</v>
      </c>
      <c r="CV30" s="323">
        <v>0</v>
      </c>
      <c r="CW30" s="323">
        <v>0</v>
      </c>
      <c r="CX30" s="323">
        <v>0</v>
      </c>
      <c r="CY30" s="323">
        <v>0</v>
      </c>
      <c r="CZ30" s="323">
        <v>0</v>
      </c>
      <c r="DA30" s="323">
        <v>0</v>
      </c>
      <c r="DB30" s="323">
        <v>0</v>
      </c>
      <c r="DC30" s="323">
        <v>0</v>
      </c>
      <c r="DD30" s="328">
        <v>0</v>
      </c>
      <c r="DE30" s="4"/>
      <c r="DF30" s="416">
        <v>0</v>
      </c>
      <c r="DG30" s="417">
        <v>0</v>
      </c>
      <c r="DH30" s="417">
        <v>0</v>
      </c>
      <c r="DI30" s="417">
        <v>0</v>
      </c>
      <c r="DJ30" s="417">
        <v>0</v>
      </c>
      <c r="DK30" s="417" t="s">
        <v>130</v>
      </c>
      <c r="DL30" s="417">
        <v>0</v>
      </c>
      <c r="DM30" s="417">
        <v>0</v>
      </c>
      <c r="DN30" s="417">
        <v>0</v>
      </c>
      <c r="DO30" s="417">
        <v>0</v>
      </c>
      <c r="DP30" s="417">
        <v>0</v>
      </c>
      <c r="DQ30" s="417">
        <v>0</v>
      </c>
      <c r="DS30" s="327">
        <v>0</v>
      </c>
      <c r="DT30" s="323">
        <v>0</v>
      </c>
      <c r="DU30" s="323">
        <v>0</v>
      </c>
      <c r="DV30" s="323">
        <v>0</v>
      </c>
      <c r="DW30" s="323">
        <v>0</v>
      </c>
      <c r="DX30" s="323">
        <v>0</v>
      </c>
      <c r="DY30" s="323">
        <v>1</v>
      </c>
      <c r="DZ30" s="328">
        <v>1</v>
      </c>
      <c r="EA30" s="4"/>
      <c r="EB30" s="418" t="s">
        <v>208</v>
      </c>
      <c r="EC30" s="419" t="s">
        <v>352</v>
      </c>
      <c r="ED30" s="340" t="e">
        <v>#DIV/0!</v>
      </c>
      <c r="EE30" s="340" t="e">
        <v>#DIV/0!</v>
      </c>
      <c r="EF30" s="340" t="e">
        <v>#DIV/0!</v>
      </c>
      <c r="EG30" s="323">
        <v>0</v>
      </c>
      <c r="EH30" s="420"/>
      <c r="EI30" s="420">
        <v>0</v>
      </c>
      <c r="EJ30" s="421"/>
      <c r="EK30" s="323">
        <v>0</v>
      </c>
      <c r="EL30" s="323">
        <v>0</v>
      </c>
      <c r="EM30" s="323">
        <v>0</v>
      </c>
      <c r="EN30" s="323">
        <v>0</v>
      </c>
      <c r="EO30" s="323">
        <v>0</v>
      </c>
      <c r="EP30" s="323">
        <v>0</v>
      </c>
      <c r="EQ30" s="323">
        <v>0</v>
      </c>
      <c r="ER30" s="323">
        <v>0</v>
      </c>
      <c r="ES30" s="323">
        <v>0</v>
      </c>
      <c r="ET30" s="323">
        <v>0</v>
      </c>
      <c r="EU30" s="323">
        <v>0</v>
      </c>
      <c r="EV30" s="323">
        <v>0</v>
      </c>
      <c r="EW30" s="347" t="e">
        <v>#DIV/0!</v>
      </c>
      <c r="EX30" s="323">
        <v>0</v>
      </c>
      <c r="EY30" s="323">
        <v>0</v>
      </c>
      <c r="EZ30" s="323">
        <v>0</v>
      </c>
      <c r="FA30" s="323">
        <v>0</v>
      </c>
      <c r="FB30" s="323">
        <v>0</v>
      </c>
      <c r="FC30" s="323">
        <v>0</v>
      </c>
      <c r="FD30" s="323">
        <v>0</v>
      </c>
      <c r="FE30" s="323">
        <v>0</v>
      </c>
      <c r="FF30" s="323">
        <v>0</v>
      </c>
      <c r="FG30" s="323">
        <v>0</v>
      </c>
      <c r="FH30" s="323">
        <v>0</v>
      </c>
      <c r="FI30" s="323">
        <v>0</v>
      </c>
      <c r="FJ30" s="4"/>
      <c r="FK30" s="323">
        <v>0</v>
      </c>
      <c r="FL30" s="323">
        <v>0</v>
      </c>
      <c r="FM30" s="2"/>
      <c r="FN30" s="323">
        <v>0</v>
      </c>
      <c r="FO30" s="323">
        <v>0</v>
      </c>
      <c r="FP30" s="323">
        <v>0</v>
      </c>
      <c r="FR30" s="418" t="s">
        <v>208</v>
      </c>
      <c r="FS30" s="419" t="s">
        <v>352</v>
      </c>
      <c r="FT30" s="340">
        <v>0.77593537414965985</v>
      </c>
      <c r="FU30" s="340">
        <v>0.3125</v>
      </c>
      <c r="FV30" s="340">
        <v>0</v>
      </c>
      <c r="FW30" s="323">
        <v>2</v>
      </c>
      <c r="FX30" s="420"/>
      <c r="FY30" s="420">
        <v>4.9659863945578229</v>
      </c>
      <c r="FZ30" s="421"/>
      <c r="GA30" s="323">
        <v>7</v>
      </c>
      <c r="GB30" s="323">
        <v>7</v>
      </c>
      <c r="GC30" s="323">
        <v>7</v>
      </c>
      <c r="GD30" s="323">
        <v>5</v>
      </c>
      <c r="GE30" s="323">
        <v>6</v>
      </c>
      <c r="GF30" s="323">
        <v>0</v>
      </c>
      <c r="GG30" s="323">
        <v>0</v>
      </c>
      <c r="GH30" s="323">
        <v>0</v>
      </c>
      <c r="GI30" s="323">
        <v>0</v>
      </c>
      <c r="GJ30" s="323">
        <v>0</v>
      </c>
      <c r="GK30" s="323">
        <v>0</v>
      </c>
      <c r="GL30" s="323">
        <v>0</v>
      </c>
      <c r="GM30" s="347">
        <v>6.4</v>
      </c>
      <c r="GN30" s="341">
        <v>6</v>
      </c>
      <c r="GO30" s="323">
        <v>0</v>
      </c>
      <c r="GP30" s="323">
        <v>1</v>
      </c>
      <c r="GQ30" s="323">
        <v>0</v>
      </c>
      <c r="GR30" s="323">
        <v>0</v>
      </c>
      <c r="GS30" s="323">
        <v>0</v>
      </c>
      <c r="GT30" s="323">
        <v>0</v>
      </c>
      <c r="GU30" s="323">
        <v>1</v>
      </c>
      <c r="GV30" s="323">
        <v>0</v>
      </c>
      <c r="GW30" s="323">
        <v>0</v>
      </c>
      <c r="GX30" s="323">
        <v>2</v>
      </c>
      <c r="GY30" s="323">
        <v>0</v>
      </c>
      <c r="GZ30" s="4"/>
      <c r="HA30" s="323">
        <v>6</v>
      </c>
      <c r="HB30" s="323">
        <v>0</v>
      </c>
      <c r="HC30" s="2"/>
      <c r="HD30" s="323">
        <v>2</v>
      </c>
      <c r="HE30" s="323">
        <v>0</v>
      </c>
      <c r="HF30" s="323">
        <v>0</v>
      </c>
      <c r="HH30">
        <v>0</v>
      </c>
      <c r="HI30">
        <v>0</v>
      </c>
      <c r="HJ30">
        <v>2</v>
      </c>
      <c r="HK30">
        <v>0.4</v>
      </c>
      <c r="HL30">
        <v>2</v>
      </c>
      <c r="HM30">
        <v>0.4</v>
      </c>
      <c r="HN30">
        <v>2</v>
      </c>
      <c r="HO30">
        <v>0.4</v>
      </c>
      <c r="HP30">
        <v>2</v>
      </c>
      <c r="HQ30">
        <v>0.4</v>
      </c>
      <c r="HR30">
        <v>3</v>
      </c>
      <c r="HS30">
        <v>0.6</v>
      </c>
      <c r="HT30">
        <v>2</v>
      </c>
      <c r="HU30">
        <v>0.4</v>
      </c>
      <c r="HV30">
        <v>5</v>
      </c>
    </row>
    <row r="31" spans="1:230" x14ac:dyDescent="0.25">
      <c r="A31" t="s">
        <v>516</v>
      </c>
      <c r="B31" s="4">
        <v>3084</v>
      </c>
      <c r="C31" s="444" t="s">
        <v>324</v>
      </c>
      <c r="D31" s="418" t="s">
        <v>204</v>
      </c>
      <c r="E31" s="419" t="s">
        <v>516</v>
      </c>
      <c r="F31" s="340">
        <v>0.36514605842336934</v>
      </c>
      <c r="G31" s="340">
        <v>0.14705882352941177</v>
      </c>
      <c r="H31" s="340">
        <v>0.14705882352941177</v>
      </c>
      <c r="I31" s="323">
        <v>1</v>
      </c>
      <c r="J31" s="420"/>
      <c r="K31" s="478">
        <v>2.4829931972789114</v>
      </c>
      <c r="L31" s="421"/>
      <c r="M31" s="323">
        <v>6</v>
      </c>
      <c r="N31" s="323">
        <v>6</v>
      </c>
      <c r="O31" s="323">
        <v>6</v>
      </c>
      <c r="P31" s="323">
        <v>8</v>
      </c>
      <c r="Q31" s="323">
        <v>8</v>
      </c>
      <c r="R31" s="323">
        <v>0</v>
      </c>
      <c r="S31" s="323">
        <v>0</v>
      </c>
      <c r="T31" s="323">
        <v>0</v>
      </c>
      <c r="U31" s="323">
        <v>0</v>
      </c>
      <c r="V31" s="323">
        <v>0</v>
      </c>
      <c r="W31" s="323">
        <v>0</v>
      </c>
      <c r="X31" s="323">
        <v>0</v>
      </c>
      <c r="Y31" s="347">
        <v>6.8</v>
      </c>
      <c r="Z31" s="323">
        <v>8</v>
      </c>
      <c r="AA31" s="323">
        <v>0</v>
      </c>
      <c r="AB31" s="323">
        <v>1</v>
      </c>
      <c r="AC31" s="323">
        <v>0</v>
      </c>
      <c r="AD31" s="323">
        <v>0</v>
      </c>
      <c r="AE31" s="323">
        <v>0</v>
      </c>
      <c r="AF31" s="323">
        <v>0</v>
      </c>
      <c r="AG31" s="323">
        <v>0</v>
      </c>
      <c r="AH31" s="323">
        <v>0</v>
      </c>
      <c r="AI31" s="323">
        <v>0</v>
      </c>
      <c r="AJ31" s="323">
        <v>1</v>
      </c>
      <c r="AK31" s="328">
        <v>1</v>
      </c>
      <c r="AL31" s="4" t="s">
        <v>207</v>
      </c>
      <c r="AM31" s="327">
        <v>8</v>
      </c>
      <c r="AN31" s="328">
        <v>0</v>
      </c>
      <c r="AO31" s="2"/>
      <c r="AP31" s="323">
        <v>1</v>
      </c>
      <c r="AQ31" s="323">
        <v>0</v>
      </c>
      <c r="AR31" s="323">
        <v>0</v>
      </c>
      <c r="AS31" s="2"/>
      <c r="AT31" s="323">
        <v>0</v>
      </c>
      <c r="AU31" s="323">
        <v>0</v>
      </c>
      <c r="AV31" s="323">
        <v>0</v>
      </c>
      <c r="AW31" s="323">
        <v>0</v>
      </c>
      <c r="AX31" s="323">
        <v>1</v>
      </c>
      <c r="AY31" s="323">
        <v>0</v>
      </c>
      <c r="AZ31" s="323">
        <v>0</v>
      </c>
      <c r="BA31" s="323">
        <v>0</v>
      </c>
      <c r="BB31" s="323">
        <v>0</v>
      </c>
      <c r="BC31" s="323">
        <v>0</v>
      </c>
      <c r="BD31" s="323">
        <v>0</v>
      </c>
      <c r="BE31" s="323">
        <v>0</v>
      </c>
      <c r="BF31" s="2" t="s">
        <v>516</v>
      </c>
      <c r="BG31" s="327">
        <v>0</v>
      </c>
      <c r="BH31" s="323">
        <v>0</v>
      </c>
      <c r="BI31" s="323">
        <v>0</v>
      </c>
      <c r="BJ31" s="323">
        <v>0</v>
      </c>
      <c r="BK31" s="323">
        <v>0</v>
      </c>
      <c r="BL31" s="323">
        <v>0</v>
      </c>
      <c r="BM31" s="323">
        <v>0</v>
      </c>
      <c r="BN31" s="323">
        <v>0</v>
      </c>
      <c r="BO31" s="323">
        <v>0</v>
      </c>
      <c r="BP31" s="323">
        <v>0</v>
      </c>
      <c r="BQ31" s="323">
        <v>0</v>
      </c>
      <c r="BR31" s="328">
        <v>0</v>
      </c>
      <c r="BS31" s="323">
        <v>0</v>
      </c>
      <c r="BT31" s="329">
        <v>0</v>
      </c>
      <c r="BU31" s="330">
        <v>0</v>
      </c>
      <c r="BV31" s="330">
        <v>0</v>
      </c>
      <c r="BW31" s="330">
        <v>0</v>
      </c>
      <c r="BX31" s="330">
        <v>0.36514605842336934</v>
      </c>
      <c r="BY31" s="330">
        <v>0.35391079508726564</v>
      </c>
      <c r="BZ31" s="330">
        <v>0.35784313725490202</v>
      </c>
      <c r="CA31" s="330">
        <v>0.36085022244191794</v>
      </c>
      <c r="CB31" s="330">
        <v>0.35972850678733032</v>
      </c>
      <c r="CC31" s="330">
        <v>0.36251709986320108</v>
      </c>
      <c r="CD31" s="330">
        <v>0.3648310387984981</v>
      </c>
      <c r="CE31" s="331">
        <v>0.3529411764705882</v>
      </c>
      <c r="CF31" s="2"/>
      <c r="CG31" s="327">
        <v>1</v>
      </c>
      <c r="CH31" s="323">
        <v>0</v>
      </c>
      <c r="CI31" s="323">
        <v>0</v>
      </c>
      <c r="CJ31" s="323">
        <v>0</v>
      </c>
      <c r="CK31" s="323">
        <v>0</v>
      </c>
      <c r="CL31" s="323">
        <v>0</v>
      </c>
      <c r="CM31" s="323">
        <v>0</v>
      </c>
      <c r="CN31" s="323">
        <v>0</v>
      </c>
      <c r="CO31" s="323">
        <v>0</v>
      </c>
      <c r="CP31" s="323">
        <v>0</v>
      </c>
      <c r="CQ31" s="323">
        <v>0</v>
      </c>
      <c r="CR31" s="332">
        <v>0</v>
      </c>
      <c r="CS31" s="327">
        <v>0</v>
      </c>
      <c r="CT31" s="323">
        <v>0</v>
      </c>
      <c r="CU31" s="323">
        <v>0</v>
      </c>
      <c r="CV31" s="323">
        <v>0</v>
      </c>
      <c r="CW31" s="323">
        <v>0</v>
      </c>
      <c r="CX31" s="323">
        <v>0</v>
      </c>
      <c r="CY31" s="323">
        <v>0</v>
      </c>
      <c r="CZ31" s="323">
        <v>0</v>
      </c>
      <c r="DA31" s="323">
        <v>0</v>
      </c>
      <c r="DB31" s="323">
        <v>0</v>
      </c>
      <c r="DC31" s="323">
        <v>0</v>
      </c>
      <c r="DD31" s="328">
        <v>0</v>
      </c>
      <c r="DE31" s="4"/>
      <c r="DF31" s="416">
        <v>0</v>
      </c>
      <c r="DG31" s="417">
        <v>0</v>
      </c>
      <c r="DH31" s="417">
        <v>0</v>
      </c>
      <c r="DI31" s="417">
        <v>0</v>
      </c>
      <c r="DJ31" s="417" t="s">
        <v>130</v>
      </c>
      <c r="DK31" s="417">
        <v>0</v>
      </c>
      <c r="DL31" s="417">
        <v>0</v>
      </c>
      <c r="DM31" s="417">
        <v>0</v>
      </c>
      <c r="DN31" s="417">
        <v>0</v>
      </c>
      <c r="DO31" s="417">
        <v>0</v>
      </c>
      <c r="DP31" s="417">
        <v>0</v>
      </c>
      <c r="DQ31" s="417">
        <v>0</v>
      </c>
      <c r="DS31" s="327">
        <v>0</v>
      </c>
      <c r="DT31" s="323">
        <v>0</v>
      </c>
      <c r="DU31" s="323">
        <v>0</v>
      </c>
      <c r="DV31" s="323">
        <v>0</v>
      </c>
      <c r="DW31" s="323">
        <v>0</v>
      </c>
      <c r="DX31" s="323">
        <v>0</v>
      </c>
      <c r="DY31" s="323">
        <v>0</v>
      </c>
      <c r="DZ31" s="328">
        <v>0</v>
      </c>
      <c r="EA31" s="4"/>
      <c r="EB31" s="418" t="s">
        <v>207</v>
      </c>
      <c r="EC31" s="419" t="s">
        <v>436</v>
      </c>
      <c r="ED31" s="340">
        <v>0.42810227539291579</v>
      </c>
      <c r="EE31" s="340">
        <v>0.17241379310344829</v>
      </c>
      <c r="EF31" s="340">
        <v>0.17241379310344829</v>
      </c>
      <c r="EG31" s="323">
        <v>1</v>
      </c>
      <c r="EH31" s="420"/>
      <c r="EI31" s="420">
        <v>2.4829931972789114</v>
      </c>
      <c r="EJ31" s="421"/>
      <c r="EK31" s="323">
        <v>1</v>
      </c>
      <c r="EL31" s="323">
        <v>6</v>
      </c>
      <c r="EM31" s="323">
        <v>6</v>
      </c>
      <c r="EN31" s="323">
        <v>8</v>
      </c>
      <c r="EO31" s="323">
        <v>8</v>
      </c>
      <c r="EP31" s="323">
        <v>0</v>
      </c>
      <c r="EQ31" s="323">
        <v>0</v>
      </c>
      <c r="ER31" s="323">
        <v>0</v>
      </c>
      <c r="ES31" s="323">
        <v>0</v>
      </c>
      <c r="ET31" s="323">
        <v>0</v>
      </c>
      <c r="EU31" s="323">
        <v>0</v>
      </c>
      <c r="EV31" s="323">
        <v>0</v>
      </c>
      <c r="EW31" s="347">
        <v>5.8</v>
      </c>
      <c r="EX31" s="323">
        <v>8</v>
      </c>
      <c r="EY31" s="323">
        <v>0</v>
      </c>
      <c r="EZ31" s="323">
        <v>1</v>
      </c>
      <c r="FA31" s="323">
        <v>0</v>
      </c>
      <c r="FB31" s="323">
        <v>0</v>
      </c>
      <c r="FC31" s="323">
        <v>0</v>
      </c>
      <c r="FD31" s="323">
        <v>0</v>
      </c>
      <c r="FE31" s="323">
        <v>0</v>
      </c>
      <c r="FF31" s="323">
        <v>0</v>
      </c>
      <c r="FG31" s="323">
        <v>0</v>
      </c>
      <c r="FH31" s="323">
        <v>1</v>
      </c>
      <c r="FI31" s="323">
        <v>1</v>
      </c>
      <c r="FJ31" s="4"/>
      <c r="FK31" s="323">
        <v>8</v>
      </c>
      <c r="FL31" s="323">
        <v>0</v>
      </c>
      <c r="FM31" s="2"/>
      <c r="FN31" s="323">
        <v>1</v>
      </c>
      <c r="FO31" s="323">
        <v>0</v>
      </c>
      <c r="FP31" s="323">
        <v>0</v>
      </c>
      <c r="FR31" s="418" t="s">
        <v>207</v>
      </c>
      <c r="FS31" s="419" t="s">
        <v>436</v>
      </c>
      <c r="FT31" s="340" t="e">
        <v>#DIV/0!</v>
      </c>
      <c r="FU31" s="340" t="e">
        <v>#DIV/0!</v>
      </c>
      <c r="FV31" s="340" t="e">
        <v>#DIV/0!</v>
      </c>
      <c r="FW31" s="323">
        <v>0</v>
      </c>
      <c r="FX31" s="420"/>
      <c r="FY31" s="420">
        <v>0</v>
      </c>
      <c r="FZ31" s="421"/>
      <c r="GA31" s="323">
        <v>0</v>
      </c>
      <c r="GB31" s="323">
        <v>0</v>
      </c>
      <c r="GC31" s="323">
        <v>0</v>
      </c>
      <c r="GD31" s="323">
        <v>0</v>
      </c>
      <c r="GE31" s="323">
        <v>0</v>
      </c>
      <c r="GF31" s="323">
        <v>0</v>
      </c>
      <c r="GG31" s="323">
        <v>0</v>
      </c>
      <c r="GH31" s="323">
        <v>0</v>
      </c>
      <c r="GI31" s="323">
        <v>0</v>
      </c>
      <c r="GJ31" s="323">
        <v>0</v>
      </c>
      <c r="GK31" s="323">
        <v>0</v>
      </c>
      <c r="GL31" s="323">
        <v>0</v>
      </c>
      <c r="GM31" s="347" t="e">
        <v>#DIV/0!</v>
      </c>
      <c r="GN31" s="341">
        <v>0</v>
      </c>
      <c r="GO31" s="323">
        <v>0</v>
      </c>
      <c r="GP31" s="323">
        <v>0</v>
      </c>
      <c r="GQ31" s="323">
        <v>0</v>
      </c>
      <c r="GR31" s="323">
        <v>0</v>
      </c>
      <c r="GS31" s="323">
        <v>0</v>
      </c>
      <c r="GT31" s="323">
        <v>0</v>
      </c>
      <c r="GU31" s="323">
        <v>0</v>
      </c>
      <c r="GV31" s="323">
        <v>0</v>
      </c>
      <c r="GW31" s="323">
        <v>0</v>
      </c>
      <c r="GX31" s="323">
        <v>0</v>
      </c>
      <c r="GY31" s="323">
        <v>0</v>
      </c>
      <c r="GZ31" s="4"/>
      <c r="HA31" s="323">
        <v>0</v>
      </c>
      <c r="HB31" s="323">
        <v>0</v>
      </c>
      <c r="HC31" s="2"/>
      <c r="HD31" s="323">
        <v>0</v>
      </c>
      <c r="HE31" s="323">
        <v>0</v>
      </c>
      <c r="HF31" s="323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1</v>
      </c>
      <c r="HQ31">
        <v>1</v>
      </c>
      <c r="HR31">
        <v>1</v>
      </c>
      <c r="HS31">
        <v>1</v>
      </c>
      <c r="HT31">
        <v>0</v>
      </c>
      <c r="HU31">
        <v>0</v>
      </c>
      <c r="HV31">
        <v>1</v>
      </c>
    </row>
    <row r="32" spans="1:230" x14ac:dyDescent="0.25">
      <c r="A32" t="s">
        <v>517</v>
      </c>
      <c r="B32" s="4">
        <v>1334</v>
      </c>
      <c r="C32" s="444" t="s">
        <v>266</v>
      </c>
      <c r="D32" s="418" t="s">
        <v>208</v>
      </c>
      <c r="E32" s="419" t="s">
        <v>517</v>
      </c>
      <c r="F32" s="340">
        <v>0.23133476993281782</v>
      </c>
      <c r="G32" s="340">
        <v>9.3167701863354033E-2</v>
      </c>
      <c r="H32" s="340">
        <v>3.1055900621118009E-2</v>
      </c>
      <c r="I32" s="323">
        <v>3</v>
      </c>
      <c r="J32" s="420"/>
      <c r="K32" s="478">
        <v>7.4489795918367339</v>
      </c>
      <c r="L32" s="421"/>
      <c r="M32" s="323">
        <v>34</v>
      </c>
      <c r="N32" s="323">
        <v>32</v>
      </c>
      <c r="O32" s="323">
        <v>33</v>
      </c>
      <c r="P32" s="323">
        <v>32</v>
      </c>
      <c r="Q32" s="323">
        <v>30</v>
      </c>
      <c r="R32" s="323">
        <v>0</v>
      </c>
      <c r="S32" s="323">
        <v>0</v>
      </c>
      <c r="T32" s="323">
        <v>0</v>
      </c>
      <c r="U32" s="323">
        <v>0</v>
      </c>
      <c r="V32" s="323">
        <v>0</v>
      </c>
      <c r="W32" s="323">
        <v>0</v>
      </c>
      <c r="X32" s="323">
        <v>0</v>
      </c>
      <c r="Y32" s="347">
        <v>32.200000000000003</v>
      </c>
      <c r="Z32" s="323">
        <v>30</v>
      </c>
      <c r="AA32" s="323">
        <v>0</v>
      </c>
      <c r="AB32" s="323">
        <v>1</v>
      </c>
      <c r="AC32" s="323">
        <v>1</v>
      </c>
      <c r="AD32" s="323">
        <v>1</v>
      </c>
      <c r="AE32" s="323">
        <v>0</v>
      </c>
      <c r="AF32" s="323">
        <v>0</v>
      </c>
      <c r="AG32" s="323">
        <v>0</v>
      </c>
      <c r="AH32" s="323">
        <v>0</v>
      </c>
      <c r="AI32" s="323">
        <v>0</v>
      </c>
      <c r="AJ32" s="323">
        <v>3</v>
      </c>
      <c r="AK32" s="328">
        <v>1</v>
      </c>
      <c r="AL32" s="4" t="s">
        <v>208</v>
      </c>
      <c r="AM32" s="327">
        <v>29</v>
      </c>
      <c r="AN32" s="328">
        <v>1</v>
      </c>
      <c r="AO32" s="2"/>
      <c r="AP32" s="323">
        <v>1</v>
      </c>
      <c r="AQ32" s="323">
        <v>2</v>
      </c>
      <c r="AR32" s="323">
        <v>0</v>
      </c>
      <c r="AS32" s="2"/>
      <c r="AT32" s="323">
        <v>0</v>
      </c>
      <c r="AU32" s="323">
        <v>1</v>
      </c>
      <c r="AV32" s="323">
        <v>1</v>
      </c>
      <c r="AW32" s="323">
        <v>0</v>
      </c>
      <c r="AX32" s="323">
        <v>1</v>
      </c>
      <c r="AY32" s="323">
        <v>0</v>
      </c>
      <c r="AZ32" s="323">
        <v>0</v>
      </c>
      <c r="BA32" s="323">
        <v>0</v>
      </c>
      <c r="BB32" s="323">
        <v>0</v>
      </c>
      <c r="BC32" s="323">
        <v>0</v>
      </c>
      <c r="BD32" s="323">
        <v>0</v>
      </c>
      <c r="BE32" s="323">
        <v>0</v>
      </c>
      <c r="BF32" s="2" t="s">
        <v>517</v>
      </c>
      <c r="BG32" s="327">
        <v>1</v>
      </c>
      <c r="BH32" s="323">
        <v>0</v>
      </c>
      <c r="BI32" s="323">
        <v>2</v>
      </c>
      <c r="BJ32" s="323">
        <v>0</v>
      </c>
      <c r="BK32" s="323">
        <v>0</v>
      </c>
      <c r="BL32" s="323">
        <v>0</v>
      </c>
      <c r="BM32" s="323">
        <v>0</v>
      </c>
      <c r="BN32" s="323">
        <v>0</v>
      </c>
      <c r="BO32" s="323">
        <v>0</v>
      </c>
      <c r="BP32" s="323">
        <v>0</v>
      </c>
      <c r="BQ32" s="323">
        <v>0</v>
      </c>
      <c r="BR32" s="328">
        <v>0</v>
      </c>
      <c r="BS32" s="323">
        <v>3</v>
      </c>
      <c r="BT32" s="329">
        <v>0</v>
      </c>
      <c r="BU32" s="330">
        <v>0.19751082251082253</v>
      </c>
      <c r="BV32" s="330">
        <v>0.24309024309024307</v>
      </c>
      <c r="BW32" s="330">
        <v>0.18731156584771314</v>
      </c>
      <c r="BX32" s="330">
        <v>0.23133476993281779</v>
      </c>
      <c r="BY32" s="330">
        <v>0.22421677701180809</v>
      </c>
      <c r="BZ32" s="330">
        <v>0.2267080745341615</v>
      </c>
      <c r="CA32" s="330">
        <v>0.22861318440419648</v>
      </c>
      <c r="CB32" s="330">
        <v>0.22790253225035831</v>
      </c>
      <c r="CC32" s="330">
        <v>0.22966921854687272</v>
      </c>
      <c r="CD32" s="330">
        <v>0.2311351922822783</v>
      </c>
      <c r="CE32" s="331">
        <v>0.2236024844720497</v>
      </c>
      <c r="CF32" s="2"/>
      <c r="CG32" s="327">
        <v>5</v>
      </c>
      <c r="CH32" s="323">
        <v>6</v>
      </c>
      <c r="CI32" s="323">
        <v>4</v>
      </c>
      <c r="CJ32" s="323">
        <v>3</v>
      </c>
      <c r="CK32" s="323">
        <v>0</v>
      </c>
      <c r="CL32" s="323">
        <v>0</v>
      </c>
      <c r="CM32" s="323">
        <v>0</v>
      </c>
      <c r="CN32" s="323">
        <v>0</v>
      </c>
      <c r="CO32" s="323">
        <v>0</v>
      </c>
      <c r="CP32" s="323">
        <v>0</v>
      </c>
      <c r="CQ32" s="323">
        <v>0</v>
      </c>
      <c r="CR32" s="332">
        <v>0</v>
      </c>
      <c r="CS32" s="327">
        <v>0</v>
      </c>
      <c r="CT32" s="323">
        <v>0</v>
      </c>
      <c r="CU32" s="323">
        <v>0</v>
      </c>
      <c r="CV32" s="323">
        <v>0</v>
      </c>
      <c r="CW32" s="323">
        <v>0</v>
      </c>
      <c r="CX32" s="323">
        <v>0</v>
      </c>
      <c r="CY32" s="323">
        <v>0</v>
      </c>
      <c r="CZ32" s="323">
        <v>0</v>
      </c>
      <c r="DA32" s="323">
        <v>0</v>
      </c>
      <c r="DB32" s="323">
        <v>0</v>
      </c>
      <c r="DC32" s="323">
        <v>0</v>
      </c>
      <c r="DD32" s="328">
        <v>0</v>
      </c>
      <c r="DE32" s="4"/>
      <c r="DF32" s="416">
        <v>0</v>
      </c>
      <c r="DG32" s="417">
        <v>0</v>
      </c>
      <c r="DH32" s="417">
        <v>0</v>
      </c>
      <c r="DI32" s="417" t="s">
        <v>130</v>
      </c>
      <c r="DJ32" s="417">
        <v>0</v>
      </c>
      <c r="DK32" s="417">
        <v>0</v>
      </c>
      <c r="DL32" s="417">
        <v>0</v>
      </c>
      <c r="DM32" s="417">
        <v>0</v>
      </c>
      <c r="DN32" s="417">
        <v>0</v>
      </c>
      <c r="DO32" s="417">
        <v>0</v>
      </c>
      <c r="DP32" s="417">
        <v>0</v>
      </c>
      <c r="DQ32" s="417">
        <v>0</v>
      </c>
      <c r="DS32" s="327">
        <v>1</v>
      </c>
      <c r="DT32" s="323">
        <v>0</v>
      </c>
      <c r="DU32" s="323">
        <v>0</v>
      </c>
      <c r="DV32" s="323">
        <v>0</v>
      </c>
      <c r="DW32" s="323">
        <v>0</v>
      </c>
      <c r="DX32" s="323">
        <v>0</v>
      </c>
      <c r="DY32" s="323">
        <v>2</v>
      </c>
      <c r="DZ32" s="328">
        <v>3</v>
      </c>
      <c r="EA32" s="4"/>
      <c r="EB32" s="418" t="s">
        <v>208</v>
      </c>
      <c r="EC32" s="419" t="s">
        <v>354</v>
      </c>
      <c r="ED32" s="340" t="e">
        <v>#DIV/0!</v>
      </c>
      <c r="EE32" s="340" t="e">
        <v>#DIV/0!</v>
      </c>
      <c r="EF32" s="340" t="e">
        <v>#DIV/0!</v>
      </c>
      <c r="EG32" s="323">
        <v>0</v>
      </c>
      <c r="EH32" s="420"/>
      <c r="EI32" s="420">
        <v>0</v>
      </c>
      <c r="EJ32" s="421"/>
      <c r="EK32" s="323">
        <v>0</v>
      </c>
      <c r="EL32" s="323">
        <v>0</v>
      </c>
      <c r="EM32" s="323">
        <v>0</v>
      </c>
      <c r="EN32" s="323">
        <v>0</v>
      </c>
      <c r="EO32" s="323">
        <v>0</v>
      </c>
      <c r="EP32" s="323">
        <v>0</v>
      </c>
      <c r="EQ32" s="323">
        <v>0</v>
      </c>
      <c r="ER32" s="323">
        <v>0</v>
      </c>
      <c r="ES32" s="323">
        <v>0</v>
      </c>
      <c r="ET32" s="323">
        <v>0</v>
      </c>
      <c r="EU32" s="323">
        <v>0</v>
      </c>
      <c r="EV32" s="323">
        <v>0</v>
      </c>
      <c r="EW32" s="347" t="e">
        <v>#DIV/0!</v>
      </c>
      <c r="EX32" s="323">
        <v>0</v>
      </c>
      <c r="EY32" s="323">
        <v>0</v>
      </c>
      <c r="EZ32" s="323">
        <v>0</v>
      </c>
      <c r="FA32" s="323">
        <v>0</v>
      </c>
      <c r="FB32" s="323">
        <v>0</v>
      </c>
      <c r="FC32" s="323">
        <v>0</v>
      </c>
      <c r="FD32" s="323">
        <v>0</v>
      </c>
      <c r="FE32" s="323">
        <v>0</v>
      </c>
      <c r="FF32" s="323">
        <v>0</v>
      </c>
      <c r="FG32" s="323">
        <v>0</v>
      </c>
      <c r="FH32" s="323">
        <v>0</v>
      </c>
      <c r="FI32" s="323">
        <v>0</v>
      </c>
      <c r="FJ32" s="4"/>
      <c r="FK32" s="323">
        <v>0</v>
      </c>
      <c r="FL32" s="323">
        <v>0</v>
      </c>
      <c r="FM32" s="2"/>
      <c r="FN32" s="323">
        <v>0</v>
      </c>
      <c r="FO32" s="323">
        <v>0</v>
      </c>
      <c r="FP32" s="323">
        <v>0</v>
      </c>
      <c r="FR32" s="418" t="s">
        <v>208</v>
      </c>
      <c r="FS32" s="419" t="s">
        <v>354</v>
      </c>
      <c r="FT32" s="340">
        <v>0.23133476993281782</v>
      </c>
      <c r="FU32" s="340">
        <v>9.3167701863354033E-2</v>
      </c>
      <c r="FV32" s="340">
        <v>3.1055900621118009E-2</v>
      </c>
      <c r="FW32" s="323">
        <v>3</v>
      </c>
      <c r="FX32" s="420"/>
      <c r="FY32" s="420">
        <v>7.4489795918367339</v>
      </c>
      <c r="FZ32" s="421"/>
      <c r="GA32" s="323">
        <v>34</v>
      </c>
      <c r="GB32" s="323">
        <v>32</v>
      </c>
      <c r="GC32" s="323">
        <v>33</v>
      </c>
      <c r="GD32" s="323">
        <v>32</v>
      </c>
      <c r="GE32" s="323">
        <v>30</v>
      </c>
      <c r="GF32" s="323">
        <v>0</v>
      </c>
      <c r="GG32" s="323">
        <v>0</v>
      </c>
      <c r="GH32" s="323">
        <v>0</v>
      </c>
      <c r="GI32" s="323">
        <v>0</v>
      </c>
      <c r="GJ32" s="323">
        <v>0</v>
      </c>
      <c r="GK32" s="323">
        <v>0</v>
      </c>
      <c r="GL32" s="323">
        <v>0</v>
      </c>
      <c r="GM32" s="347">
        <v>32.200000000000003</v>
      </c>
      <c r="GN32" s="341">
        <v>30</v>
      </c>
      <c r="GO32" s="323">
        <v>0</v>
      </c>
      <c r="GP32" s="323">
        <v>1</v>
      </c>
      <c r="GQ32" s="323">
        <v>1</v>
      </c>
      <c r="GR32" s="323">
        <v>1</v>
      </c>
      <c r="GS32" s="323">
        <v>0</v>
      </c>
      <c r="GT32" s="323">
        <v>0</v>
      </c>
      <c r="GU32" s="323">
        <v>0</v>
      </c>
      <c r="GV32" s="323">
        <v>0</v>
      </c>
      <c r="GW32" s="323">
        <v>0</v>
      </c>
      <c r="GX32" s="323">
        <v>3</v>
      </c>
      <c r="GY32" s="323">
        <v>1</v>
      </c>
      <c r="GZ32" s="4"/>
      <c r="HA32" s="323">
        <v>29</v>
      </c>
      <c r="HB32" s="323">
        <v>1</v>
      </c>
      <c r="HC32" s="2"/>
      <c r="HD32" s="323">
        <v>1</v>
      </c>
      <c r="HE32" s="323">
        <v>2</v>
      </c>
      <c r="HF32" s="323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3</v>
      </c>
      <c r="HQ32">
        <v>8.5714285714285715E-2</v>
      </c>
      <c r="HR32">
        <v>5</v>
      </c>
      <c r="HS32">
        <v>0.14285714285714285</v>
      </c>
      <c r="HT32">
        <v>30</v>
      </c>
      <c r="HU32">
        <v>0.8571428571428571</v>
      </c>
      <c r="HV32">
        <v>35</v>
      </c>
    </row>
    <row r="33" spans="1:230" x14ac:dyDescent="0.25">
      <c r="A33" t="s">
        <v>518</v>
      </c>
      <c r="B33" s="4">
        <v>1336</v>
      </c>
      <c r="C33" s="444" t="s">
        <v>247</v>
      </c>
      <c r="D33" s="418" t="s">
        <v>207</v>
      </c>
      <c r="E33" s="419" t="s">
        <v>518</v>
      </c>
      <c r="F33" s="340">
        <v>1.1761546723952738</v>
      </c>
      <c r="G33" s="340">
        <v>0.47368421052631576</v>
      </c>
      <c r="H33" s="340">
        <v>0.10526315789473684</v>
      </c>
      <c r="I33" s="323">
        <v>9</v>
      </c>
      <c r="J33" s="420"/>
      <c r="K33" s="478">
        <v>22.346938775510203</v>
      </c>
      <c r="L33" s="421"/>
      <c r="M33" s="323">
        <v>18</v>
      </c>
      <c r="N33" s="323">
        <v>20</v>
      </c>
      <c r="O33" s="323">
        <v>18</v>
      </c>
      <c r="P33" s="323">
        <v>19</v>
      </c>
      <c r="Q33" s="323">
        <v>20</v>
      </c>
      <c r="R33" s="323">
        <v>0</v>
      </c>
      <c r="S33" s="323">
        <v>0</v>
      </c>
      <c r="T33" s="323">
        <v>0</v>
      </c>
      <c r="U33" s="323">
        <v>0</v>
      </c>
      <c r="V33" s="323">
        <v>0</v>
      </c>
      <c r="W33" s="323">
        <v>0</v>
      </c>
      <c r="X33" s="323">
        <v>0</v>
      </c>
      <c r="Y33" s="347">
        <v>19</v>
      </c>
      <c r="Z33" s="323">
        <v>20</v>
      </c>
      <c r="AA33" s="323">
        <v>0</v>
      </c>
      <c r="AB33" s="323">
        <v>2</v>
      </c>
      <c r="AC33" s="323">
        <v>0</v>
      </c>
      <c r="AD33" s="323">
        <v>0</v>
      </c>
      <c r="AE33" s="323">
        <v>1</v>
      </c>
      <c r="AF33" s="323">
        <v>0</v>
      </c>
      <c r="AG33" s="323">
        <v>6</v>
      </c>
      <c r="AH33" s="323">
        <v>0</v>
      </c>
      <c r="AI33" s="323">
        <v>0</v>
      </c>
      <c r="AJ33" s="323">
        <v>9</v>
      </c>
      <c r="AK33" s="328">
        <v>2</v>
      </c>
      <c r="AL33" s="4" t="s">
        <v>207</v>
      </c>
      <c r="AM33" s="327">
        <v>17</v>
      </c>
      <c r="AN33" s="328">
        <v>3</v>
      </c>
      <c r="AO33" s="2"/>
      <c r="AP33" s="323">
        <v>9</v>
      </c>
      <c r="AQ33" s="323">
        <v>0</v>
      </c>
      <c r="AR33" s="323">
        <v>0</v>
      </c>
      <c r="AS33" s="2"/>
      <c r="AT33" s="323">
        <v>2</v>
      </c>
      <c r="AU33" s="323">
        <v>2</v>
      </c>
      <c r="AV33" s="323">
        <v>3</v>
      </c>
      <c r="AW33" s="323">
        <v>0</v>
      </c>
      <c r="AX33" s="323">
        <v>2</v>
      </c>
      <c r="AY33" s="323">
        <v>0</v>
      </c>
      <c r="AZ33" s="323">
        <v>0</v>
      </c>
      <c r="BA33" s="323">
        <v>0</v>
      </c>
      <c r="BB33" s="323">
        <v>0</v>
      </c>
      <c r="BC33" s="323">
        <v>0</v>
      </c>
      <c r="BD33" s="323">
        <v>0</v>
      </c>
      <c r="BE33" s="323">
        <v>0</v>
      </c>
      <c r="BF33" s="2" t="s">
        <v>518</v>
      </c>
      <c r="BG33" s="327">
        <v>1</v>
      </c>
      <c r="BH33" s="323">
        <v>1</v>
      </c>
      <c r="BI33" s="323">
        <v>4</v>
      </c>
      <c r="BJ33" s="323">
        <v>1</v>
      </c>
      <c r="BK33" s="323">
        <v>3</v>
      </c>
      <c r="BL33" s="323">
        <v>0</v>
      </c>
      <c r="BM33" s="323">
        <v>0</v>
      </c>
      <c r="BN33" s="323">
        <v>0</v>
      </c>
      <c r="BO33" s="323">
        <v>0</v>
      </c>
      <c r="BP33" s="323">
        <v>0</v>
      </c>
      <c r="BQ33" s="323">
        <v>0</v>
      </c>
      <c r="BR33" s="328">
        <v>0</v>
      </c>
      <c r="BS33" s="323">
        <v>10</v>
      </c>
      <c r="BT33" s="329">
        <v>1.4484126984126984</v>
      </c>
      <c r="BU33" s="330">
        <v>1.3721804511278197</v>
      </c>
      <c r="BV33" s="330">
        <v>1.5041208791208791</v>
      </c>
      <c r="BW33" s="330">
        <v>1.1450980392156864</v>
      </c>
      <c r="BX33" s="330">
        <v>1.1761546723952738</v>
      </c>
      <c r="BY33" s="330">
        <v>1.1399652978600345</v>
      </c>
      <c r="BZ33" s="330">
        <v>1.1526315789473685</v>
      </c>
      <c r="CA33" s="330">
        <v>1.1623175586023884</v>
      </c>
      <c r="CB33" s="330">
        <v>1.1587044534412956</v>
      </c>
      <c r="CC33" s="330">
        <v>1.167686658506732</v>
      </c>
      <c r="CD33" s="330">
        <v>1.1751399776035834</v>
      </c>
      <c r="CE33" s="331">
        <v>1.1368421052631579</v>
      </c>
      <c r="CF33" s="2"/>
      <c r="CG33" s="327">
        <v>9</v>
      </c>
      <c r="CH33" s="323">
        <v>6</v>
      </c>
      <c r="CI33" s="323">
        <v>9</v>
      </c>
      <c r="CJ33" s="323">
        <v>10</v>
      </c>
      <c r="CK33" s="323">
        <v>0</v>
      </c>
      <c r="CL33" s="323">
        <v>0</v>
      </c>
      <c r="CM33" s="323">
        <v>0</v>
      </c>
      <c r="CN33" s="323">
        <v>0</v>
      </c>
      <c r="CO33" s="323">
        <v>0</v>
      </c>
      <c r="CP33" s="323">
        <v>0</v>
      </c>
      <c r="CQ33" s="323">
        <v>0</v>
      </c>
      <c r="CR33" s="332">
        <v>0</v>
      </c>
      <c r="CS33" s="327">
        <v>0</v>
      </c>
      <c r="CT33" s="323">
        <v>0</v>
      </c>
      <c r="CU33" s="323">
        <v>0</v>
      </c>
      <c r="CV33" s="323">
        <v>0</v>
      </c>
      <c r="CW33" s="323">
        <v>0</v>
      </c>
      <c r="CX33" s="323">
        <v>0</v>
      </c>
      <c r="CY33" s="323">
        <v>0</v>
      </c>
      <c r="CZ33" s="323">
        <v>0</v>
      </c>
      <c r="DA33" s="323">
        <v>0</v>
      </c>
      <c r="DB33" s="323">
        <v>0</v>
      </c>
      <c r="DC33" s="323">
        <v>0</v>
      </c>
      <c r="DD33" s="328">
        <v>0</v>
      </c>
      <c r="DE33" s="4"/>
      <c r="DF33" s="416">
        <v>0</v>
      </c>
      <c r="DG33" s="417">
        <v>0</v>
      </c>
      <c r="DH33" s="417" t="s">
        <v>130</v>
      </c>
      <c r="DI33" s="417">
        <v>0</v>
      </c>
      <c r="DJ33" s="417">
        <v>0</v>
      </c>
      <c r="DK33" s="417">
        <v>0</v>
      </c>
      <c r="DL33" s="417">
        <v>0</v>
      </c>
      <c r="DM33" s="417">
        <v>0</v>
      </c>
      <c r="DN33" s="417">
        <v>0</v>
      </c>
      <c r="DO33" s="417">
        <v>0</v>
      </c>
      <c r="DP33" s="417">
        <v>0</v>
      </c>
      <c r="DQ33" s="417">
        <v>0</v>
      </c>
      <c r="DS33" s="327">
        <v>4</v>
      </c>
      <c r="DT33" s="323">
        <v>0</v>
      </c>
      <c r="DU33" s="323">
        <v>0</v>
      </c>
      <c r="DV33" s="323">
        <v>0</v>
      </c>
      <c r="DW33" s="323">
        <v>0</v>
      </c>
      <c r="DX33" s="323">
        <v>0</v>
      </c>
      <c r="DY33" s="323">
        <v>6</v>
      </c>
      <c r="DZ33" s="328">
        <v>10</v>
      </c>
      <c r="EA33" s="4"/>
      <c r="EB33" s="418" t="s">
        <v>207</v>
      </c>
      <c r="EC33" s="419" t="s">
        <v>356</v>
      </c>
      <c r="ED33" s="340" t="e">
        <v>#DIV/0!</v>
      </c>
      <c r="EE33" s="340" t="e">
        <v>#DIV/0!</v>
      </c>
      <c r="EF33" s="340" t="e">
        <v>#DIV/0!</v>
      </c>
      <c r="EG33" s="323">
        <v>0</v>
      </c>
      <c r="EH33" s="420"/>
      <c r="EI33" s="420">
        <v>0</v>
      </c>
      <c r="EJ33" s="421"/>
      <c r="EK33" s="323">
        <v>0</v>
      </c>
      <c r="EL33" s="323">
        <v>0</v>
      </c>
      <c r="EM33" s="323">
        <v>0</v>
      </c>
      <c r="EN33" s="323">
        <v>0</v>
      </c>
      <c r="EO33" s="323">
        <v>0</v>
      </c>
      <c r="EP33" s="323">
        <v>0</v>
      </c>
      <c r="EQ33" s="323">
        <v>0</v>
      </c>
      <c r="ER33" s="323">
        <v>0</v>
      </c>
      <c r="ES33" s="323">
        <v>0</v>
      </c>
      <c r="ET33" s="323">
        <v>0</v>
      </c>
      <c r="EU33" s="323">
        <v>0</v>
      </c>
      <c r="EV33" s="323">
        <v>0</v>
      </c>
      <c r="EW33" s="347" t="e">
        <v>#DIV/0!</v>
      </c>
      <c r="EX33" s="323">
        <v>0</v>
      </c>
      <c r="EY33" s="323">
        <v>0</v>
      </c>
      <c r="EZ33" s="323">
        <v>0</v>
      </c>
      <c r="FA33" s="323">
        <v>0</v>
      </c>
      <c r="FB33" s="323">
        <v>0</v>
      </c>
      <c r="FC33" s="323">
        <v>0</v>
      </c>
      <c r="FD33" s="323">
        <v>0</v>
      </c>
      <c r="FE33" s="323">
        <v>0</v>
      </c>
      <c r="FF33" s="323">
        <v>0</v>
      </c>
      <c r="FG33" s="323">
        <v>0</v>
      </c>
      <c r="FH33" s="323">
        <v>0</v>
      </c>
      <c r="FI33" s="323">
        <v>0</v>
      </c>
      <c r="FJ33" s="4"/>
      <c r="FK33" s="323">
        <v>0</v>
      </c>
      <c r="FL33" s="323">
        <v>0</v>
      </c>
      <c r="FM33" s="2"/>
      <c r="FN33" s="323">
        <v>0</v>
      </c>
      <c r="FO33" s="323">
        <v>0</v>
      </c>
      <c r="FP33" s="323">
        <v>0</v>
      </c>
      <c r="FR33" s="418" t="s">
        <v>207</v>
      </c>
      <c r="FS33" s="419" t="s">
        <v>356</v>
      </c>
      <c r="FT33" s="340">
        <v>1.1761546723952738</v>
      </c>
      <c r="FU33" s="340">
        <v>0.47368421052631576</v>
      </c>
      <c r="FV33" s="340">
        <v>0.10526315789473684</v>
      </c>
      <c r="FW33" s="323">
        <v>9</v>
      </c>
      <c r="FX33" s="420"/>
      <c r="FY33" s="420">
        <v>22.346938775510203</v>
      </c>
      <c r="FZ33" s="421"/>
      <c r="GA33" s="323">
        <v>18</v>
      </c>
      <c r="GB33" s="323">
        <v>20</v>
      </c>
      <c r="GC33" s="323">
        <v>18</v>
      </c>
      <c r="GD33" s="323">
        <v>19</v>
      </c>
      <c r="GE33" s="323">
        <v>20</v>
      </c>
      <c r="GF33" s="323">
        <v>0</v>
      </c>
      <c r="GG33" s="323">
        <v>0</v>
      </c>
      <c r="GH33" s="323">
        <v>0</v>
      </c>
      <c r="GI33" s="323">
        <v>0</v>
      </c>
      <c r="GJ33" s="323">
        <v>0</v>
      </c>
      <c r="GK33" s="323">
        <v>0</v>
      </c>
      <c r="GL33" s="323">
        <v>0</v>
      </c>
      <c r="GM33" s="347">
        <v>19</v>
      </c>
      <c r="GN33" s="341">
        <v>20</v>
      </c>
      <c r="GO33" s="323">
        <v>0</v>
      </c>
      <c r="GP33" s="323">
        <v>2</v>
      </c>
      <c r="GQ33" s="323">
        <v>0</v>
      </c>
      <c r="GR33" s="323">
        <v>0</v>
      </c>
      <c r="GS33" s="323">
        <v>1</v>
      </c>
      <c r="GT33" s="323">
        <v>0</v>
      </c>
      <c r="GU33" s="323">
        <v>6</v>
      </c>
      <c r="GV33" s="323">
        <v>0</v>
      </c>
      <c r="GW33" s="323">
        <v>0</v>
      </c>
      <c r="GX33" s="323">
        <v>9</v>
      </c>
      <c r="GY33" s="323">
        <v>2</v>
      </c>
      <c r="GZ33" s="4"/>
      <c r="HA33" s="323">
        <v>17</v>
      </c>
      <c r="HB33" s="323">
        <v>3</v>
      </c>
      <c r="HC33" s="2"/>
      <c r="HD33" s="323">
        <v>9</v>
      </c>
      <c r="HE33" s="323">
        <v>0</v>
      </c>
      <c r="HF33" s="323">
        <v>0</v>
      </c>
      <c r="HH33">
        <v>1</v>
      </c>
      <c r="HI33">
        <v>5.5555555555555552E-2</v>
      </c>
      <c r="HJ33">
        <v>3</v>
      </c>
      <c r="HK33">
        <v>0.16666666666666666</v>
      </c>
      <c r="HL33">
        <v>4</v>
      </c>
      <c r="HM33">
        <v>0.22222222222222221</v>
      </c>
      <c r="HN33">
        <v>5</v>
      </c>
      <c r="HO33">
        <v>0.27777777777777779</v>
      </c>
      <c r="HP33">
        <v>7</v>
      </c>
      <c r="HQ33">
        <v>0.3888888888888889</v>
      </c>
      <c r="HR33">
        <v>9</v>
      </c>
      <c r="HS33">
        <v>0.5</v>
      </c>
      <c r="HT33">
        <v>9</v>
      </c>
      <c r="HU33">
        <v>0.5</v>
      </c>
      <c r="HV33">
        <v>18</v>
      </c>
    </row>
    <row r="34" spans="1:230" x14ac:dyDescent="0.25">
      <c r="A34" t="s">
        <v>519</v>
      </c>
      <c r="B34" s="4">
        <v>1338</v>
      </c>
      <c r="C34" s="444" t="s">
        <v>254</v>
      </c>
      <c r="D34" s="418" t="s">
        <v>204</v>
      </c>
      <c r="E34" s="419" t="s">
        <v>519</v>
      </c>
      <c r="F34" s="340">
        <v>0.47145440454662874</v>
      </c>
      <c r="G34" s="340">
        <v>0.18987341772151897</v>
      </c>
      <c r="H34" s="340">
        <v>0</v>
      </c>
      <c r="I34" s="323">
        <v>3</v>
      </c>
      <c r="J34" s="420"/>
      <c r="K34" s="478">
        <v>7.4489795918367339</v>
      </c>
      <c r="L34" s="421"/>
      <c r="M34" s="323">
        <v>16</v>
      </c>
      <c r="N34" s="323">
        <v>16</v>
      </c>
      <c r="O34" s="323">
        <v>15</v>
      </c>
      <c r="P34" s="323">
        <v>16</v>
      </c>
      <c r="Q34" s="323">
        <v>16</v>
      </c>
      <c r="R34" s="323">
        <v>0</v>
      </c>
      <c r="S34" s="323">
        <v>0</v>
      </c>
      <c r="T34" s="323">
        <v>0</v>
      </c>
      <c r="U34" s="323">
        <v>0</v>
      </c>
      <c r="V34" s="323">
        <v>0</v>
      </c>
      <c r="W34" s="323">
        <v>0</v>
      </c>
      <c r="X34" s="323">
        <v>0</v>
      </c>
      <c r="Y34" s="347">
        <v>15.8</v>
      </c>
      <c r="Z34" s="323">
        <v>16</v>
      </c>
      <c r="AA34" s="323">
        <v>0</v>
      </c>
      <c r="AB34" s="323">
        <v>0</v>
      </c>
      <c r="AC34" s="323">
        <v>0</v>
      </c>
      <c r="AD34" s="323">
        <v>0</v>
      </c>
      <c r="AE34" s="323">
        <v>0</v>
      </c>
      <c r="AF34" s="323">
        <v>0</v>
      </c>
      <c r="AG34" s="323">
        <v>3</v>
      </c>
      <c r="AH34" s="323">
        <v>0</v>
      </c>
      <c r="AI34" s="323">
        <v>0</v>
      </c>
      <c r="AJ34" s="323">
        <v>3</v>
      </c>
      <c r="AK34" s="328">
        <v>0</v>
      </c>
      <c r="AL34" s="4" t="s">
        <v>204</v>
      </c>
      <c r="AM34" s="327">
        <v>14</v>
      </c>
      <c r="AN34" s="328">
        <v>2</v>
      </c>
      <c r="AO34" s="2"/>
      <c r="AP34" s="323">
        <v>3</v>
      </c>
      <c r="AQ34" s="323">
        <v>0</v>
      </c>
      <c r="AR34" s="323">
        <v>0</v>
      </c>
      <c r="AS34" s="2"/>
      <c r="AT34" s="323">
        <v>1</v>
      </c>
      <c r="AU34" s="323">
        <v>0</v>
      </c>
      <c r="AV34" s="323">
        <v>2</v>
      </c>
      <c r="AW34" s="323">
        <v>0</v>
      </c>
      <c r="AX34" s="323">
        <v>0</v>
      </c>
      <c r="AY34" s="323">
        <v>0</v>
      </c>
      <c r="AZ34" s="323">
        <v>0</v>
      </c>
      <c r="BA34" s="323">
        <v>0</v>
      </c>
      <c r="BB34" s="323">
        <v>0</v>
      </c>
      <c r="BC34" s="323">
        <v>0</v>
      </c>
      <c r="BD34" s="323">
        <v>0</v>
      </c>
      <c r="BE34" s="323">
        <v>0</v>
      </c>
      <c r="BF34" s="2" t="s">
        <v>519</v>
      </c>
      <c r="BG34" s="327">
        <v>1</v>
      </c>
      <c r="BH34" s="323">
        <v>0</v>
      </c>
      <c r="BI34" s="323">
        <v>1</v>
      </c>
      <c r="BJ34" s="323">
        <v>1</v>
      </c>
      <c r="BK34" s="323">
        <v>0</v>
      </c>
      <c r="BL34" s="323">
        <v>0</v>
      </c>
      <c r="BM34" s="323">
        <v>0</v>
      </c>
      <c r="BN34" s="323">
        <v>0</v>
      </c>
      <c r="BO34" s="323">
        <v>0</v>
      </c>
      <c r="BP34" s="323">
        <v>0</v>
      </c>
      <c r="BQ34" s="323">
        <v>0</v>
      </c>
      <c r="BR34" s="328">
        <v>0</v>
      </c>
      <c r="BS34" s="323">
        <v>3</v>
      </c>
      <c r="BT34" s="329">
        <v>0.8147321428571429</v>
      </c>
      <c r="BU34" s="330">
        <v>0.40736607142857145</v>
      </c>
      <c r="BV34" s="330">
        <v>0.76806172550853402</v>
      </c>
      <c r="BW34" s="330">
        <v>0.58423369347739107</v>
      </c>
      <c r="BX34" s="330">
        <v>0.47145440454662868</v>
      </c>
      <c r="BY34" s="330">
        <v>0.45694811517596329</v>
      </c>
      <c r="BZ34" s="330">
        <v>0.46202531645569617</v>
      </c>
      <c r="CA34" s="330">
        <v>0.4659078821401979</v>
      </c>
      <c r="CB34" s="330">
        <v>0.46445959104186946</v>
      </c>
      <c r="CC34" s="330">
        <v>0.46806005298793052</v>
      </c>
      <c r="CD34" s="330">
        <v>0.47104767034742795</v>
      </c>
      <c r="CE34" s="331">
        <v>0.45569620253164561</v>
      </c>
      <c r="CF34" s="2"/>
      <c r="CG34" s="327">
        <v>9</v>
      </c>
      <c r="CH34" s="323">
        <v>9</v>
      </c>
      <c r="CI34" s="323">
        <v>8</v>
      </c>
      <c r="CJ34" s="323">
        <v>7</v>
      </c>
      <c r="CK34" s="323">
        <v>0</v>
      </c>
      <c r="CL34" s="323">
        <v>0</v>
      </c>
      <c r="CM34" s="323">
        <v>0</v>
      </c>
      <c r="CN34" s="323">
        <v>0</v>
      </c>
      <c r="CO34" s="323">
        <v>0</v>
      </c>
      <c r="CP34" s="323">
        <v>0</v>
      </c>
      <c r="CQ34" s="323">
        <v>0</v>
      </c>
      <c r="CR34" s="332">
        <v>0</v>
      </c>
      <c r="CS34" s="327">
        <v>0</v>
      </c>
      <c r="CT34" s="323">
        <v>0</v>
      </c>
      <c r="CU34" s="323">
        <v>0</v>
      </c>
      <c r="CV34" s="323">
        <v>0</v>
      </c>
      <c r="CW34" s="323">
        <v>0</v>
      </c>
      <c r="CX34" s="323">
        <v>0</v>
      </c>
      <c r="CY34" s="323">
        <v>0</v>
      </c>
      <c r="CZ34" s="323">
        <v>0</v>
      </c>
      <c r="DA34" s="323">
        <v>0</v>
      </c>
      <c r="DB34" s="323">
        <v>0</v>
      </c>
      <c r="DC34" s="323">
        <v>0</v>
      </c>
      <c r="DD34" s="328">
        <v>0</v>
      </c>
      <c r="DE34" s="4"/>
      <c r="DF34" s="416">
        <v>0</v>
      </c>
      <c r="DG34" s="417">
        <v>0</v>
      </c>
      <c r="DH34" s="417">
        <v>0</v>
      </c>
      <c r="DI34" s="417">
        <v>0</v>
      </c>
      <c r="DJ34" s="417">
        <v>0</v>
      </c>
      <c r="DK34" s="417">
        <v>0</v>
      </c>
      <c r="DL34" s="417">
        <v>0</v>
      </c>
      <c r="DM34" s="417">
        <v>0</v>
      </c>
      <c r="DN34" s="417">
        <v>0</v>
      </c>
      <c r="DO34" s="417">
        <v>0</v>
      </c>
      <c r="DP34" s="417">
        <v>0</v>
      </c>
      <c r="DQ34" s="417">
        <v>0</v>
      </c>
      <c r="DS34" s="327">
        <v>0</v>
      </c>
      <c r="DT34" s="323">
        <v>0</v>
      </c>
      <c r="DU34" s="323">
        <v>0</v>
      </c>
      <c r="DV34" s="323">
        <v>0</v>
      </c>
      <c r="DW34" s="323">
        <v>0</v>
      </c>
      <c r="DX34" s="323">
        <v>0</v>
      </c>
      <c r="DY34" s="323">
        <v>3</v>
      </c>
      <c r="DZ34" s="328">
        <v>3</v>
      </c>
      <c r="EA34" s="4"/>
      <c r="EB34" s="418" t="s">
        <v>204</v>
      </c>
      <c r="EC34" s="419" t="s">
        <v>358</v>
      </c>
      <c r="ED34" s="340" t="e">
        <v>#DIV/0!</v>
      </c>
      <c r="EE34" s="340" t="e">
        <v>#DIV/0!</v>
      </c>
      <c r="EF34" s="340" t="e">
        <v>#DIV/0!</v>
      </c>
      <c r="EG34" s="323">
        <v>0</v>
      </c>
      <c r="EH34" s="420"/>
      <c r="EI34" s="420">
        <v>0</v>
      </c>
      <c r="EJ34" s="421"/>
      <c r="EK34" s="323">
        <v>0</v>
      </c>
      <c r="EL34" s="323">
        <v>0</v>
      </c>
      <c r="EM34" s="323">
        <v>0</v>
      </c>
      <c r="EN34" s="323">
        <v>0</v>
      </c>
      <c r="EO34" s="323">
        <v>0</v>
      </c>
      <c r="EP34" s="323">
        <v>0</v>
      </c>
      <c r="EQ34" s="323">
        <v>0</v>
      </c>
      <c r="ER34" s="323">
        <v>0</v>
      </c>
      <c r="ES34" s="323">
        <v>0</v>
      </c>
      <c r="ET34" s="323">
        <v>0</v>
      </c>
      <c r="EU34" s="323">
        <v>0</v>
      </c>
      <c r="EV34" s="323">
        <v>0</v>
      </c>
      <c r="EW34" s="347" t="e">
        <v>#DIV/0!</v>
      </c>
      <c r="EX34" s="323">
        <v>0</v>
      </c>
      <c r="EY34" s="323">
        <v>0</v>
      </c>
      <c r="EZ34" s="323">
        <v>0</v>
      </c>
      <c r="FA34" s="323">
        <v>0</v>
      </c>
      <c r="FB34" s="323">
        <v>0</v>
      </c>
      <c r="FC34" s="323">
        <v>0</v>
      </c>
      <c r="FD34" s="323">
        <v>0</v>
      </c>
      <c r="FE34" s="323">
        <v>0</v>
      </c>
      <c r="FF34" s="323">
        <v>0</v>
      </c>
      <c r="FG34" s="323">
        <v>0</v>
      </c>
      <c r="FH34" s="323">
        <v>0</v>
      </c>
      <c r="FI34" s="323">
        <v>0</v>
      </c>
      <c r="FJ34" s="4"/>
      <c r="FK34" s="323">
        <v>0</v>
      </c>
      <c r="FL34" s="323">
        <v>0</v>
      </c>
      <c r="FM34" s="2"/>
      <c r="FN34" s="323">
        <v>0</v>
      </c>
      <c r="FO34" s="323">
        <v>0</v>
      </c>
      <c r="FP34" s="323">
        <v>0</v>
      </c>
      <c r="FR34" s="418" t="s">
        <v>204</v>
      </c>
      <c r="FS34" s="419" t="s">
        <v>358</v>
      </c>
      <c r="FT34" s="340">
        <v>0.47145440454662874</v>
      </c>
      <c r="FU34" s="340">
        <v>0.18987341772151897</v>
      </c>
      <c r="FV34" s="340">
        <v>0</v>
      </c>
      <c r="FW34" s="323">
        <v>3</v>
      </c>
      <c r="FX34" s="420"/>
      <c r="FY34" s="420">
        <v>7.4489795918367339</v>
      </c>
      <c r="FZ34" s="421"/>
      <c r="GA34" s="323">
        <v>16</v>
      </c>
      <c r="GB34" s="323">
        <v>16</v>
      </c>
      <c r="GC34" s="323">
        <v>15</v>
      </c>
      <c r="GD34" s="323">
        <v>16</v>
      </c>
      <c r="GE34" s="323">
        <v>16</v>
      </c>
      <c r="GF34" s="323">
        <v>0</v>
      </c>
      <c r="GG34" s="323">
        <v>0</v>
      </c>
      <c r="GH34" s="323">
        <v>0</v>
      </c>
      <c r="GI34" s="323">
        <v>0</v>
      </c>
      <c r="GJ34" s="323">
        <v>0</v>
      </c>
      <c r="GK34" s="323">
        <v>0</v>
      </c>
      <c r="GL34" s="323">
        <v>0</v>
      </c>
      <c r="GM34" s="347">
        <v>15.8</v>
      </c>
      <c r="GN34" s="341">
        <v>16</v>
      </c>
      <c r="GO34" s="323">
        <v>0</v>
      </c>
      <c r="GP34" s="323">
        <v>0</v>
      </c>
      <c r="GQ34" s="323">
        <v>0</v>
      </c>
      <c r="GR34" s="323">
        <v>0</v>
      </c>
      <c r="GS34" s="323">
        <v>0</v>
      </c>
      <c r="GT34" s="323">
        <v>0</v>
      </c>
      <c r="GU34" s="323">
        <v>3</v>
      </c>
      <c r="GV34" s="323">
        <v>0</v>
      </c>
      <c r="GW34" s="323">
        <v>0</v>
      </c>
      <c r="GX34" s="323">
        <v>3</v>
      </c>
      <c r="GY34" s="323">
        <v>0</v>
      </c>
      <c r="GZ34" s="4"/>
      <c r="HA34" s="323">
        <v>14</v>
      </c>
      <c r="HB34" s="323">
        <v>2</v>
      </c>
      <c r="HC34" s="2"/>
      <c r="HD34" s="323">
        <v>3</v>
      </c>
      <c r="HE34" s="323">
        <v>0</v>
      </c>
      <c r="HF34" s="323">
        <v>0</v>
      </c>
      <c r="HH34">
        <v>2</v>
      </c>
      <c r="HI34">
        <v>0.11764705882352941</v>
      </c>
      <c r="HJ34">
        <v>3</v>
      </c>
      <c r="HK34">
        <v>0.17647058823529413</v>
      </c>
      <c r="HL34">
        <v>6</v>
      </c>
      <c r="HM34">
        <v>0.35294117647058826</v>
      </c>
      <c r="HN34">
        <v>6</v>
      </c>
      <c r="HO34">
        <v>0.35294117647058826</v>
      </c>
      <c r="HP34">
        <v>7</v>
      </c>
      <c r="HQ34">
        <v>0.41176470588235292</v>
      </c>
      <c r="HR34">
        <v>9</v>
      </c>
      <c r="HS34">
        <v>0.52941176470588236</v>
      </c>
      <c r="HT34">
        <v>8</v>
      </c>
      <c r="HU34">
        <v>0.47058823529411764</v>
      </c>
      <c r="HV34">
        <v>17</v>
      </c>
    </row>
    <row r="35" spans="1:230" x14ac:dyDescent="0.25">
      <c r="A35" t="s">
        <v>520</v>
      </c>
      <c r="B35" s="4">
        <v>1340</v>
      </c>
      <c r="C35" s="444" t="s">
        <v>259</v>
      </c>
      <c r="D35" s="418" t="s">
        <v>208</v>
      </c>
      <c r="E35" s="419" t="s">
        <v>520</v>
      </c>
      <c r="F35" s="340">
        <v>0.69616631699408738</v>
      </c>
      <c r="G35" s="340">
        <v>0.28037383177570097</v>
      </c>
      <c r="H35" s="340">
        <v>0</v>
      </c>
      <c r="I35" s="323">
        <v>6</v>
      </c>
      <c r="J35" s="420"/>
      <c r="K35" s="478">
        <v>14.897959183673468</v>
      </c>
      <c r="L35" s="421"/>
      <c r="M35" s="323">
        <v>21</v>
      </c>
      <c r="N35" s="323">
        <v>19</v>
      </c>
      <c r="O35" s="323">
        <v>21</v>
      </c>
      <c r="P35" s="323">
        <v>22</v>
      </c>
      <c r="Q35" s="323">
        <v>24</v>
      </c>
      <c r="R35" s="323">
        <v>0</v>
      </c>
      <c r="S35" s="323">
        <v>0</v>
      </c>
      <c r="T35" s="323">
        <v>0</v>
      </c>
      <c r="U35" s="323">
        <v>0</v>
      </c>
      <c r="V35" s="323">
        <v>0</v>
      </c>
      <c r="W35" s="323">
        <v>0</v>
      </c>
      <c r="X35" s="323">
        <v>0</v>
      </c>
      <c r="Y35" s="347">
        <v>21.4</v>
      </c>
      <c r="Z35" s="323">
        <v>24</v>
      </c>
      <c r="AA35" s="323">
        <v>0</v>
      </c>
      <c r="AB35" s="323">
        <v>0</v>
      </c>
      <c r="AC35" s="323">
        <v>0</v>
      </c>
      <c r="AD35" s="323">
        <v>0</v>
      </c>
      <c r="AE35" s="323">
        <v>0</v>
      </c>
      <c r="AF35" s="323">
        <v>1</v>
      </c>
      <c r="AG35" s="323">
        <v>5</v>
      </c>
      <c r="AH35" s="323">
        <v>0</v>
      </c>
      <c r="AI35" s="323">
        <v>0</v>
      </c>
      <c r="AJ35" s="323">
        <v>6</v>
      </c>
      <c r="AK35" s="328">
        <v>0</v>
      </c>
      <c r="AL35" s="4" t="s">
        <v>208</v>
      </c>
      <c r="AM35" s="327">
        <v>24</v>
      </c>
      <c r="AN35" s="328">
        <v>0</v>
      </c>
      <c r="AO35" s="2"/>
      <c r="AP35" s="323">
        <v>5</v>
      </c>
      <c r="AQ35" s="323">
        <v>1</v>
      </c>
      <c r="AR35" s="323">
        <v>0</v>
      </c>
      <c r="AS35" s="2"/>
      <c r="AT35" s="323">
        <v>2</v>
      </c>
      <c r="AU35" s="323">
        <v>2</v>
      </c>
      <c r="AV35" s="323">
        <v>2</v>
      </c>
      <c r="AW35" s="323">
        <v>0</v>
      </c>
      <c r="AX35" s="323">
        <v>0</v>
      </c>
      <c r="AY35" s="323">
        <v>0</v>
      </c>
      <c r="AZ35" s="323">
        <v>0</v>
      </c>
      <c r="BA35" s="323">
        <v>0</v>
      </c>
      <c r="BB35" s="323">
        <v>0</v>
      </c>
      <c r="BC35" s="323">
        <v>0</v>
      </c>
      <c r="BD35" s="323">
        <v>0</v>
      </c>
      <c r="BE35" s="323">
        <v>0</v>
      </c>
      <c r="BF35" s="2" t="s">
        <v>520</v>
      </c>
      <c r="BG35" s="327">
        <v>1</v>
      </c>
      <c r="BH35" s="323">
        <v>0</v>
      </c>
      <c r="BI35" s="323">
        <v>3</v>
      </c>
      <c r="BJ35" s="323">
        <v>1</v>
      </c>
      <c r="BK35" s="323">
        <v>2</v>
      </c>
      <c r="BL35" s="323">
        <v>0</v>
      </c>
      <c r="BM35" s="323">
        <v>0</v>
      </c>
      <c r="BN35" s="323">
        <v>0</v>
      </c>
      <c r="BO35" s="323">
        <v>0</v>
      </c>
      <c r="BP35" s="323">
        <v>0</v>
      </c>
      <c r="BQ35" s="323">
        <v>0</v>
      </c>
      <c r="BR35" s="328">
        <v>0</v>
      </c>
      <c r="BS35" s="323">
        <v>7</v>
      </c>
      <c r="BT35" s="329">
        <v>1.2414965986394557</v>
      </c>
      <c r="BU35" s="330">
        <v>1.3035714285714286</v>
      </c>
      <c r="BV35" s="330">
        <v>1.183570527832823</v>
      </c>
      <c r="BW35" s="330">
        <v>0.88690898045965383</v>
      </c>
      <c r="BX35" s="330">
        <v>0.69616631699408738</v>
      </c>
      <c r="BY35" s="330">
        <v>0.67474581493273089</v>
      </c>
      <c r="BZ35" s="330">
        <v>0.68224299065420557</v>
      </c>
      <c r="CA35" s="330">
        <v>0.68797612502945116</v>
      </c>
      <c r="CB35" s="330">
        <v>0.68583752695902223</v>
      </c>
      <c r="CC35" s="330">
        <v>0.69115409693544883</v>
      </c>
      <c r="CD35" s="330">
        <v>0.69556571883078144</v>
      </c>
      <c r="CE35" s="331">
        <v>0.67289719626168232</v>
      </c>
      <c r="CF35" s="2"/>
      <c r="CG35" s="327">
        <v>11</v>
      </c>
      <c r="CH35" s="323">
        <v>14</v>
      </c>
      <c r="CI35" s="323">
        <v>10</v>
      </c>
      <c r="CJ35" s="323">
        <v>10</v>
      </c>
      <c r="CK35" s="323">
        <v>0</v>
      </c>
      <c r="CL35" s="323">
        <v>0</v>
      </c>
      <c r="CM35" s="323">
        <v>0</v>
      </c>
      <c r="CN35" s="323">
        <v>0</v>
      </c>
      <c r="CO35" s="323">
        <v>0</v>
      </c>
      <c r="CP35" s="323">
        <v>0</v>
      </c>
      <c r="CQ35" s="323">
        <v>0</v>
      </c>
      <c r="CR35" s="332">
        <v>0</v>
      </c>
      <c r="CS35" s="327">
        <v>0</v>
      </c>
      <c r="CT35" s="323">
        <v>0</v>
      </c>
      <c r="CU35" s="323">
        <v>0</v>
      </c>
      <c r="CV35" s="323">
        <v>0</v>
      </c>
      <c r="CW35" s="323">
        <v>0</v>
      </c>
      <c r="CX35" s="323">
        <v>0</v>
      </c>
      <c r="CY35" s="323">
        <v>0</v>
      </c>
      <c r="CZ35" s="323">
        <v>0</v>
      </c>
      <c r="DA35" s="323">
        <v>0</v>
      </c>
      <c r="DB35" s="323">
        <v>0</v>
      </c>
      <c r="DC35" s="323">
        <v>0</v>
      </c>
      <c r="DD35" s="328">
        <v>0</v>
      </c>
      <c r="DE35" s="4"/>
      <c r="DF35" s="416">
        <v>0</v>
      </c>
      <c r="DG35" s="417">
        <v>0</v>
      </c>
      <c r="DH35" s="417">
        <v>0</v>
      </c>
      <c r="DI35" s="417">
        <v>0</v>
      </c>
      <c r="DJ35" s="417">
        <v>0</v>
      </c>
      <c r="DK35" s="417">
        <v>0</v>
      </c>
      <c r="DL35" s="417">
        <v>0</v>
      </c>
      <c r="DM35" s="417">
        <v>0</v>
      </c>
      <c r="DN35" s="417">
        <v>0</v>
      </c>
      <c r="DO35" s="417">
        <v>0</v>
      </c>
      <c r="DP35" s="417">
        <v>0</v>
      </c>
      <c r="DQ35" s="417">
        <v>0</v>
      </c>
      <c r="DS35" s="327">
        <v>1</v>
      </c>
      <c r="DT35" s="323">
        <v>0</v>
      </c>
      <c r="DU35" s="323">
        <v>0</v>
      </c>
      <c r="DV35" s="323">
        <v>0</v>
      </c>
      <c r="DW35" s="323">
        <v>0</v>
      </c>
      <c r="DX35" s="323">
        <v>0</v>
      </c>
      <c r="DY35" s="323">
        <v>6</v>
      </c>
      <c r="DZ35" s="328">
        <v>7</v>
      </c>
      <c r="EA35" s="4"/>
      <c r="EB35" s="418" t="s">
        <v>208</v>
      </c>
      <c r="EC35" s="419" t="s">
        <v>360</v>
      </c>
      <c r="ED35" s="340" t="e">
        <v>#DIV/0!</v>
      </c>
      <c r="EE35" s="340" t="e">
        <v>#DIV/0!</v>
      </c>
      <c r="EF35" s="340" t="e">
        <v>#DIV/0!</v>
      </c>
      <c r="EG35" s="323">
        <v>0</v>
      </c>
      <c r="EH35" s="420"/>
      <c r="EI35" s="420">
        <v>0</v>
      </c>
      <c r="EJ35" s="421"/>
      <c r="EK35" s="323">
        <v>0</v>
      </c>
      <c r="EL35" s="323">
        <v>0</v>
      </c>
      <c r="EM35" s="323">
        <v>0</v>
      </c>
      <c r="EN35" s="323">
        <v>0</v>
      </c>
      <c r="EO35" s="323">
        <v>0</v>
      </c>
      <c r="EP35" s="323">
        <v>0</v>
      </c>
      <c r="EQ35" s="323">
        <v>0</v>
      </c>
      <c r="ER35" s="323">
        <v>0</v>
      </c>
      <c r="ES35" s="323">
        <v>0</v>
      </c>
      <c r="ET35" s="323">
        <v>0</v>
      </c>
      <c r="EU35" s="323">
        <v>0</v>
      </c>
      <c r="EV35" s="323">
        <v>0</v>
      </c>
      <c r="EW35" s="347" t="e">
        <v>#DIV/0!</v>
      </c>
      <c r="EX35" s="323">
        <v>0</v>
      </c>
      <c r="EY35" s="323">
        <v>0</v>
      </c>
      <c r="EZ35" s="323">
        <v>0</v>
      </c>
      <c r="FA35" s="323">
        <v>0</v>
      </c>
      <c r="FB35" s="323">
        <v>0</v>
      </c>
      <c r="FC35" s="323">
        <v>0</v>
      </c>
      <c r="FD35" s="323">
        <v>0</v>
      </c>
      <c r="FE35" s="323">
        <v>0</v>
      </c>
      <c r="FF35" s="323">
        <v>0</v>
      </c>
      <c r="FG35" s="323">
        <v>0</v>
      </c>
      <c r="FH35" s="323">
        <v>0</v>
      </c>
      <c r="FI35" s="323">
        <v>0</v>
      </c>
      <c r="FJ35" s="4"/>
      <c r="FK35" s="323">
        <v>0</v>
      </c>
      <c r="FL35" s="323">
        <v>0</v>
      </c>
      <c r="FM35" s="2"/>
      <c r="FN35" s="323">
        <v>0</v>
      </c>
      <c r="FO35" s="323">
        <v>0</v>
      </c>
      <c r="FP35" s="323">
        <v>0</v>
      </c>
      <c r="FR35" s="418" t="s">
        <v>208</v>
      </c>
      <c r="FS35" s="419" t="s">
        <v>360</v>
      </c>
      <c r="FT35" s="340">
        <v>0.69616631699408738</v>
      </c>
      <c r="FU35" s="340">
        <v>0.28037383177570097</v>
      </c>
      <c r="FV35" s="340">
        <v>0</v>
      </c>
      <c r="FW35" s="323">
        <v>6</v>
      </c>
      <c r="FX35" s="420"/>
      <c r="FY35" s="420">
        <v>14.897959183673468</v>
      </c>
      <c r="FZ35" s="421"/>
      <c r="GA35" s="323">
        <v>21</v>
      </c>
      <c r="GB35" s="323">
        <v>19</v>
      </c>
      <c r="GC35" s="323">
        <v>21</v>
      </c>
      <c r="GD35" s="323">
        <v>22</v>
      </c>
      <c r="GE35" s="323">
        <v>24</v>
      </c>
      <c r="GF35" s="323">
        <v>0</v>
      </c>
      <c r="GG35" s="323">
        <v>0</v>
      </c>
      <c r="GH35" s="323">
        <v>0</v>
      </c>
      <c r="GI35" s="323">
        <v>0</v>
      </c>
      <c r="GJ35" s="323">
        <v>0</v>
      </c>
      <c r="GK35" s="323">
        <v>0</v>
      </c>
      <c r="GL35" s="323">
        <v>0</v>
      </c>
      <c r="GM35" s="347">
        <v>21.4</v>
      </c>
      <c r="GN35" s="341">
        <v>24</v>
      </c>
      <c r="GO35" s="323">
        <v>0</v>
      </c>
      <c r="GP35" s="323">
        <v>0</v>
      </c>
      <c r="GQ35" s="323">
        <v>0</v>
      </c>
      <c r="GR35" s="323">
        <v>0</v>
      </c>
      <c r="GS35" s="323">
        <v>0</v>
      </c>
      <c r="GT35" s="323">
        <v>1</v>
      </c>
      <c r="GU35" s="323">
        <v>5</v>
      </c>
      <c r="GV35" s="323">
        <v>0</v>
      </c>
      <c r="GW35" s="323">
        <v>0</v>
      </c>
      <c r="GX35" s="323">
        <v>6</v>
      </c>
      <c r="GY35" s="323">
        <v>0</v>
      </c>
      <c r="GZ35" s="4"/>
      <c r="HA35" s="323">
        <v>24</v>
      </c>
      <c r="HB35" s="323">
        <v>0</v>
      </c>
      <c r="HC35" s="2"/>
      <c r="HD35" s="323">
        <v>5</v>
      </c>
      <c r="HE35" s="323">
        <v>1</v>
      </c>
      <c r="HF35" s="323">
        <v>0</v>
      </c>
      <c r="HH35">
        <v>1</v>
      </c>
      <c r="HI35">
        <v>5.2631578947368418E-2</v>
      </c>
      <c r="HJ35">
        <v>1</v>
      </c>
      <c r="HK35">
        <v>5.2631578947368418E-2</v>
      </c>
      <c r="HL35">
        <v>1</v>
      </c>
      <c r="HM35">
        <v>5.2631578947368418E-2</v>
      </c>
      <c r="HN35">
        <v>1</v>
      </c>
      <c r="HO35">
        <v>5.2631578947368418E-2</v>
      </c>
      <c r="HP35">
        <v>4</v>
      </c>
      <c r="HQ35">
        <v>0.21052631578947367</v>
      </c>
      <c r="HR35">
        <v>11</v>
      </c>
      <c r="HS35">
        <v>0.57894736842105265</v>
      </c>
      <c r="HT35">
        <v>8</v>
      </c>
      <c r="HU35">
        <v>0.42105263157894735</v>
      </c>
      <c r="HV35">
        <v>19</v>
      </c>
    </row>
    <row r="36" spans="1:230" x14ac:dyDescent="0.25">
      <c r="A36" t="s">
        <v>521</v>
      </c>
      <c r="B36" s="4">
        <v>1344</v>
      </c>
      <c r="C36" s="444" t="s">
        <v>281</v>
      </c>
      <c r="D36" s="418" t="s">
        <v>207</v>
      </c>
      <c r="E36" s="419" t="s">
        <v>521</v>
      </c>
      <c r="F36" s="340">
        <v>0</v>
      </c>
      <c r="G36" s="340">
        <v>0</v>
      </c>
      <c r="H36" s="340">
        <v>0</v>
      </c>
      <c r="I36" s="323">
        <v>0</v>
      </c>
      <c r="J36" s="420"/>
      <c r="K36" s="478">
        <v>0</v>
      </c>
      <c r="L36" s="421"/>
      <c r="M36" s="323">
        <v>3</v>
      </c>
      <c r="N36" s="323">
        <v>3</v>
      </c>
      <c r="O36" s="323">
        <v>3</v>
      </c>
      <c r="P36" s="323">
        <v>3</v>
      </c>
      <c r="Q36" s="323">
        <v>3</v>
      </c>
      <c r="R36" s="323">
        <v>0</v>
      </c>
      <c r="S36" s="323">
        <v>0</v>
      </c>
      <c r="T36" s="323">
        <v>0</v>
      </c>
      <c r="U36" s="323">
        <v>0</v>
      </c>
      <c r="V36" s="323">
        <v>0</v>
      </c>
      <c r="W36" s="323">
        <v>0</v>
      </c>
      <c r="X36" s="323">
        <v>0</v>
      </c>
      <c r="Y36" s="347">
        <v>3</v>
      </c>
      <c r="Z36" s="323">
        <v>3</v>
      </c>
      <c r="AA36" s="323">
        <v>0</v>
      </c>
      <c r="AB36" s="323">
        <v>0</v>
      </c>
      <c r="AC36" s="323">
        <v>0</v>
      </c>
      <c r="AD36" s="323">
        <v>0</v>
      </c>
      <c r="AE36" s="323">
        <v>0</v>
      </c>
      <c r="AF36" s="323">
        <v>0</v>
      </c>
      <c r="AG36" s="323">
        <v>0</v>
      </c>
      <c r="AH36" s="323">
        <v>0</v>
      </c>
      <c r="AI36" s="323">
        <v>0</v>
      </c>
      <c r="AJ36" s="323">
        <v>0</v>
      </c>
      <c r="AK36" s="328">
        <v>0</v>
      </c>
      <c r="AL36" s="4" t="s">
        <v>207</v>
      </c>
      <c r="AM36" s="327">
        <v>3</v>
      </c>
      <c r="AN36" s="328">
        <v>0</v>
      </c>
      <c r="AO36" s="2"/>
      <c r="AP36" s="323">
        <v>0</v>
      </c>
      <c r="AQ36" s="323">
        <v>0</v>
      </c>
      <c r="AR36" s="323">
        <v>0</v>
      </c>
      <c r="AS36" s="2"/>
      <c r="AT36" s="323">
        <v>0</v>
      </c>
      <c r="AU36" s="323">
        <v>0</v>
      </c>
      <c r="AV36" s="323">
        <v>0</v>
      </c>
      <c r="AW36" s="323">
        <v>0</v>
      </c>
      <c r="AX36" s="323">
        <v>0</v>
      </c>
      <c r="AY36" s="323">
        <v>0</v>
      </c>
      <c r="AZ36" s="323">
        <v>0</v>
      </c>
      <c r="BA36" s="323">
        <v>0</v>
      </c>
      <c r="BB36" s="323">
        <v>0</v>
      </c>
      <c r="BC36" s="323">
        <v>0</v>
      </c>
      <c r="BD36" s="323">
        <v>0</v>
      </c>
      <c r="BE36" s="323">
        <v>0</v>
      </c>
      <c r="BF36" s="2" t="s">
        <v>521</v>
      </c>
      <c r="BG36" s="327">
        <v>0</v>
      </c>
      <c r="BH36" s="323">
        <v>0</v>
      </c>
      <c r="BI36" s="323">
        <v>0</v>
      </c>
      <c r="BJ36" s="323">
        <v>0</v>
      </c>
      <c r="BK36" s="323">
        <v>0</v>
      </c>
      <c r="BL36" s="323">
        <v>0</v>
      </c>
      <c r="BM36" s="323">
        <v>0</v>
      </c>
      <c r="BN36" s="323">
        <v>0</v>
      </c>
      <c r="BO36" s="323">
        <v>0</v>
      </c>
      <c r="BP36" s="323">
        <v>0</v>
      </c>
      <c r="BQ36" s="323">
        <v>0</v>
      </c>
      <c r="BR36" s="328">
        <v>0</v>
      </c>
      <c r="BS36" s="323">
        <v>0</v>
      </c>
      <c r="BT36" s="329">
        <v>0</v>
      </c>
      <c r="BU36" s="330">
        <v>0</v>
      </c>
      <c r="BV36" s="330">
        <v>0</v>
      </c>
      <c r="BW36" s="330">
        <v>0</v>
      </c>
      <c r="BX36" s="330">
        <v>0</v>
      </c>
      <c r="BY36" s="330">
        <v>0</v>
      </c>
      <c r="BZ36" s="330">
        <v>0</v>
      </c>
      <c r="CA36" s="330">
        <v>0</v>
      </c>
      <c r="CB36" s="330">
        <v>0</v>
      </c>
      <c r="CC36" s="330">
        <v>0</v>
      </c>
      <c r="CD36" s="330">
        <v>0</v>
      </c>
      <c r="CE36" s="331">
        <v>0</v>
      </c>
      <c r="CF36" s="2"/>
      <c r="CG36" s="327">
        <v>1</v>
      </c>
      <c r="CH36" s="323">
        <v>1</v>
      </c>
      <c r="CI36" s="323">
        <v>1</v>
      </c>
      <c r="CJ36" s="323">
        <v>1</v>
      </c>
      <c r="CK36" s="323">
        <v>0</v>
      </c>
      <c r="CL36" s="323">
        <v>0</v>
      </c>
      <c r="CM36" s="323">
        <v>0</v>
      </c>
      <c r="CN36" s="323">
        <v>0</v>
      </c>
      <c r="CO36" s="323">
        <v>0</v>
      </c>
      <c r="CP36" s="323">
        <v>0</v>
      </c>
      <c r="CQ36" s="323">
        <v>0</v>
      </c>
      <c r="CR36" s="332">
        <v>0</v>
      </c>
      <c r="CS36" s="327">
        <v>0</v>
      </c>
      <c r="CT36" s="323">
        <v>0</v>
      </c>
      <c r="CU36" s="323">
        <v>0</v>
      </c>
      <c r="CV36" s="323">
        <v>0</v>
      </c>
      <c r="CW36" s="323">
        <v>0</v>
      </c>
      <c r="CX36" s="323">
        <v>0</v>
      </c>
      <c r="CY36" s="323">
        <v>0</v>
      </c>
      <c r="CZ36" s="323">
        <v>0</v>
      </c>
      <c r="DA36" s="323">
        <v>0</v>
      </c>
      <c r="DB36" s="323">
        <v>0</v>
      </c>
      <c r="DC36" s="323">
        <v>0</v>
      </c>
      <c r="DD36" s="328">
        <v>0</v>
      </c>
      <c r="DE36" s="4"/>
      <c r="DF36" s="416">
        <v>0</v>
      </c>
      <c r="DG36" s="417">
        <v>0</v>
      </c>
      <c r="DH36" s="417">
        <v>0</v>
      </c>
      <c r="DI36" s="417">
        <v>0</v>
      </c>
      <c r="DJ36" s="417">
        <v>0</v>
      </c>
      <c r="DK36" s="417">
        <v>0</v>
      </c>
      <c r="DL36" s="417">
        <v>0</v>
      </c>
      <c r="DM36" s="417">
        <v>0</v>
      </c>
      <c r="DN36" s="417">
        <v>0</v>
      </c>
      <c r="DO36" s="417">
        <v>0</v>
      </c>
      <c r="DP36" s="417">
        <v>0</v>
      </c>
      <c r="DQ36" s="417">
        <v>0</v>
      </c>
      <c r="DS36" s="327">
        <v>0</v>
      </c>
      <c r="DT36" s="323">
        <v>0</v>
      </c>
      <c r="DU36" s="323">
        <v>0</v>
      </c>
      <c r="DV36" s="323">
        <v>0</v>
      </c>
      <c r="DW36" s="323">
        <v>0</v>
      </c>
      <c r="DX36" s="323">
        <v>0</v>
      </c>
      <c r="DY36" s="323">
        <v>0</v>
      </c>
      <c r="DZ36" s="328">
        <v>0</v>
      </c>
      <c r="EA36" s="4"/>
      <c r="EB36" s="418" t="s">
        <v>207</v>
      </c>
      <c r="EC36" s="419" t="s">
        <v>362</v>
      </c>
      <c r="ED36" s="340" t="e">
        <v>#DIV/0!</v>
      </c>
      <c r="EE36" s="340" t="e">
        <v>#DIV/0!</v>
      </c>
      <c r="EF36" s="340" t="e">
        <v>#DIV/0!</v>
      </c>
      <c r="EG36" s="323">
        <v>0</v>
      </c>
      <c r="EH36" s="420"/>
      <c r="EI36" s="420">
        <v>0</v>
      </c>
      <c r="EJ36" s="421"/>
      <c r="EK36" s="323">
        <v>0</v>
      </c>
      <c r="EL36" s="323">
        <v>0</v>
      </c>
      <c r="EM36" s="323">
        <v>0</v>
      </c>
      <c r="EN36" s="323">
        <v>0</v>
      </c>
      <c r="EO36" s="323">
        <v>0</v>
      </c>
      <c r="EP36" s="323">
        <v>0</v>
      </c>
      <c r="EQ36" s="323">
        <v>0</v>
      </c>
      <c r="ER36" s="323">
        <v>0</v>
      </c>
      <c r="ES36" s="323">
        <v>0</v>
      </c>
      <c r="ET36" s="323">
        <v>0</v>
      </c>
      <c r="EU36" s="323">
        <v>0</v>
      </c>
      <c r="EV36" s="323">
        <v>0</v>
      </c>
      <c r="EW36" s="347" t="e">
        <v>#DIV/0!</v>
      </c>
      <c r="EX36" s="323">
        <v>0</v>
      </c>
      <c r="EY36" s="323">
        <v>0</v>
      </c>
      <c r="EZ36" s="323">
        <v>0</v>
      </c>
      <c r="FA36" s="323">
        <v>0</v>
      </c>
      <c r="FB36" s="323">
        <v>0</v>
      </c>
      <c r="FC36" s="323">
        <v>0</v>
      </c>
      <c r="FD36" s="323">
        <v>0</v>
      </c>
      <c r="FE36" s="323">
        <v>0</v>
      </c>
      <c r="FF36" s="323">
        <v>0</v>
      </c>
      <c r="FG36" s="323">
        <v>0</v>
      </c>
      <c r="FH36" s="323">
        <v>0</v>
      </c>
      <c r="FI36" s="323">
        <v>0</v>
      </c>
      <c r="FJ36" s="4"/>
      <c r="FK36" s="323">
        <v>0</v>
      </c>
      <c r="FL36" s="323">
        <v>0</v>
      </c>
      <c r="FM36" s="2"/>
      <c r="FN36" s="323">
        <v>0</v>
      </c>
      <c r="FO36" s="323">
        <v>0</v>
      </c>
      <c r="FP36" s="323">
        <v>0</v>
      </c>
      <c r="FR36" s="418" t="s">
        <v>207</v>
      </c>
      <c r="FS36" s="419" t="s">
        <v>362</v>
      </c>
      <c r="FT36" s="340">
        <v>0</v>
      </c>
      <c r="FU36" s="340">
        <v>0</v>
      </c>
      <c r="FV36" s="340">
        <v>0</v>
      </c>
      <c r="FW36" s="323">
        <v>0</v>
      </c>
      <c r="FX36" s="420"/>
      <c r="FY36" s="420">
        <v>0</v>
      </c>
      <c r="FZ36" s="421"/>
      <c r="GA36" s="323">
        <v>3</v>
      </c>
      <c r="GB36" s="323">
        <v>3</v>
      </c>
      <c r="GC36" s="323">
        <v>3</v>
      </c>
      <c r="GD36" s="323">
        <v>3</v>
      </c>
      <c r="GE36" s="323">
        <v>3</v>
      </c>
      <c r="GF36" s="323">
        <v>0</v>
      </c>
      <c r="GG36" s="323">
        <v>0</v>
      </c>
      <c r="GH36" s="323">
        <v>0</v>
      </c>
      <c r="GI36" s="323">
        <v>0</v>
      </c>
      <c r="GJ36" s="323">
        <v>0</v>
      </c>
      <c r="GK36" s="323">
        <v>0</v>
      </c>
      <c r="GL36" s="323">
        <v>0</v>
      </c>
      <c r="GM36" s="347">
        <v>3</v>
      </c>
      <c r="GN36" s="341">
        <v>3</v>
      </c>
      <c r="GO36" s="323">
        <v>0</v>
      </c>
      <c r="GP36" s="323">
        <v>0</v>
      </c>
      <c r="GQ36" s="323">
        <v>0</v>
      </c>
      <c r="GR36" s="323">
        <v>0</v>
      </c>
      <c r="GS36" s="323">
        <v>0</v>
      </c>
      <c r="GT36" s="323">
        <v>0</v>
      </c>
      <c r="GU36" s="323">
        <v>0</v>
      </c>
      <c r="GV36" s="323">
        <v>0</v>
      </c>
      <c r="GW36" s="323">
        <v>0</v>
      </c>
      <c r="GX36" s="323">
        <v>0</v>
      </c>
      <c r="GY36" s="323">
        <v>0</v>
      </c>
      <c r="GZ36" s="4"/>
      <c r="HA36" s="323">
        <v>3</v>
      </c>
      <c r="HB36" s="323">
        <v>0</v>
      </c>
      <c r="HC36" s="2"/>
      <c r="HD36" s="323">
        <v>0</v>
      </c>
      <c r="HE36" s="323">
        <v>0</v>
      </c>
      <c r="HF36" s="323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1</v>
      </c>
      <c r="HS36">
        <v>0.33333333333333331</v>
      </c>
      <c r="HT36">
        <v>2</v>
      </c>
      <c r="HU36">
        <v>0.66666666666666663</v>
      </c>
      <c r="HV36">
        <v>3</v>
      </c>
    </row>
    <row r="37" spans="1:230" x14ac:dyDescent="0.25">
      <c r="A37" t="s">
        <v>522</v>
      </c>
      <c r="B37" s="4">
        <v>3013</v>
      </c>
      <c r="C37" s="444" t="s">
        <v>255</v>
      </c>
      <c r="D37" s="418" t="s">
        <v>205</v>
      </c>
      <c r="E37" s="419" t="s">
        <v>522</v>
      </c>
      <c r="F37" s="340">
        <v>0.28215831787260354</v>
      </c>
      <c r="G37" s="340">
        <v>0.11363636363636363</v>
      </c>
      <c r="H37" s="340">
        <v>1.4204545454545454E-2</v>
      </c>
      <c r="I37" s="323">
        <v>8</v>
      </c>
      <c r="J37" s="420"/>
      <c r="K37" s="478">
        <v>19.863945578231291</v>
      </c>
      <c r="L37" s="421"/>
      <c r="M37" s="323">
        <v>73</v>
      </c>
      <c r="N37" s="323">
        <v>73</v>
      </c>
      <c r="O37" s="323">
        <v>69</v>
      </c>
      <c r="P37" s="323">
        <v>69</v>
      </c>
      <c r="Q37" s="323">
        <v>68</v>
      </c>
      <c r="R37" s="323">
        <v>0</v>
      </c>
      <c r="S37" s="323">
        <v>0</v>
      </c>
      <c r="T37" s="323">
        <v>0</v>
      </c>
      <c r="U37" s="323">
        <v>0</v>
      </c>
      <c r="V37" s="323">
        <v>0</v>
      </c>
      <c r="W37" s="323">
        <v>0</v>
      </c>
      <c r="X37" s="323">
        <v>0</v>
      </c>
      <c r="Y37" s="347">
        <v>70.400000000000006</v>
      </c>
      <c r="Z37" s="323">
        <v>68</v>
      </c>
      <c r="AA37" s="323">
        <v>0</v>
      </c>
      <c r="AB37" s="323">
        <v>0</v>
      </c>
      <c r="AC37" s="323">
        <v>1</v>
      </c>
      <c r="AD37" s="323">
        <v>0</v>
      </c>
      <c r="AE37" s="323">
        <v>0</v>
      </c>
      <c r="AF37" s="323">
        <v>0</v>
      </c>
      <c r="AG37" s="323">
        <v>7</v>
      </c>
      <c r="AH37" s="323">
        <v>0</v>
      </c>
      <c r="AI37" s="323">
        <v>0</v>
      </c>
      <c r="AJ37" s="323">
        <v>8</v>
      </c>
      <c r="AK37" s="328">
        <v>1</v>
      </c>
      <c r="AL37" s="4" t="s">
        <v>205</v>
      </c>
      <c r="AM37" s="327">
        <v>62</v>
      </c>
      <c r="AN37" s="328">
        <v>6</v>
      </c>
      <c r="AO37" s="2"/>
      <c r="AP37" s="323">
        <v>7</v>
      </c>
      <c r="AQ37" s="323">
        <v>1</v>
      </c>
      <c r="AR37" s="323">
        <v>0</v>
      </c>
      <c r="AS37" s="2"/>
      <c r="AT37" s="323">
        <v>3</v>
      </c>
      <c r="AU37" s="323">
        <v>0</v>
      </c>
      <c r="AV37" s="323">
        <v>4</v>
      </c>
      <c r="AW37" s="323">
        <v>0</v>
      </c>
      <c r="AX37" s="323">
        <v>1</v>
      </c>
      <c r="AY37" s="323">
        <v>0</v>
      </c>
      <c r="AZ37" s="323">
        <v>0</v>
      </c>
      <c r="BA37" s="323">
        <v>0</v>
      </c>
      <c r="BB37" s="323">
        <v>0</v>
      </c>
      <c r="BC37" s="323">
        <v>0</v>
      </c>
      <c r="BD37" s="323">
        <v>0</v>
      </c>
      <c r="BE37" s="323">
        <v>0</v>
      </c>
      <c r="BF37" s="2" t="s">
        <v>522</v>
      </c>
      <c r="BG37" s="327">
        <v>0</v>
      </c>
      <c r="BH37" s="323">
        <v>0</v>
      </c>
      <c r="BI37" s="323">
        <v>0</v>
      </c>
      <c r="BJ37" s="323">
        <v>0</v>
      </c>
      <c r="BK37" s="323">
        <v>1</v>
      </c>
      <c r="BL37" s="323">
        <v>0</v>
      </c>
      <c r="BM37" s="323">
        <v>0</v>
      </c>
      <c r="BN37" s="323">
        <v>0</v>
      </c>
      <c r="BO37" s="323">
        <v>0</v>
      </c>
      <c r="BP37" s="323">
        <v>0</v>
      </c>
      <c r="BQ37" s="323">
        <v>0</v>
      </c>
      <c r="BR37" s="328">
        <v>0</v>
      </c>
      <c r="BS37" s="323">
        <v>1</v>
      </c>
      <c r="BT37" s="329">
        <v>0.5357142857142857</v>
      </c>
      <c r="BU37" s="330">
        <v>0.2678571428571429</v>
      </c>
      <c r="BV37" s="330">
        <v>0.39177101967799638</v>
      </c>
      <c r="BW37" s="330">
        <v>0.30240265120132565</v>
      </c>
      <c r="BX37" s="330">
        <v>0.28215831787260354</v>
      </c>
      <c r="BY37" s="330">
        <v>0.27347652347652346</v>
      </c>
      <c r="BZ37" s="330">
        <v>0.27651515151515155</v>
      </c>
      <c r="CA37" s="330">
        <v>0.278838808250573</v>
      </c>
      <c r="CB37" s="330">
        <v>0.27797202797202797</v>
      </c>
      <c r="CC37" s="330">
        <v>0.28012684989429171</v>
      </c>
      <c r="CD37" s="330">
        <v>0.28191489361702127</v>
      </c>
      <c r="CE37" s="331">
        <v>0.27272727272727276</v>
      </c>
      <c r="CF37" s="2"/>
      <c r="CG37" s="327">
        <v>1</v>
      </c>
      <c r="CH37" s="323">
        <v>1</v>
      </c>
      <c r="CI37" s="323">
        <v>5</v>
      </c>
      <c r="CJ37" s="323">
        <v>4</v>
      </c>
      <c r="CK37" s="323">
        <v>0</v>
      </c>
      <c r="CL37" s="323">
        <v>0</v>
      </c>
      <c r="CM37" s="323">
        <v>0</v>
      </c>
      <c r="CN37" s="323">
        <v>0</v>
      </c>
      <c r="CO37" s="323">
        <v>0</v>
      </c>
      <c r="CP37" s="323">
        <v>0</v>
      </c>
      <c r="CQ37" s="323">
        <v>0</v>
      </c>
      <c r="CR37" s="332">
        <v>0</v>
      </c>
      <c r="CS37" s="327">
        <v>0</v>
      </c>
      <c r="CT37" s="323">
        <v>0</v>
      </c>
      <c r="CU37" s="323">
        <v>0</v>
      </c>
      <c r="CV37" s="323">
        <v>0</v>
      </c>
      <c r="CW37" s="323">
        <v>0</v>
      </c>
      <c r="CX37" s="323">
        <v>0</v>
      </c>
      <c r="CY37" s="323">
        <v>0</v>
      </c>
      <c r="CZ37" s="323">
        <v>0</v>
      </c>
      <c r="DA37" s="323">
        <v>0</v>
      </c>
      <c r="DB37" s="323">
        <v>0</v>
      </c>
      <c r="DC37" s="323">
        <v>0</v>
      </c>
      <c r="DD37" s="328">
        <v>0</v>
      </c>
      <c r="DE37" s="4"/>
      <c r="DF37" s="416">
        <v>0</v>
      </c>
      <c r="DG37" s="417">
        <v>0</v>
      </c>
      <c r="DH37" s="417">
        <v>0</v>
      </c>
      <c r="DI37" s="417">
        <v>0</v>
      </c>
      <c r="DJ37" s="417">
        <v>0</v>
      </c>
      <c r="DK37" s="417">
        <v>0</v>
      </c>
      <c r="DL37" s="417">
        <v>0</v>
      </c>
      <c r="DM37" s="417">
        <v>0</v>
      </c>
      <c r="DN37" s="417">
        <v>0</v>
      </c>
      <c r="DO37" s="417">
        <v>0</v>
      </c>
      <c r="DP37" s="417">
        <v>0</v>
      </c>
      <c r="DQ37" s="417">
        <v>0</v>
      </c>
      <c r="DS37" s="327">
        <v>0</v>
      </c>
      <c r="DT37" s="323">
        <v>0</v>
      </c>
      <c r="DU37" s="323">
        <v>0</v>
      </c>
      <c r="DV37" s="323">
        <v>0</v>
      </c>
      <c r="DW37" s="323">
        <v>0</v>
      </c>
      <c r="DX37" s="323">
        <v>0</v>
      </c>
      <c r="DY37" s="323">
        <v>1</v>
      </c>
      <c r="DZ37" s="328">
        <v>1</v>
      </c>
      <c r="EA37" s="4"/>
      <c r="EB37" s="418" t="s">
        <v>205</v>
      </c>
      <c r="EC37" s="419" t="s">
        <v>364</v>
      </c>
      <c r="ED37" s="340">
        <v>0.28215831787260354</v>
      </c>
      <c r="EE37" s="340">
        <v>0.11363636363636363</v>
      </c>
      <c r="EF37" s="340">
        <v>1.4204545454545454E-2</v>
      </c>
      <c r="EG37" s="323">
        <v>8</v>
      </c>
      <c r="EH37" s="420"/>
      <c r="EI37" s="420">
        <v>19.863945578231291</v>
      </c>
      <c r="EJ37" s="421"/>
      <c r="EK37" s="323">
        <v>73</v>
      </c>
      <c r="EL37" s="323">
        <v>73</v>
      </c>
      <c r="EM37" s="323">
        <v>69</v>
      </c>
      <c r="EN37" s="323">
        <v>69</v>
      </c>
      <c r="EO37" s="323">
        <v>68</v>
      </c>
      <c r="EP37" s="323">
        <v>0</v>
      </c>
      <c r="EQ37" s="323">
        <v>0</v>
      </c>
      <c r="ER37" s="323">
        <v>0</v>
      </c>
      <c r="ES37" s="323">
        <v>0</v>
      </c>
      <c r="ET37" s="323">
        <v>0</v>
      </c>
      <c r="EU37" s="323">
        <v>0</v>
      </c>
      <c r="EV37" s="323">
        <v>0</v>
      </c>
      <c r="EW37" s="347">
        <v>70.400000000000006</v>
      </c>
      <c r="EX37" s="323">
        <v>68</v>
      </c>
      <c r="EY37" s="323">
        <v>0</v>
      </c>
      <c r="EZ37" s="323">
        <v>0</v>
      </c>
      <c r="FA37" s="323">
        <v>1</v>
      </c>
      <c r="FB37" s="323">
        <v>0</v>
      </c>
      <c r="FC37" s="323">
        <v>0</v>
      </c>
      <c r="FD37" s="323">
        <v>0</v>
      </c>
      <c r="FE37" s="323">
        <v>7</v>
      </c>
      <c r="FF37" s="323">
        <v>0</v>
      </c>
      <c r="FG37" s="323">
        <v>0</v>
      </c>
      <c r="FH37" s="323">
        <v>8</v>
      </c>
      <c r="FI37" s="323">
        <v>1</v>
      </c>
      <c r="FJ37" s="4"/>
      <c r="FK37" s="323">
        <v>62</v>
      </c>
      <c r="FL37" s="323">
        <v>6</v>
      </c>
      <c r="FM37" s="2"/>
      <c r="FN37" s="323">
        <v>7</v>
      </c>
      <c r="FO37" s="323">
        <v>1</v>
      </c>
      <c r="FP37" s="323">
        <v>0</v>
      </c>
      <c r="FR37" s="418" t="s">
        <v>205</v>
      </c>
      <c r="FS37" s="419" t="s">
        <v>364</v>
      </c>
      <c r="FT37" s="340" t="e">
        <v>#DIV/0!</v>
      </c>
      <c r="FU37" s="340" t="e">
        <v>#DIV/0!</v>
      </c>
      <c r="FV37" s="340" t="e">
        <v>#DIV/0!</v>
      </c>
      <c r="FW37" s="323">
        <v>0</v>
      </c>
      <c r="FX37" s="420"/>
      <c r="FY37" s="420">
        <v>0</v>
      </c>
      <c r="FZ37" s="421"/>
      <c r="GA37" s="323">
        <v>0</v>
      </c>
      <c r="GB37" s="323">
        <v>0</v>
      </c>
      <c r="GC37" s="323">
        <v>0</v>
      </c>
      <c r="GD37" s="323">
        <v>0</v>
      </c>
      <c r="GE37" s="323">
        <v>0</v>
      </c>
      <c r="GF37" s="323">
        <v>0</v>
      </c>
      <c r="GG37" s="323">
        <v>0</v>
      </c>
      <c r="GH37" s="323">
        <v>0</v>
      </c>
      <c r="GI37" s="323">
        <v>0</v>
      </c>
      <c r="GJ37" s="323">
        <v>0</v>
      </c>
      <c r="GK37" s="323">
        <v>0</v>
      </c>
      <c r="GL37" s="323">
        <v>0</v>
      </c>
      <c r="GM37" s="347" t="e">
        <v>#DIV/0!</v>
      </c>
      <c r="GN37" s="341">
        <v>0</v>
      </c>
      <c r="GO37" s="323">
        <v>0</v>
      </c>
      <c r="GP37" s="323">
        <v>0</v>
      </c>
      <c r="GQ37" s="323">
        <v>0</v>
      </c>
      <c r="GR37" s="323">
        <v>0</v>
      </c>
      <c r="GS37" s="323">
        <v>0</v>
      </c>
      <c r="GT37" s="323">
        <v>0</v>
      </c>
      <c r="GU37" s="323">
        <v>0</v>
      </c>
      <c r="GV37" s="323">
        <v>0</v>
      </c>
      <c r="GW37" s="323">
        <v>0</v>
      </c>
      <c r="GX37" s="323">
        <v>0</v>
      </c>
      <c r="GY37" s="323">
        <v>0</v>
      </c>
      <c r="GZ37" s="4"/>
      <c r="HA37" s="323">
        <v>0</v>
      </c>
      <c r="HB37" s="323">
        <v>0</v>
      </c>
      <c r="HC37" s="2"/>
      <c r="HD37" s="323">
        <v>0</v>
      </c>
      <c r="HE37" s="323">
        <v>0</v>
      </c>
      <c r="HF37" s="323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1</v>
      </c>
      <c r="HS37">
        <v>1.0752688172043012E-2</v>
      </c>
      <c r="HT37">
        <v>92</v>
      </c>
      <c r="HU37">
        <v>0.989247311827957</v>
      </c>
      <c r="HV37">
        <v>93</v>
      </c>
    </row>
    <row r="38" spans="1:230" x14ac:dyDescent="0.25">
      <c r="A38" t="s">
        <v>523</v>
      </c>
      <c r="B38" s="4">
        <v>3048</v>
      </c>
      <c r="C38" s="444" t="s">
        <v>223</v>
      </c>
      <c r="D38" s="418" t="s">
        <v>205</v>
      </c>
      <c r="E38" s="419" t="s">
        <v>523</v>
      </c>
      <c r="F38" s="340">
        <v>0.5295483122158815</v>
      </c>
      <c r="G38" s="340">
        <v>0.21327014218009477</v>
      </c>
      <c r="H38" s="340">
        <v>2.3696682464454975E-2</v>
      </c>
      <c r="I38" s="323">
        <v>9</v>
      </c>
      <c r="J38" s="420"/>
      <c r="K38" s="478">
        <v>22.346938775510203</v>
      </c>
      <c r="L38" s="421"/>
      <c r="M38" s="323">
        <v>42</v>
      </c>
      <c r="N38" s="323">
        <v>42</v>
      </c>
      <c r="O38" s="323">
        <v>43</v>
      </c>
      <c r="P38" s="323">
        <v>42</v>
      </c>
      <c r="Q38" s="323">
        <v>42</v>
      </c>
      <c r="R38" s="323">
        <v>0</v>
      </c>
      <c r="S38" s="323">
        <v>0</v>
      </c>
      <c r="T38" s="323">
        <v>0</v>
      </c>
      <c r="U38" s="323">
        <v>0</v>
      </c>
      <c r="V38" s="323">
        <v>0</v>
      </c>
      <c r="W38" s="323">
        <v>0</v>
      </c>
      <c r="X38" s="323">
        <v>0</v>
      </c>
      <c r="Y38" s="347">
        <v>42.2</v>
      </c>
      <c r="Z38" s="323">
        <v>42</v>
      </c>
      <c r="AA38" s="323">
        <v>0</v>
      </c>
      <c r="AB38" s="323">
        <v>0</v>
      </c>
      <c r="AC38" s="323">
        <v>0</v>
      </c>
      <c r="AD38" s="323">
        <v>0</v>
      </c>
      <c r="AE38" s="323">
        <v>1</v>
      </c>
      <c r="AF38" s="323">
        <v>0</v>
      </c>
      <c r="AG38" s="323">
        <v>8</v>
      </c>
      <c r="AH38" s="323">
        <v>0</v>
      </c>
      <c r="AI38" s="323">
        <v>0</v>
      </c>
      <c r="AJ38" s="323">
        <v>9</v>
      </c>
      <c r="AK38" s="328">
        <v>1</v>
      </c>
      <c r="AL38" s="4" t="s">
        <v>205</v>
      </c>
      <c r="AM38" s="327">
        <v>36</v>
      </c>
      <c r="AN38" s="328">
        <v>6</v>
      </c>
      <c r="AO38" s="2"/>
      <c r="AP38" s="323">
        <v>9</v>
      </c>
      <c r="AQ38" s="323">
        <v>0</v>
      </c>
      <c r="AR38" s="323">
        <v>0</v>
      </c>
      <c r="AS38" s="2"/>
      <c r="AT38" s="323">
        <v>4</v>
      </c>
      <c r="AU38" s="323">
        <v>2</v>
      </c>
      <c r="AV38" s="323">
        <v>1</v>
      </c>
      <c r="AW38" s="323">
        <v>1</v>
      </c>
      <c r="AX38" s="323">
        <v>1</v>
      </c>
      <c r="AY38" s="323">
        <v>0</v>
      </c>
      <c r="AZ38" s="323">
        <v>0</v>
      </c>
      <c r="BA38" s="323">
        <v>0</v>
      </c>
      <c r="BB38" s="323">
        <v>0</v>
      </c>
      <c r="BC38" s="323">
        <v>0</v>
      </c>
      <c r="BD38" s="323">
        <v>0</v>
      </c>
      <c r="BE38" s="323">
        <v>0</v>
      </c>
      <c r="BF38" s="2" t="s">
        <v>523</v>
      </c>
      <c r="BG38" s="327">
        <v>2</v>
      </c>
      <c r="BH38" s="323">
        <v>2</v>
      </c>
      <c r="BI38" s="323">
        <v>1</v>
      </c>
      <c r="BJ38" s="323">
        <v>1</v>
      </c>
      <c r="BK38" s="323">
        <v>1</v>
      </c>
      <c r="BL38" s="323">
        <v>0</v>
      </c>
      <c r="BM38" s="323">
        <v>0</v>
      </c>
      <c r="BN38" s="323">
        <v>0</v>
      </c>
      <c r="BO38" s="323">
        <v>0</v>
      </c>
      <c r="BP38" s="323">
        <v>0</v>
      </c>
      <c r="BQ38" s="323">
        <v>0</v>
      </c>
      <c r="BR38" s="328">
        <v>0</v>
      </c>
      <c r="BS38" s="323">
        <v>7</v>
      </c>
      <c r="BT38" s="329">
        <v>1.2414965986394557</v>
      </c>
      <c r="BU38" s="330">
        <v>0.93112244897959195</v>
      </c>
      <c r="BV38" s="330">
        <v>0.66323440339188366</v>
      </c>
      <c r="BW38" s="330">
        <v>0.58077668937397453</v>
      </c>
      <c r="BX38" s="330">
        <v>0.52954831221588161</v>
      </c>
      <c r="BY38" s="330">
        <v>0.51325451799385446</v>
      </c>
      <c r="BZ38" s="330">
        <v>0.51895734597156395</v>
      </c>
      <c r="CA38" s="330">
        <v>0.52331833207216538</v>
      </c>
      <c r="CB38" s="330">
        <v>0.52169157856361659</v>
      </c>
      <c r="CC38" s="330">
        <v>0.5257356993276755</v>
      </c>
      <c r="CD38" s="330">
        <v>0.52909145911061806</v>
      </c>
      <c r="CE38" s="331">
        <v>0.51184834123222755</v>
      </c>
      <c r="CF38" s="2"/>
      <c r="CG38" s="327">
        <v>11</v>
      </c>
      <c r="CH38" s="323">
        <v>10</v>
      </c>
      <c r="CI38" s="323">
        <v>13</v>
      </c>
      <c r="CJ38" s="323">
        <v>12</v>
      </c>
      <c r="CK38" s="323">
        <v>0</v>
      </c>
      <c r="CL38" s="323">
        <v>0</v>
      </c>
      <c r="CM38" s="323">
        <v>0</v>
      </c>
      <c r="CN38" s="323">
        <v>0</v>
      </c>
      <c r="CO38" s="323">
        <v>0</v>
      </c>
      <c r="CP38" s="323">
        <v>0</v>
      </c>
      <c r="CQ38" s="323">
        <v>0</v>
      </c>
      <c r="CR38" s="332">
        <v>0</v>
      </c>
      <c r="CS38" s="327">
        <v>0</v>
      </c>
      <c r="CT38" s="323">
        <v>0</v>
      </c>
      <c r="CU38" s="323">
        <v>0</v>
      </c>
      <c r="CV38" s="323">
        <v>0</v>
      </c>
      <c r="CW38" s="323">
        <v>0</v>
      </c>
      <c r="CX38" s="323">
        <v>0</v>
      </c>
      <c r="CY38" s="323">
        <v>0</v>
      </c>
      <c r="CZ38" s="323">
        <v>0</v>
      </c>
      <c r="DA38" s="323">
        <v>0</v>
      </c>
      <c r="DB38" s="323">
        <v>0</v>
      </c>
      <c r="DC38" s="323">
        <v>0</v>
      </c>
      <c r="DD38" s="328">
        <v>0</v>
      </c>
      <c r="DE38" s="4"/>
      <c r="DF38" s="416">
        <v>0</v>
      </c>
      <c r="DG38" s="417">
        <v>0</v>
      </c>
      <c r="DH38" s="417">
        <v>0</v>
      </c>
      <c r="DI38" s="417">
        <v>0</v>
      </c>
      <c r="DJ38" s="417">
        <v>0</v>
      </c>
      <c r="DK38" s="417">
        <v>0</v>
      </c>
      <c r="DL38" s="417">
        <v>0</v>
      </c>
      <c r="DM38" s="417">
        <v>0</v>
      </c>
      <c r="DN38" s="417">
        <v>0</v>
      </c>
      <c r="DO38" s="417">
        <v>0</v>
      </c>
      <c r="DP38" s="417">
        <v>0</v>
      </c>
      <c r="DQ38" s="417">
        <v>0</v>
      </c>
      <c r="DS38" s="327">
        <v>3</v>
      </c>
      <c r="DT38" s="323">
        <v>0</v>
      </c>
      <c r="DU38" s="323">
        <v>0</v>
      </c>
      <c r="DV38" s="323">
        <v>0</v>
      </c>
      <c r="DW38" s="323">
        <v>0</v>
      </c>
      <c r="DX38" s="323">
        <v>0</v>
      </c>
      <c r="DY38" s="323">
        <v>4</v>
      </c>
      <c r="DZ38" s="328">
        <v>7</v>
      </c>
      <c r="EA38" s="4"/>
      <c r="EB38" s="418" t="s">
        <v>205</v>
      </c>
      <c r="EC38" s="419" t="s">
        <v>366</v>
      </c>
      <c r="ED38" s="340">
        <v>0.5295483122158815</v>
      </c>
      <c r="EE38" s="340">
        <v>0.21327014218009477</v>
      </c>
      <c r="EF38" s="340">
        <v>2.3696682464454975E-2</v>
      </c>
      <c r="EG38" s="323">
        <v>9</v>
      </c>
      <c r="EH38" s="420"/>
      <c r="EI38" s="420">
        <v>22.346938775510203</v>
      </c>
      <c r="EJ38" s="421"/>
      <c r="EK38" s="323">
        <v>42</v>
      </c>
      <c r="EL38" s="323">
        <v>42</v>
      </c>
      <c r="EM38" s="323">
        <v>43</v>
      </c>
      <c r="EN38" s="323">
        <v>42</v>
      </c>
      <c r="EO38" s="323">
        <v>42</v>
      </c>
      <c r="EP38" s="323">
        <v>0</v>
      </c>
      <c r="EQ38" s="323">
        <v>0</v>
      </c>
      <c r="ER38" s="323">
        <v>0</v>
      </c>
      <c r="ES38" s="323">
        <v>0</v>
      </c>
      <c r="ET38" s="323">
        <v>0</v>
      </c>
      <c r="EU38" s="323">
        <v>0</v>
      </c>
      <c r="EV38" s="323">
        <v>0</v>
      </c>
      <c r="EW38" s="347">
        <v>42.2</v>
      </c>
      <c r="EX38" s="323">
        <v>42</v>
      </c>
      <c r="EY38" s="323">
        <v>0</v>
      </c>
      <c r="EZ38" s="323">
        <v>0</v>
      </c>
      <c r="FA38" s="323">
        <v>0</v>
      </c>
      <c r="FB38" s="323">
        <v>0</v>
      </c>
      <c r="FC38" s="323">
        <v>1</v>
      </c>
      <c r="FD38" s="323">
        <v>0</v>
      </c>
      <c r="FE38" s="323">
        <v>8</v>
      </c>
      <c r="FF38" s="323">
        <v>0</v>
      </c>
      <c r="FG38" s="323">
        <v>0</v>
      </c>
      <c r="FH38" s="323">
        <v>9</v>
      </c>
      <c r="FI38" s="323">
        <v>1</v>
      </c>
      <c r="FJ38" s="4"/>
      <c r="FK38" s="323">
        <v>36</v>
      </c>
      <c r="FL38" s="323">
        <v>6</v>
      </c>
      <c r="FM38" s="2"/>
      <c r="FN38" s="323">
        <v>9</v>
      </c>
      <c r="FO38" s="323">
        <v>0</v>
      </c>
      <c r="FP38" s="323">
        <v>0</v>
      </c>
      <c r="FR38" s="418" t="s">
        <v>205</v>
      </c>
      <c r="FS38" s="419" t="s">
        <v>366</v>
      </c>
      <c r="FT38" s="340" t="e">
        <v>#DIV/0!</v>
      </c>
      <c r="FU38" s="340" t="e">
        <v>#DIV/0!</v>
      </c>
      <c r="FV38" s="340" t="e">
        <v>#DIV/0!</v>
      </c>
      <c r="FW38" s="323">
        <v>0</v>
      </c>
      <c r="FX38" s="420"/>
      <c r="FY38" s="420">
        <v>0</v>
      </c>
      <c r="FZ38" s="421"/>
      <c r="GA38" s="323">
        <v>0</v>
      </c>
      <c r="GB38" s="323">
        <v>0</v>
      </c>
      <c r="GC38" s="323">
        <v>0</v>
      </c>
      <c r="GD38" s="323">
        <v>0</v>
      </c>
      <c r="GE38" s="323">
        <v>0</v>
      </c>
      <c r="GF38" s="323">
        <v>0</v>
      </c>
      <c r="GG38" s="323">
        <v>0</v>
      </c>
      <c r="GH38" s="323">
        <v>0</v>
      </c>
      <c r="GI38" s="323">
        <v>0</v>
      </c>
      <c r="GJ38" s="323">
        <v>0</v>
      </c>
      <c r="GK38" s="323">
        <v>0</v>
      </c>
      <c r="GL38" s="323">
        <v>0</v>
      </c>
      <c r="GM38" s="347" t="e">
        <v>#DIV/0!</v>
      </c>
      <c r="GN38" s="341">
        <v>0</v>
      </c>
      <c r="GO38" s="323">
        <v>0</v>
      </c>
      <c r="GP38" s="323">
        <v>0</v>
      </c>
      <c r="GQ38" s="323">
        <v>0</v>
      </c>
      <c r="GR38" s="323">
        <v>0</v>
      </c>
      <c r="GS38" s="323">
        <v>0</v>
      </c>
      <c r="GT38" s="323">
        <v>0</v>
      </c>
      <c r="GU38" s="323">
        <v>0</v>
      </c>
      <c r="GV38" s="323">
        <v>0</v>
      </c>
      <c r="GW38" s="323">
        <v>0</v>
      </c>
      <c r="GX38" s="323">
        <v>0</v>
      </c>
      <c r="GY38" s="323">
        <v>0</v>
      </c>
      <c r="GZ38" s="4"/>
      <c r="HA38" s="323">
        <v>0</v>
      </c>
      <c r="HB38" s="323">
        <v>0</v>
      </c>
      <c r="HC38" s="2"/>
      <c r="HD38" s="323">
        <v>0</v>
      </c>
      <c r="HE38" s="323">
        <v>0</v>
      </c>
      <c r="HF38" s="323">
        <v>0</v>
      </c>
      <c r="HH38">
        <v>0</v>
      </c>
      <c r="HI38">
        <v>0</v>
      </c>
      <c r="HJ38">
        <v>0</v>
      </c>
      <c r="HK38">
        <v>0</v>
      </c>
      <c r="HL38">
        <v>1</v>
      </c>
      <c r="HM38">
        <v>2.3255813953488372E-2</v>
      </c>
      <c r="HN38">
        <v>2</v>
      </c>
      <c r="HO38">
        <v>4.6511627906976744E-2</v>
      </c>
      <c r="HP38">
        <v>4</v>
      </c>
      <c r="HQ38">
        <v>9.3023255813953487E-2</v>
      </c>
      <c r="HR38">
        <v>11</v>
      </c>
      <c r="HS38">
        <v>0.2558139534883721</v>
      </c>
      <c r="HT38">
        <v>32</v>
      </c>
      <c r="HU38">
        <v>0.7441860465116279</v>
      </c>
      <c r="HV38">
        <v>43</v>
      </c>
    </row>
    <row r="39" spans="1:230" x14ac:dyDescent="0.25">
      <c r="A39" t="s">
        <v>524</v>
      </c>
      <c r="B39" s="4">
        <v>3049</v>
      </c>
      <c r="C39" s="444" t="s">
        <v>225</v>
      </c>
      <c r="D39" s="418" t="s">
        <v>208</v>
      </c>
      <c r="E39" s="419" t="s">
        <v>524</v>
      </c>
      <c r="F39" s="340">
        <v>0.49265738041248247</v>
      </c>
      <c r="G39" s="340">
        <v>0.19841269841269843</v>
      </c>
      <c r="H39" s="340">
        <v>2.6455026455026457E-2</v>
      </c>
      <c r="I39" s="323">
        <v>15</v>
      </c>
      <c r="J39" s="420"/>
      <c r="K39" s="478">
        <v>37.244897959183675</v>
      </c>
      <c r="L39" s="421"/>
      <c r="M39" s="323">
        <v>71</v>
      </c>
      <c r="N39" s="323">
        <v>76</v>
      </c>
      <c r="O39" s="323">
        <v>78</v>
      </c>
      <c r="P39" s="323">
        <v>76</v>
      </c>
      <c r="Q39" s="323">
        <v>77</v>
      </c>
      <c r="R39" s="323">
        <v>0</v>
      </c>
      <c r="S39" s="323">
        <v>0</v>
      </c>
      <c r="T39" s="323">
        <v>0</v>
      </c>
      <c r="U39" s="323">
        <v>0</v>
      </c>
      <c r="V39" s="323">
        <v>0</v>
      </c>
      <c r="W39" s="323">
        <v>0</v>
      </c>
      <c r="X39" s="323">
        <v>0</v>
      </c>
      <c r="Y39" s="347">
        <v>75.599999999999994</v>
      </c>
      <c r="Z39" s="323">
        <v>77</v>
      </c>
      <c r="AA39" s="323">
        <v>0</v>
      </c>
      <c r="AB39" s="323">
        <v>4</v>
      </c>
      <c r="AC39" s="323">
        <v>0</v>
      </c>
      <c r="AD39" s="323">
        <v>0</v>
      </c>
      <c r="AE39" s="323">
        <v>0</v>
      </c>
      <c r="AF39" s="323">
        <v>0</v>
      </c>
      <c r="AG39" s="323">
        <v>11</v>
      </c>
      <c r="AH39" s="323">
        <v>0</v>
      </c>
      <c r="AI39" s="323">
        <v>0</v>
      </c>
      <c r="AJ39" s="323">
        <v>15</v>
      </c>
      <c r="AK39" s="328">
        <v>2</v>
      </c>
      <c r="AL39" s="4" t="s">
        <v>208</v>
      </c>
      <c r="AM39" s="327">
        <v>66</v>
      </c>
      <c r="AN39" s="328">
        <v>11</v>
      </c>
      <c r="AO39" s="2"/>
      <c r="AP39" s="323">
        <v>15</v>
      </c>
      <c r="AQ39" s="323">
        <v>0</v>
      </c>
      <c r="AR39" s="323">
        <v>0</v>
      </c>
      <c r="AS39" s="2"/>
      <c r="AT39" s="323">
        <v>3</v>
      </c>
      <c r="AU39" s="323">
        <v>0</v>
      </c>
      <c r="AV39" s="323">
        <v>2</v>
      </c>
      <c r="AW39" s="323">
        <v>8</v>
      </c>
      <c r="AX39" s="323">
        <v>2</v>
      </c>
      <c r="AY39" s="323">
        <v>0</v>
      </c>
      <c r="AZ39" s="323">
        <v>0</v>
      </c>
      <c r="BA39" s="323">
        <v>0</v>
      </c>
      <c r="BB39" s="323">
        <v>0</v>
      </c>
      <c r="BC39" s="323">
        <v>0</v>
      </c>
      <c r="BD39" s="323">
        <v>0</v>
      </c>
      <c r="BE39" s="323">
        <v>0</v>
      </c>
      <c r="BF39" s="2" t="s">
        <v>524</v>
      </c>
      <c r="BG39" s="327">
        <v>2</v>
      </c>
      <c r="BH39" s="323">
        <v>5</v>
      </c>
      <c r="BI39" s="323">
        <v>2</v>
      </c>
      <c r="BJ39" s="323">
        <v>6</v>
      </c>
      <c r="BK39" s="323">
        <v>3</v>
      </c>
      <c r="BL39" s="323">
        <v>0</v>
      </c>
      <c r="BM39" s="323">
        <v>0</v>
      </c>
      <c r="BN39" s="323">
        <v>0</v>
      </c>
      <c r="BO39" s="323">
        <v>0</v>
      </c>
      <c r="BP39" s="323">
        <v>0</v>
      </c>
      <c r="BQ39" s="323">
        <v>0</v>
      </c>
      <c r="BR39" s="328">
        <v>0</v>
      </c>
      <c r="BS39" s="323">
        <v>18</v>
      </c>
      <c r="BT39" s="329">
        <v>0.55080482897384309</v>
      </c>
      <c r="BU39" s="330">
        <v>0.26603498542274057</v>
      </c>
      <c r="BV39" s="330">
        <v>0.26739926739926739</v>
      </c>
      <c r="BW39" s="330">
        <v>0.52988637315391274</v>
      </c>
      <c r="BX39" s="330">
        <v>0.49265738041248253</v>
      </c>
      <c r="BY39" s="330">
        <v>0.47749869178440607</v>
      </c>
      <c r="BZ39" s="330">
        <v>0.48280423280423285</v>
      </c>
      <c r="CA39" s="330">
        <v>0.48686141123115917</v>
      </c>
      <c r="CB39" s="330">
        <v>0.4853479853479854</v>
      </c>
      <c r="CC39" s="330">
        <v>0.4891103728313031</v>
      </c>
      <c r="CD39" s="330">
        <v>0.49223235393448156</v>
      </c>
      <c r="CE39" s="331">
        <v>0.47619047619047616</v>
      </c>
      <c r="CF39" s="2"/>
      <c r="CG39" s="327">
        <v>35</v>
      </c>
      <c r="CH39" s="323">
        <v>26</v>
      </c>
      <c r="CI39" s="323">
        <v>31</v>
      </c>
      <c r="CJ39" s="323">
        <v>29</v>
      </c>
      <c r="CK39" s="323">
        <v>0</v>
      </c>
      <c r="CL39" s="323">
        <v>0</v>
      </c>
      <c r="CM39" s="323">
        <v>0</v>
      </c>
      <c r="CN39" s="323">
        <v>0</v>
      </c>
      <c r="CO39" s="323">
        <v>0</v>
      </c>
      <c r="CP39" s="323">
        <v>0</v>
      </c>
      <c r="CQ39" s="323">
        <v>0</v>
      </c>
      <c r="CR39" s="332">
        <v>0</v>
      </c>
      <c r="CS39" s="327">
        <v>0</v>
      </c>
      <c r="CT39" s="323">
        <v>0</v>
      </c>
      <c r="CU39" s="323">
        <v>0</v>
      </c>
      <c r="CV39" s="323">
        <v>0</v>
      </c>
      <c r="CW39" s="323">
        <v>0</v>
      </c>
      <c r="CX39" s="323">
        <v>0</v>
      </c>
      <c r="CY39" s="323">
        <v>0</v>
      </c>
      <c r="CZ39" s="323">
        <v>0</v>
      </c>
      <c r="DA39" s="323">
        <v>0</v>
      </c>
      <c r="DB39" s="323">
        <v>0</v>
      </c>
      <c r="DC39" s="323">
        <v>0</v>
      </c>
      <c r="DD39" s="328">
        <v>0</v>
      </c>
      <c r="DE39" s="4"/>
      <c r="DF39" s="416">
        <v>0</v>
      </c>
      <c r="DG39" s="417">
        <v>0</v>
      </c>
      <c r="DH39" s="417">
        <v>0</v>
      </c>
      <c r="DI39" s="417">
        <v>0</v>
      </c>
      <c r="DJ39" s="417">
        <v>0</v>
      </c>
      <c r="DK39" s="417">
        <v>0</v>
      </c>
      <c r="DL39" s="417">
        <v>0</v>
      </c>
      <c r="DM39" s="417">
        <v>0</v>
      </c>
      <c r="DN39" s="417">
        <v>0</v>
      </c>
      <c r="DO39" s="417">
        <v>0</v>
      </c>
      <c r="DP39" s="417">
        <v>0</v>
      </c>
      <c r="DQ39" s="417">
        <v>0</v>
      </c>
      <c r="DS39" s="327">
        <v>5</v>
      </c>
      <c r="DT39" s="323">
        <v>0</v>
      </c>
      <c r="DU39" s="323">
        <v>0</v>
      </c>
      <c r="DV39" s="323">
        <v>0</v>
      </c>
      <c r="DW39" s="323">
        <v>0</v>
      </c>
      <c r="DX39" s="323">
        <v>0</v>
      </c>
      <c r="DY39" s="323">
        <v>13</v>
      </c>
      <c r="DZ39" s="328">
        <v>18</v>
      </c>
      <c r="EA39" s="4"/>
      <c r="EB39" s="418" t="s">
        <v>208</v>
      </c>
      <c r="EC39" s="419" t="s">
        <v>368</v>
      </c>
      <c r="ED39" s="340">
        <v>0.49265738041248247</v>
      </c>
      <c r="EE39" s="340">
        <v>0.19841269841269843</v>
      </c>
      <c r="EF39" s="340">
        <v>2.6455026455026457E-2</v>
      </c>
      <c r="EG39" s="323">
        <v>15</v>
      </c>
      <c r="EH39" s="420"/>
      <c r="EI39" s="420">
        <v>37.244897959183675</v>
      </c>
      <c r="EJ39" s="421"/>
      <c r="EK39" s="323">
        <v>71</v>
      </c>
      <c r="EL39" s="323">
        <v>76</v>
      </c>
      <c r="EM39" s="323">
        <v>78</v>
      </c>
      <c r="EN39" s="323">
        <v>76</v>
      </c>
      <c r="EO39" s="323">
        <v>77</v>
      </c>
      <c r="EP39" s="323">
        <v>0</v>
      </c>
      <c r="EQ39" s="323">
        <v>0</v>
      </c>
      <c r="ER39" s="323">
        <v>0</v>
      </c>
      <c r="ES39" s="323">
        <v>0</v>
      </c>
      <c r="ET39" s="323">
        <v>0</v>
      </c>
      <c r="EU39" s="323">
        <v>0</v>
      </c>
      <c r="EV39" s="323">
        <v>0</v>
      </c>
      <c r="EW39" s="347">
        <v>75.599999999999994</v>
      </c>
      <c r="EX39" s="323">
        <v>77</v>
      </c>
      <c r="EY39" s="323">
        <v>0</v>
      </c>
      <c r="EZ39" s="323">
        <v>4</v>
      </c>
      <c r="FA39" s="323">
        <v>0</v>
      </c>
      <c r="FB39" s="323">
        <v>0</v>
      </c>
      <c r="FC39" s="323">
        <v>0</v>
      </c>
      <c r="FD39" s="323">
        <v>0</v>
      </c>
      <c r="FE39" s="323">
        <v>11</v>
      </c>
      <c r="FF39" s="323">
        <v>0</v>
      </c>
      <c r="FG39" s="323">
        <v>0</v>
      </c>
      <c r="FH39" s="323">
        <v>15</v>
      </c>
      <c r="FI39" s="323">
        <v>2</v>
      </c>
      <c r="FJ39" s="4"/>
      <c r="FK39" s="323">
        <v>66</v>
      </c>
      <c r="FL39" s="323">
        <v>11</v>
      </c>
      <c r="FM39" s="2"/>
      <c r="FN39" s="323">
        <v>15</v>
      </c>
      <c r="FO39" s="323">
        <v>0</v>
      </c>
      <c r="FP39" s="323">
        <v>0</v>
      </c>
      <c r="FR39" s="418" t="s">
        <v>208</v>
      </c>
      <c r="FS39" s="419" t="s">
        <v>368</v>
      </c>
      <c r="FT39" s="340" t="e">
        <v>#DIV/0!</v>
      </c>
      <c r="FU39" s="340" t="e">
        <v>#DIV/0!</v>
      </c>
      <c r="FV39" s="340" t="e">
        <v>#DIV/0!</v>
      </c>
      <c r="FW39" s="323">
        <v>0</v>
      </c>
      <c r="FX39" s="420"/>
      <c r="FY39" s="420">
        <v>0</v>
      </c>
      <c r="FZ39" s="421"/>
      <c r="GA39" s="323">
        <v>0</v>
      </c>
      <c r="GB39" s="323">
        <v>0</v>
      </c>
      <c r="GC39" s="323">
        <v>0</v>
      </c>
      <c r="GD39" s="323">
        <v>0</v>
      </c>
      <c r="GE39" s="323">
        <v>0</v>
      </c>
      <c r="GF39" s="323">
        <v>0</v>
      </c>
      <c r="GG39" s="323">
        <v>0</v>
      </c>
      <c r="GH39" s="323">
        <v>0</v>
      </c>
      <c r="GI39" s="323">
        <v>0</v>
      </c>
      <c r="GJ39" s="323">
        <v>0</v>
      </c>
      <c r="GK39" s="323">
        <v>0</v>
      </c>
      <c r="GL39" s="323">
        <v>0</v>
      </c>
      <c r="GM39" s="347" t="e">
        <v>#DIV/0!</v>
      </c>
      <c r="GN39" s="341">
        <v>0</v>
      </c>
      <c r="GO39" s="323">
        <v>0</v>
      </c>
      <c r="GP39" s="323">
        <v>0</v>
      </c>
      <c r="GQ39" s="323">
        <v>0</v>
      </c>
      <c r="GR39" s="323">
        <v>0</v>
      </c>
      <c r="GS39" s="323">
        <v>0</v>
      </c>
      <c r="GT39" s="323">
        <v>0</v>
      </c>
      <c r="GU39" s="323">
        <v>0</v>
      </c>
      <c r="GV39" s="323">
        <v>0</v>
      </c>
      <c r="GW39" s="323">
        <v>0</v>
      </c>
      <c r="GX39" s="323">
        <v>0</v>
      </c>
      <c r="GY39" s="323">
        <v>0</v>
      </c>
      <c r="GZ39" s="4"/>
      <c r="HA39" s="323">
        <v>0</v>
      </c>
      <c r="HB39" s="323">
        <v>0</v>
      </c>
      <c r="HC39" s="2"/>
      <c r="HD39" s="323">
        <v>0</v>
      </c>
      <c r="HE39" s="323">
        <v>0</v>
      </c>
      <c r="HF39" s="323">
        <v>0</v>
      </c>
      <c r="HH39">
        <v>9</v>
      </c>
      <c r="HI39">
        <v>8.0357142857142863E-2</v>
      </c>
      <c r="HJ39">
        <v>17</v>
      </c>
      <c r="HK39">
        <v>0.15178571428571427</v>
      </c>
      <c r="HL39">
        <v>20</v>
      </c>
      <c r="HM39">
        <v>0.17857142857142858</v>
      </c>
      <c r="HN39">
        <v>24</v>
      </c>
      <c r="HO39">
        <v>0.21428571428571427</v>
      </c>
      <c r="HP39">
        <v>27</v>
      </c>
      <c r="HQ39">
        <v>0.24107142857142858</v>
      </c>
      <c r="HR39">
        <v>35</v>
      </c>
      <c r="HS39">
        <v>0.3125</v>
      </c>
      <c r="HT39">
        <v>77</v>
      </c>
      <c r="HU39">
        <v>0.6875</v>
      </c>
      <c r="HV39">
        <v>112</v>
      </c>
    </row>
    <row r="40" spans="1:230" x14ac:dyDescent="0.25">
      <c r="A40" t="s">
        <v>525</v>
      </c>
      <c r="B40" s="4">
        <v>3087</v>
      </c>
      <c r="C40" s="444" t="s">
        <v>326</v>
      </c>
      <c r="D40" s="418" t="s">
        <v>205</v>
      </c>
      <c r="E40" s="419" t="s">
        <v>525</v>
      </c>
      <c r="F40" s="340">
        <v>0</v>
      </c>
      <c r="G40" s="340">
        <v>0</v>
      </c>
      <c r="H40" s="340">
        <v>0</v>
      </c>
      <c r="I40" s="323">
        <v>0</v>
      </c>
      <c r="J40" s="420"/>
      <c r="K40" s="478">
        <v>0</v>
      </c>
      <c r="L40" s="421"/>
      <c r="M40" s="323">
        <v>6</v>
      </c>
      <c r="N40" s="323">
        <v>6</v>
      </c>
      <c r="O40" s="323">
        <v>6</v>
      </c>
      <c r="P40" s="323">
        <v>6</v>
      </c>
      <c r="Q40" s="323">
        <v>6</v>
      </c>
      <c r="R40" s="323">
        <v>0</v>
      </c>
      <c r="S40" s="323">
        <v>0</v>
      </c>
      <c r="T40" s="323">
        <v>0</v>
      </c>
      <c r="U40" s="323">
        <v>0</v>
      </c>
      <c r="V40" s="323">
        <v>0</v>
      </c>
      <c r="W40" s="323">
        <v>0</v>
      </c>
      <c r="X40" s="323">
        <v>0</v>
      </c>
      <c r="Y40" s="347">
        <v>6</v>
      </c>
      <c r="Z40" s="323">
        <v>6</v>
      </c>
      <c r="AA40" s="323">
        <v>0</v>
      </c>
      <c r="AB40" s="323">
        <v>0</v>
      </c>
      <c r="AC40" s="323">
        <v>0</v>
      </c>
      <c r="AD40" s="323">
        <v>0</v>
      </c>
      <c r="AE40" s="323">
        <v>0</v>
      </c>
      <c r="AF40" s="323">
        <v>0</v>
      </c>
      <c r="AG40" s="323">
        <v>0</v>
      </c>
      <c r="AH40" s="323">
        <v>0</v>
      </c>
      <c r="AI40" s="323">
        <v>0</v>
      </c>
      <c r="AJ40" s="323">
        <v>0</v>
      </c>
      <c r="AK40" s="328">
        <v>0</v>
      </c>
      <c r="AL40" s="4" t="s">
        <v>205</v>
      </c>
      <c r="AM40" s="327">
        <v>6</v>
      </c>
      <c r="AN40" s="328">
        <v>0</v>
      </c>
      <c r="AO40" s="2"/>
      <c r="AP40" s="323">
        <v>0</v>
      </c>
      <c r="AQ40" s="323">
        <v>0</v>
      </c>
      <c r="AR40" s="323">
        <v>0</v>
      </c>
      <c r="AS40" s="2"/>
      <c r="AT40" s="323">
        <v>0</v>
      </c>
      <c r="AU40" s="323">
        <v>0</v>
      </c>
      <c r="AV40" s="323">
        <v>0</v>
      </c>
      <c r="AW40" s="323">
        <v>0</v>
      </c>
      <c r="AX40" s="323">
        <v>0</v>
      </c>
      <c r="AY40" s="323">
        <v>0</v>
      </c>
      <c r="AZ40" s="323">
        <v>0</v>
      </c>
      <c r="BA40" s="323">
        <v>0</v>
      </c>
      <c r="BB40" s="323">
        <v>0</v>
      </c>
      <c r="BC40" s="323">
        <v>0</v>
      </c>
      <c r="BD40" s="323">
        <v>0</v>
      </c>
      <c r="BE40" s="323">
        <v>0</v>
      </c>
      <c r="BF40" s="2" t="s">
        <v>525</v>
      </c>
      <c r="BG40" s="327">
        <v>0</v>
      </c>
      <c r="BH40" s="323">
        <v>0</v>
      </c>
      <c r="BI40" s="323">
        <v>0</v>
      </c>
      <c r="BJ40" s="323">
        <v>0</v>
      </c>
      <c r="BK40" s="323">
        <v>0</v>
      </c>
      <c r="BL40" s="323">
        <v>0</v>
      </c>
      <c r="BM40" s="323">
        <v>0</v>
      </c>
      <c r="BN40" s="323">
        <v>0</v>
      </c>
      <c r="BO40" s="323">
        <v>0</v>
      </c>
      <c r="BP40" s="323">
        <v>0</v>
      </c>
      <c r="BQ40" s="323">
        <v>0</v>
      </c>
      <c r="BR40" s="328">
        <v>0</v>
      </c>
      <c r="BS40" s="323">
        <v>0</v>
      </c>
      <c r="BT40" s="329">
        <v>0</v>
      </c>
      <c r="BU40" s="330">
        <v>0</v>
      </c>
      <c r="BV40" s="330">
        <v>0</v>
      </c>
      <c r="BW40" s="330">
        <v>0</v>
      </c>
      <c r="BX40" s="330">
        <v>0</v>
      </c>
      <c r="BY40" s="330">
        <v>0</v>
      </c>
      <c r="BZ40" s="330">
        <v>0</v>
      </c>
      <c r="CA40" s="330">
        <v>0</v>
      </c>
      <c r="CB40" s="330">
        <v>0</v>
      </c>
      <c r="CC40" s="330">
        <v>0</v>
      </c>
      <c r="CD40" s="330">
        <v>0</v>
      </c>
      <c r="CE40" s="331">
        <v>0</v>
      </c>
      <c r="CF40" s="2"/>
      <c r="CG40" s="327">
        <v>0</v>
      </c>
      <c r="CH40" s="323">
        <v>0</v>
      </c>
      <c r="CI40" s="323">
        <v>0</v>
      </c>
      <c r="CJ40" s="323">
        <v>0</v>
      </c>
      <c r="CK40" s="323">
        <v>0</v>
      </c>
      <c r="CL40" s="323">
        <v>0</v>
      </c>
      <c r="CM40" s="323">
        <v>0</v>
      </c>
      <c r="CN40" s="323">
        <v>0</v>
      </c>
      <c r="CO40" s="323">
        <v>0</v>
      </c>
      <c r="CP40" s="323">
        <v>0</v>
      </c>
      <c r="CQ40" s="323">
        <v>0</v>
      </c>
      <c r="CR40" s="332">
        <v>0</v>
      </c>
      <c r="CS40" s="327">
        <v>0</v>
      </c>
      <c r="CT40" s="323">
        <v>0</v>
      </c>
      <c r="CU40" s="323">
        <v>0</v>
      </c>
      <c r="CV40" s="323">
        <v>0</v>
      </c>
      <c r="CW40" s="323">
        <v>0</v>
      </c>
      <c r="CX40" s="323">
        <v>0</v>
      </c>
      <c r="CY40" s="323">
        <v>0</v>
      </c>
      <c r="CZ40" s="323">
        <v>0</v>
      </c>
      <c r="DA40" s="323">
        <v>0</v>
      </c>
      <c r="DB40" s="323">
        <v>0</v>
      </c>
      <c r="DC40" s="323">
        <v>0</v>
      </c>
      <c r="DD40" s="328">
        <v>0</v>
      </c>
      <c r="DE40" s="4"/>
      <c r="DF40" s="416" t="s">
        <v>130</v>
      </c>
      <c r="DG40" s="417" t="s">
        <v>130</v>
      </c>
      <c r="DH40" s="417" t="s">
        <v>130</v>
      </c>
      <c r="DI40" s="417" t="s">
        <v>130</v>
      </c>
      <c r="DJ40" s="417" t="s">
        <v>130</v>
      </c>
      <c r="DK40" s="417" t="s">
        <v>130</v>
      </c>
      <c r="DL40" s="417" t="s">
        <v>130</v>
      </c>
      <c r="DM40" s="417" t="s">
        <v>130</v>
      </c>
      <c r="DN40" s="417" t="s">
        <v>130</v>
      </c>
      <c r="DO40" s="417" t="s">
        <v>130</v>
      </c>
      <c r="DP40" s="417" t="s">
        <v>130</v>
      </c>
      <c r="DQ40" s="417" t="s">
        <v>130</v>
      </c>
      <c r="DS40" s="327">
        <v>0</v>
      </c>
      <c r="DT40" s="323">
        <v>0</v>
      </c>
      <c r="DU40" s="323">
        <v>0</v>
      </c>
      <c r="DV40" s="323">
        <v>0</v>
      </c>
      <c r="DW40" s="323">
        <v>0</v>
      </c>
      <c r="DX40" s="323">
        <v>0</v>
      </c>
      <c r="DY40" s="323">
        <v>0</v>
      </c>
      <c r="DZ40" s="328">
        <v>0</v>
      </c>
      <c r="EA40" s="4"/>
      <c r="EB40" s="418" t="s">
        <v>205</v>
      </c>
      <c r="EC40" s="419" t="s">
        <v>437</v>
      </c>
      <c r="ED40" s="340">
        <v>0</v>
      </c>
      <c r="EE40" s="340">
        <v>0</v>
      </c>
      <c r="EF40" s="340">
        <v>0</v>
      </c>
      <c r="EG40" s="323">
        <v>0</v>
      </c>
      <c r="EH40" s="420"/>
      <c r="EI40" s="420">
        <v>0</v>
      </c>
      <c r="EJ40" s="421"/>
      <c r="EK40" s="323">
        <v>0</v>
      </c>
      <c r="EL40" s="323">
        <v>6</v>
      </c>
      <c r="EM40" s="323">
        <v>6</v>
      </c>
      <c r="EN40" s="323">
        <v>6</v>
      </c>
      <c r="EO40" s="323">
        <v>6</v>
      </c>
      <c r="EP40" s="323">
        <v>0</v>
      </c>
      <c r="EQ40" s="323">
        <v>0</v>
      </c>
      <c r="ER40" s="323">
        <v>0</v>
      </c>
      <c r="ES40" s="323">
        <v>0</v>
      </c>
      <c r="ET40" s="323">
        <v>0</v>
      </c>
      <c r="EU40" s="323">
        <v>0</v>
      </c>
      <c r="EV40" s="323">
        <v>0</v>
      </c>
      <c r="EW40" s="347">
        <v>6</v>
      </c>
      <c r="EX40" s="323">
        <v>6</v>
      </c>
      <c r="EY40" s="323">
        <v>0</v>
      </c>
      <c r="EZ40" s="323">
        <v>0</v>
      </c>
      <c r="FA40" s="323">
        <v>0</v>
      </c>
      <c r="FB40" s="323">
        <v>0</v>
      </c>
      <c r="FC40" s="323">
        <v>0</v>
      </c>
      <c r="FD40" s="323">
        <v>0</v>
      </c>
      <c r="FE40" s="323">
        <v>0</v>
      </c>
      <c r="FF40" s="323">
        <v>0</v>
      </c>
      <c r="FG40" s="323">
        <v>0</v>
      </c>
      <c r="FH40" s="323">
        <v>0</v>
      </c>
      <c r="FI40" s="323">
        <v>0</v>
      </c>
      <c r="FJ40" s="4"/>
      <c r="FK40" s="323">
        <v>6</v>
      </c>
      <c r="FL40" s="323">
        <v>0</v>
      </c>
      <c r="FM40" s="2"/>
      <c r="FN40" s="323">
        <v>0</v>
      </c>
      <c r="FO40" s="323">
        <v>0</v>
      </c>
      <c r="FP40" s="323">
        <v>0</v>
      </c>
      <c r="FR40" s="418" t="s">
        <v>205</v>
      </c>
      <c r="FS40" s="419" t="s">
        <v>437</v>
      </c>
      <c r="FT40" s="340" t="e">
        <v>#DIV/0!</v>
      </c>
      <c r="FU40" s="340" t="e">
        <v>#DIV/0!</v>
      </c>
      <c r="FV40" s="340" t="e">
        <v>#DIV/0!</v>
      </c>
      <c r="FW40" s="323">
        <v>0</v>
      </c>
      <c r="FX40" s="420"/>
      <c r="FY40" s="420">
        <v>0</v>
      </c>
      <c r="FZ40" s="421"/>
      <c r="GA40" s="323">
        <v>0</v>
      </c>
      <c r="GB40" s="323">
        <v>0</v>
      </c>
      <c r="GC40" s="323">
        <v>0</v>
      </c>
      <c r="GD40" s="323">
        <v>0</v>
      </c>
      <c r="GE40" s="323">
        <v>0</v>
      </c>
      <c r="GF40" s="323">
        <v>0</v>
      </c>
      <c r="GG40" s="323">
        <v>0</v>
      </c>
      <c r="GH40" s="323">
        <v>0</v>
      </c>
      <c r="GI40" s="323">
        <v>0</v>
      </c>
      <c r="GJ40" s="323">
        <v>0</v>
      </c>
      <c r="GK40" s="323">
        <v>0</v>
      </c>
      <c r="GL40" s="323">
        <v>0</v>
      </c>
      <c r="GM40" s="347" t="e">
        <v>#DIV/0!</v>
      </c>
      <c r="GN40" s="341">
        <v>0</v>
      </c>
      <c r="GO40" s="323">
        <v>0</v>
      </c>
      <c r="GP40" s="323">
        <v>0</v>
      </c>
      <c r="GQ40" s="323">
        <v>0</v>
      </c>
      <c r="GR40" s="323">
        <v>0</v>
      </c>
      <c r="GS40" s="323">
        <v>0</v>
      </c>
      <c r="GT40" s="323">
        <v>0</v>
      </c>
      <c r="GU40" s="323">
        <v>0</v>
      </c>
      <c r="GV40" s="323">
        <v>0</v>
      </c>
      <c r="GW40" s="323">
        <v>0</v>
      </c>
      <c r="GX40" s="323">
        <v>0</v>
      </c>
      <c r="GY40" s="323">
        <v>0</v>
      </c>
      <c r="GZ40" s="4"/>
      <c r="HA40" s="323">
        <v>0</v>
      </c>
      <c r="HB40" s="323">
        <v>0</v>
      </c>
      <c r="HC40" s="2"/>
      <c r="HD40" s="323">
        <v>0</v>
      </c>
      <c r="HE40" s="323">
        <v>0</v>
      </c>
      <c r="HF40" s="323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1</v>
      </c>
      <c r="HU40">
        <v>1</v>
      </c>
      <c r="HV40">
        <v>1</v>
      </c>
    </row>
    <row r="41" spans="1:230" x14ac:dyDescent="0.25">
      <c r="A41" t="s">
        <v>526</v>
      </c>
      <c r="B41" s="4">
        <v>3053</v>
      </c>
      <c r="C41" s="444" t="s">
        <v>265</v>
      </c>
      <c r="D41" s="418" t="s">
        <v>204</v>
      </c>
      <c r="E41" s="419" t="s">
        <v>526</v>
      </c>
      <c r="F41" s="340">
        <v>0</v>
      </c>
      <c r="G41" s="340">
        <v>0</v>
      </c>
      <c r="H41" s="340">
        <v>0</v>
      </c>
      <c r="I41" s="323">
        <v>0</v>
      </c>
      <c r="J41" s="420"/>
      <c r="K41" s="478">
        <v>0</v>
      </c>
      <c r="L41" s="421"/>
      <c r="M41" s="323">
        <v>1</v>
      </c>
      <c r="N41" s="323">
        <v>1</v>
      </c>
      <c r="O41" s="323">
        <v>1</v>
      </c>
      <c r="P41" s="323">
        <v>1</v>
      </c>
      <c r="Q41" s="323">
        <v>1</v>
      </c>
      <c r="R41" s="323">
        <v>0</v>
      </c>
      <c r="S41" s="323">
        <v>0</v>
      </c>
      <c r="T41" s="323">
        <v>0</v>
      </c>
      <c r="U41" s="323">
        <v>0</v>
      </c>
      <c r="V41" s="323">
        <v>0</v>
      </c>
      <c r="W41" s="323">
        <v>0</v>
      </c>
      <c r="X41" s="323">
        <v>0</v>
      </c>
      <c r="Y41" s="347">
        <v>1</v>
      </c>
      <c r="Z41" s="323">
        <v>1</v>
      </c>
      <c r="AA41" s="323">
        <v>0</v>
      </c>
      <c r="AB41" s="323">
        <v>0</v>
      </c>
      <c r="AC41" s="323">
        <v>0</v>
      </c>
      <c r="AD41" s="323">
        <v>0</v>
      </c>
      <c r="AE41" s="323">
        <v>0</v>
      </c>
      <c r="AF41" s="323">
        <v>0</v>
      </c>
      <c r="AG41" s="323">
        <v>0</v>
      </c>
      <c r="AH41" s="323">
        <v>0</v>
      </c>
      <c r="AI41" s="323">
        <v>0</v>
      </c>
      <c r="AJ41" s="323">
        <v>0</v>
      </c>
      <c r="AK41" s="328">
        <v>0</v>
      </c>
      <c r="AL41" s="4" t="s">
        <v>204</v>
      </c>
      <c r="AM41" s="327">
        <v>1</v>
      </c>
      <c r="AN41" s="328">
        <v>0</v>
      </c>
      <c r="AO41" s="2"/>
      <c r="AP41" s="323">
        <v>0</v>
      </c>
      <c r="AQ41" s="323">
        <v>0</v>
      </c>
      <c r="AR41" s="323">
        <v>0</v>
      </c>
      <c r="AS41" s="2"/>
      <c r="AT41" s="323">
        <v>0</v>
      </c>
      <c r="AU41" s="323">
        <v>0</v>
      </c>
      <c r="AV41" s="323">
        <v>0</v>
      </c>
      <c r="AW41" s="323">
        <v>0</v>
      </c>
      <c r="AX41" s="323">
        <v>0</v>
      </c>
      <c r="AY41" s="323">
        <v>0</v>
      </c>
      <c r="AZ41" s="323">
        <v>0</v>
      </c>
      <c r="BA41" s="323">
        <v>0</v>
      </c>
      <c r="BB41" s="323">
        <v>0</v>
      </c>
      <c r="BC41" s="323">
        <v>0</v>
      </c>
      <c r="BD41" s="323">
        <v>0</v>
      </c>
      <c r="BE41" s="323">
        <v>0</v>
      </c>
      <c r="BF41" s="2" t="s">
        <v>526</v>
      </c>
      <c r="BG41" s="327">
        <v>0</v>
      </c>
      <c r="BH41" s="323">
        <v>0</v>
      </c>
      <c r="BI41" s="323">
        <v>0</v>
      </c>
      <c r="BJ41" s="323">
        <v>0</v>
      </c>
      <c r="BK41" s="323">
        <v>0</v>
      </c>
      <c r="BL41" s="323">
        <v>0</v>
      </c>
      <c r="BM41" s="323">
        <v>0</v>
      </c>
      <c r="BN41" s="323">
        <v>0</v>
      </c>
      <c r="BO41" s="323">
        <v>0</v>
      </c>
      <c r="BP41" s="323">
        <v>0</v>
      </c>
      <c r="BQ41" s="323">
        <v>0</v>
      </c>
      <c r="BR41" s="328">
        <v>0</v>
      </c>
      <c r="BS41" s="323">
        <v>0</v>
      </c>
      <c r="BT41" s="329">
        <v>0</v>
      </c>
      <c r="BU41" s="330">
        <v>0</v>
      </c>
      <c r="BV41" s="330">
        <v>0</v>
      </c>
      <c r="BW41" s="330">
        <v>0</v>
      </c>
      <c r="BX41" s="330">
        <v>0</v>
      </c>
      <c r="BY41" s="330">
        <v>0</v>
      </c>
      <c r="BZ41" s="330">
        <v>0</v>
      </c>
      <c r="CA41" s="330">
        <v>0</v>
      </c>
      <c r="CB41" s="330">
        <v>0</v>
      </c>
      <c r="CC41" s="330">
        <v>0</v>
      </c>
      <c r="CD41" s="330">
        <v>0</v>
      </c>
      <c r="CE41" s="331">
        <v>0</v>
      </c>
      <c r="CF41" s="2"/>
      <c r="CG41" s="327">
        <v>0</v>
      </c>
      <c r="CH41" s="323">
        <v>0</v>
      </c>
      <c r="CI41" s="323">
        <v>0</v>
      </c>
      <c r="CJ41" s="323">
        <v>0</v>
      </c>
      <c r="CK41" s="323">
        <v>0</v>
      </c>
      <c r="CL41" s="323">
        <v>0</v>
      </c>
      <c r="CM41" s="323">
        <v>0</v>
      </c>
      <c r="CN41" s="323">
        <v>0</v>
      </c>
      <c r="CO41" s="323">
        <v>0</v>
      </c>
      <c r="CP41" s="323">
        <v>0</v>
      </c>
      <c r="CQ41" s="323">
        <v>0</v>
      </c>
      <c r="CR41" s="332">
        <v>0</v>
      </c>
      <c r="CS41" s="327">
        <v>0</v>
      </c>
      <c r="CT41" s="323">
        <v>0</v>
      </c>
      <c r="CU41" s="323">
        <v>0</v>
      </c>
      <c r="CV41" s="323">
        <v>0</v>
      </c>
      <c r="CW41" s="323">
        <v>0</v>
      </c>
      <c r="CX41" s="323">
        <v>0</v>
      </c>
      <c r="CY41" s="323">
        <v>0</v>
      </c>
      <c r="CZ41" s="323">
        <v>0</v>
      </c>
      <c r="DA41" s="323">
        <v>0</v>
      </c>
      <c r="DB41" s="323">
        <v>0</v>
      </c>
      <c r="DC41" s="323">
        <v>0</v>
      </c>
      <c r="DD41" s="328">
        <v>0</v>
      </c>
      <c r="DE41" s="4"/>
      <c r="DF41" s="416" t="s">
        <v>130</v>
      </c>
      <c r="DG41" s="417" t="s">
        <v>130</v>
      </c>
      <c r="DH41" s="417" t="s">
        <v>130</v>
      </c>
      <c r="DI41" s="417" t="s">
        <v>130</v>
      </c>
      <c r="DJ41" s="417" t="s">
        <v>130</v>
      </c>
      <c r="DK41" s="417" t="s">
        <v>130</v>
      </c>
      <c r="DL41" s="417" t="s">
        <v>130</v>
      </c>
      <c r="DM41" s="417" t="s">
        <v>130</v>
      </c>
      <c r="DN41" s="417" t="s">
        <v>130</v>
      </c>
      <c r="DO41" s="417" t="s">
        <v>130</v>
      </c>
      <c r="DP41" s="417" t="s">
        <v>130</v>
      </c>
      <c r="DQ41" s="417" t="s">
        <v>130</v>
      </c>
      <c r="DS41" s="327">
        <v>0</v>
      </c>
      <c r="DT41" s="323">
        <v>0</v>
      </c>
      <c r="DU41" s="323">
        <v>0</v>
      </c>
      <c r="DV41" s="323">
        <v>0</v>
      </c>
      <c r="DW41" s="323">
        <v>0</v>
      </c>
      <c r="DX41" s="323">
        <v>0</v>
      </c>
      <c r="DY41" s="323">
        <v>0</v>
      </c>
      <c r="DZ41" s="328">
        <v>0</v>
      </c>
      <c r="EA41" s="4"/>
      <c r="EB41" s="418" t="s">
        <v>204</v>
      </c>
      <c r="EC41" s="419" t="s">
        <v>370</v>
      </c>
      <c r="ED41" s="340">
        <v>0</v>
      </c>
      <c r="EE41" s="340">
        <v>0</v>
      </c>
      <c r="EF41" s="340">
        <v>0</v>
      </c>
      <c r="EG41" s="323">
        <v>0</v>
      </c>
      <c r="EH41" s="420"/>
      <c r="EI41" s="420">
        <v>0</v>
      </c>
      <c r="EJ41" s="421"/>
      <c r="EK41" s="323">
        <v>1</v>
      </c>
      <c r="EL41" s="323">
        <v>1</v>
      </c>
      <c r="EM41" s="323">
        <v>1</v>
      </c>
      <c r="EN41" s="323">
        <v>1</v>
      </c>
      <c r="EO41" s="323">
        <v>1</v>
      </c>
      <c r="EP41" s="323">
        <v>0</v>
      </c>
      <c r="EQ41" s="323">
        <v>0</v>
      </c>
      <c r="ER41" s="323">
        <v>0</v>
      </c>
      <c r="ES41" s="323">
        <v>0</v>
      </c>
      <c r="ET41" s="323">
        <v>0</v>
      </c>
      <c r="EU41" s="323">
        <v>0</v>
      </c>
      <c r="EV41" s="323">
        <v>0</v>
      </c>
      <c r="EW41" s="347">
        <v>1</v>
      </c>
      <c r="EX41" s="323">
        <v>1</v>
      </c>
      <c r="EY41" s="323">
        <v>0</v>
      </c>
      <c r="EZ41" s="323">
        <v>0</v>
      </c>
      <c r="FA41" s="323">
        <v>0</v>
      </c>
      <c r="FB41" s="323">
        <v>0</v>
      </c>
      <c r="FC41" s="323">
        <v>0</v>
      </c>
      <c r="FD41" s="323">
        <v>0</v>
      </c>
      <c r="FE41" s="323">
        <v>0</v>
      </c>
      <c r="FF41" s="323">
        <v>0</v>
      </c>
      <c r="FG41" s="323">
        <v>0</v>
      </c>
      <c r="FH41" s="323">
        <v>0</v>
      </c>
      <c r="FI41" s="323">
        <v>0</v>
      </c>
      <c r="FJ41" s="4"/>
      <c r="FK41" s="323">
        <v>1</v>
      </c>
      <c r="FL41" s="323">
        <v>0</v>
      </c>
      <c r="FM41" s="2"/>
      <c r="FN41" s="323">
        <v>0</v>
      </c>
      <c r="FO41" s="323">
        <v>0</v>
      </c>
      <c r="FP41" s="323">
        <v>0</v>
      </c>
      <c r="FR41" s="418" t="s">
        <v>204</v>
      </c>
      <c r="FS41" s="419" t="s">
        <v>370</v>
      </c>
      <c r="FT41" s="340" t="e">
        <v>#DIV/0!</v>
      </c>
      <c r="FU41" s="340" t="e">
        <v>#DIV/0!</v>
      </c>
      <c r="FV41" s="340" t="e">
        <v>#DIV/0!</v>
      </c>
      <c r="FW41" s="323">
        <v>0</v>
      </c>
      <c r="FX41" s="420"/>
      <c r="FY41" s="420">
        <v>0</v>
      </c>
      <c r="FZ41" s="421"/>
      <c r="GA41" s="323">
        <v>0</v>
      </c>
      <c r="GB41" s="323">
        <v>0</v>
      </c>
      <c r="GC41" s="323">
        <v>0</v>
      </c>
      <c r="GD41" s="323">
        <v>0</v>
      </c>
      <c r="GE41" s="323">
        <v>0</v>
      </c>
      <c r="GF41" s="323">
        <v>0</v>
      </c>
      <c r="GG41" s="323">
        <v>0</v>
      </c>
      <c r="GH41" s="323">
        <v>0</v>
      </c>
      <c r="GI41" s="323">
        <v>0</v>
      </c>
      <c r="GJ41" s="323">
        <v>0</v>
      </c>
      <c r="GK41" s="323">
        <v>0</v>
      </c>
      <c r="GL41" s="323">
        <v>0</v>
      </c>
      <c r="GM41" s="347" t="e">
        <v>#DIV/0!</v>
      </c>
      <c r="GN41" s="341">
        <v>0</v>
      </c>
      <c r="GO41" s="323">
        <v>0</v>
      </c>
      <c r="GP41" s="323">
        <v>0</v>
      </c>
      <c r="GQ41" s="323">
        <v>0</v>
      </c>
      <c r="GR41" s="323">
        <v>0</v>
      </c>
      <c r="GS41" s="323">
        <v>0</v>
      </c>
      <c r="GT41" s="323">
        <v>0</v>
      </c>
      <c r="GU41" s="323">
        <v>0</v>
      </c>
      <c r="GV41" s="323">
        <v>0</v>
      </c>
      <c r="GW41" s="323">
        <v>0</v>
      </c>
      <c r="GX41" s="323">
        <v>0</v>
      </c>
      <c r="GY41" s="323">
        <v>0</v>
      </c>
      <c r="GZ41" s="4"/>
      <c r="HA41" s="323">
        <v>0</v>
      </c>
      <c r="HB41" s="323">
        <v>0</v>
      </c>
      <c r="HC41" s="2"/>
      <c r="HD41" s="323">
        <v>0</v>
      </c>
      <c r="HE41" s="323">
        <v>0</v>
      </c>
      <c r="HF41" s="323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1</v>
      </c>
      <c r="HU41">
        <v>1</v>
      </c>
      <c r="HV41">
        <v>1</v>
      </c>
    </row>
    <row r="42" spans="1:230" x14ac:dyDescent="0.25">
      <c r="A42" t="s">
        <v>527</v>
      </c>
      <c r="B42" s="4">
        <v>3057</v>
      </c>
      <c r="C42" s="444" t="s">
        <v>264</v>
      </c>
      <c r="D42" s="418" t="s">
        <v>204</v>
      </c>
      <c r="E42" s="419" t="s">
        <v>527</v>
      </c>
      <c r="F42" s="340">
        <v>0.95499738356881214</v>
      </c>
      <c r="G42" s="340">
        <v>0.38461538461538464</v>
      </c>
      <c r="H42" s="340">
        <v>5.4945054945054944E-2</v>
      </c>
      <c r="I42" s="323">
        <v>7</v>
      </c>
      <c r="J42" s="420"/>
      <c r="K42" s="478">
        <v>17.38095238095238</v>
      </c>
      <c r="L42" s="421"/>
      <c r="M42" s="323">
        <v>18</v>
      </c>
      <c r="N42" s="323">
        <v>18</v>
      </c>
      <c r="O42" s="323">
        <v>18</v>
      </c>
      <c r="P42" s="323">
        <v>18</v>
      </c>
      <c r="Q42" s="323">
        <v>19</v>
      </c>
      <c r="R42" s="323">
        <v>0</v>
      </c>
      <c r="S42" s="323">
        <v>0</v>
      </c>
      <c r="T42" s="323">
        <v>0</v>
      </c>
      <c r="U42" s="323">
        <v>0</v>
      </c>
      <c r="V42" s="323">
        <v>0</v>
      </c>
      <c r="W42" s="323">
        <v>0</v>
      </c>
      <c r="X42" s="323">
        <v>0</v>
      </c>
      <c r="Y42" s="347">
        <v>18.2</v>
      </c>
      <c r="Z42" s="323">
        <v>19</v>
      </c>
      <c r="AA42" s="323">
        <v>0</v>
      </c>
      <c r="AB42" s="323">
        <v>4</v>
      </c>
      <c r="AC42" s="323">
        <v>0</v>
      </c>
      <c r="AD42" s="323">
        <v>0</v>
      </c>
      <c r="AE42" s="323">
        <v>0</v>
      </c>
      <c r="AF42" s="323">
        <v>0</v>
      </c>
      <c r="AG42" s="323">
        <v>3</v>
      </c>
      <c r="AH42" s="323">
        <v>0</v>
      </c>
      <c r="AI42" s="323">
        <v>0</v>
      </c>
      <c r="AJ42" s="323">
        <v>7</v>
      </c>
      <c r="AK42" s="328">
        <v>1</v>
      </c>
      <c r="AL42" s="4" t="s">
        <v>204</v>
      </c>
      <c r="AM42" s="327">
        <v>19</v>
      </c>
      <c r="AN42" s="328">
        <v>0</v>
      </c>
      <c r="AO42" s="2"/>
      <c r="AP42" s="323">
        <v>7</v>
      </c>
      <c r="AQ42" s="323">
        <v>0</v>
      </c>
      <c r="AR42" s="323">
        <v>0</v>
      </c>
      <c r="AS42" s="2"/>
      <c r="AT42" s="323">
        <v>1</v>
      </c>
      <c r="AU42" s="323">
        <v>0</v>
      </c>
      <c r="AV42" s="323">
        <v>3</v>
      </c>
      <c r="AW42" s="323">
        <v>2</v>
      </c>
      <c r="AX42" s="323">
        <v>1</v>
      </c>
      <c r="AY42" s="323">
        <v>0</v>
      </c>
      <c r="AZ42" s="323">
        <v>0</v>
      </c>
      <c r="BA42" s="323">
        <v>0</v>
      </c>
      <c r="BB42" s="323">
        <v>0</v>
      </c>
      <c r="BC42" s="323">
        <v>0</v>
      </c>
      <c r="BD42" s="323">
        <v>0</v>
      </c>
      <c r="BE42" s="323">
        <v>0</v>
      </c>
      <c r="BF42" s="2" t="s">
        <v>527</v>
      </c>
      <c r="BG42" s="327">
        <v>1</v>
      </c>
      <c r="BH42" s="323">
        <v>2</v>
      </c>
      <c r="BI42" s="323">
        <v>3</v>
      </c>
      <c r="BJ42" s="323">
        <v>1</v>
      </c>
      <c r="BK42" s="323">
        <v>3</v>
      </c>
      <c r="BL42" s="323">
        <v>0</v>
      </c>
      <c r="BM42" s="323">
        <v>0</v>
      </c>
      <c r="BN42" s="323">
        <v>0</v>
      </c>
      <c r="BO42" s="323">
        <v>0</v>
      </c>
      <c r="BP42" s="323">
        <v>0</v>
      </c>
      <c r="BQ42" s="323">
        <v>0</v>
      </c>
      <c r="BR42" s="328">
        <v>0</v>
      </c>
      <c r="BS42" s="323">
        <v>10</v>
      </c>
      <c r="BT42" s="329">
        <v>0.72420634920634919</v>
      </c>
      <c r="BU42" s="330">
        <v>0.36210317460317465</v>
      </c>
      <c r="BV42" s="330">
        <v>0.89133089133089127</v>
      </c>
      <c r="BW42" s="330">
        <v>1.0224089635854343</v>
      </c>
      <c r="BX42" s="330">
        <v>0.95499738356881214</v>
      </c>
      <c r="BY42" s="330">
        <v>0.92561284868977178</v>
      </c>
      <c r="BZ42" s="330">
        <v>0.93589743589743601</v>
      </c>
      <c r="CA42" s="330">
        <v>0.94376212023270856</v>
      </c>
      <c r="CB42" s="330">
        <v>0.94082840236686394</v>
      </c>
      <c r="CC42" s="330">
        <v>0.94812164579606439</v>
      </c>
      <c r="CD42" s="330">
        <v>0.9541734860883796</v>
      </c>
      <c r="CE42" s="331">
        <v>0.92307692307692313</v>
      </c>
      <c r="CF42" s="2"/>
      <c r="CG42" s="327">
        <v>3</v>
      </c>
      <c r="CH42" s="323">
        <v>5</v>
      </c>
      <c r="CI42" s="323">
        <v>5</v>
      </c>
      <c r="CJ42" s="323">
        <v>5</v>
      </c>
      <c r="CK42" s="323">
        <v>0</v>
      </c>
      <c r="CL42" s="323">
        <v>0</v>
      </c>
      <c r="CM42" s="323">
        <v>0</v>
      </c>
      <c r="CN42" s="323">
        <v>0</v>
      </c>
      <c r="CO42" s="323">
        <v>0</v>
      </c>
      <c r="CP42" s="323">
        <v>0</v>
      </c>
      <c r="CQ42" s="323">
        <v>0</v>
      </c>
      <c r="CR42" s="332">
        <v>0</v>
      </c>
      <c r="CS42" s="327">
        <v>0</v>
      </c>
      <c r="CT42" s="323">
        <v>0</v>
      </c>
      <c r="CU42" s="323">
        <v>0</v>
      </c>
      <c r="CV42" s="323">
        <v>0</v>
      </c>
      <c r="CW42" s="323">
        <v>0</v>
      </c>
      <c r="CX42" s="323">
        <v>0</v>
      </c>
      <c r="CY42" s="323">
        <v>0</v>
      </c>
      <c r="CZ42" s="323">
        <v>0</v>
      </c>
      <c r="DA42" s="323">
        <v>0</v>
      </c>
      <c r="DB42" s="323">
        <v>0</v>
      </c>
      <c r="DC42" s="323">
        <v>0</v>
      </c>
      <c r="DD42" s="328">
        <v>0</v>
      </c>
      <c r="DE42" s="4"/>
      <c r="DF42" s="416">
        <v>0</v>
      </c>
      <c r="DG42" s="417">
        <v>0</v>
      </c>
      <c r="DH42" s="417">
        <v>0</v>
      </c>
      <c r="DI42" s="417">
        <v>0</v>
      </c>
      <c r="DJ42" s="417">
        <v>0</v>
      </c>
      <c r="DK42" s="417">
        <v>0</v>
      </c>
      <c r="DL42" s="417">
        <v>0</v>
      </c>
      <c r="DM42" s="417">
        <v>0</v>
      </c>
      <c r="DN42" s="417">
        <v>0</v>
      </c>
      <c r="DO42" s="417">
        <v>0</v>
      </c>
      <c r="DP42" s="417">
        <v>0</v>
      </c>
      <c r="DQ42" s="417">
        <v>0</v>
      </c>
      <c r="DS42" s="327">
        <v>4</v>
      </c>
      <c r="DT42" s="323">
        <v>0</v>
      </c>
      <c r="DU42" s="323">
        <v>0</v>
      </c>
      <c r="DV42" s="323">
        <v>0</v>
      </c>
      <c r="DW42" s="323">
        <v>0</v>
      </c>
      <c r="DX42" s="323">
        <v>0</v>
      </c>
      <c r="DY42" s="323">
        <v>6</v>
      </c>
      <c r="DZ42" s="328">
        <v>10</v>
      </c>
      <c r="EA42" s="4"/>
      <c r="EB42" s="418" t="s">
        <v>204</v>
      </c>
      <c r="EC42" s="419" t="s">
        <v>372</v>
      </c>
      <c r="ED42" s="340">
        <v>0.95499738356881214</v>
      </c>
      <c r="EE42" s="340">
        <v>0.38461538461538464</v>
      </c>
      <c r="EF42" s="340">
        <v>5.4945054945054944E-2</v>
      </c>
      <c r="EG42" s="323">
        <v>7</v>
      </c>
      <c r="EH42" s="420"/>
      <c r="EI42" s="420">
        <v>17.38095238095238</v>
      </c>
      <c r="EJ42" s="421"/>
      <c r="EK42" s="323">
        <v>18</v>
      </c>
      <c r="EL42" s="323">
        <v>18</v>
      </c>
      <c r="EM42" s="323">
        <v>18</v>
      </c>
      <c r="EN42" s="323">
        <v>18</v>
      </c>
      <c r="EO42" s="323">
        <v>19</v>
      </c>
      <c r="EP42" s="323">
        <v>0</v>
      </c>
      <c r="EQ42" s="323">
        <v>0</v>
      </c>
      <c r="ER42" s="323">
        <v>0</v>
      </c>
      <c r="ES42" s="323">
        <v>0</v>
      </c>
      <c r="ET42" s="323">
        <v>0</v>
      </c>
      <c r="EU42" s="323">
        <v>0</v>
      </c>
      <c r="EV42" s="323">
        <v>0</v>
      </c>
      <c r="EW42" s="347">
        <v>18.2</v>
      </c>
      <c r="EX42" s="323">
        <v>19</v>
      </c>
      <c r="EY42" s="323">
        <v>0</v>
      </c>
      <c r="EZ42" s="323">
        <v>4</v>
      </c>
      <c r="FA42" s="323">
        <v>0</v>
      </c>
      <c r="FB42" s="323">
        <v>0</v>
      </c>
      <c r="FC42" s="323">
        <v>0</v>
      </c>
      <c r="FD42" s="323">
        <v>0</v>
      </c>
      <c r="FE42" s="323">
        <v>3</v>
      </c>
      <c r="FF42" s="323">
        <v>0</v>
      </c>
      <c r="FG42" s="323">
        <v>0</v>
      </c>
      <c r="FH42" s="323">
        <v>7</v>
      </c>
      <c r="FI42" s="323">
        <v>1</v>
      </c>
      <c r="FJ42" s="4"/>
      <c r="FK42" s="323">
        <v>19</v>
      </c>
      <c r="FL42" s="323">
        <v>0</v>
      </c>
      <c r="FM42" s="2"/>
      <c r="FN42" s="323">
        <v>7</v>
      </c>
      <c r="FO42" s="323">
        <v>0</v>
      </c>
      <c r="FP42" s="323">
        <v>0</v>
      </c>
      <c r="FR42" s="418" t="s">
        <v>204</v>
      </c>
      <c r="FS42" s="419" t="s">
        <v>372</v>
      </c>
      <c r="FT42" s="340" t="e">
        <v>#DIV/0!</v>
      </c>
      <c r="FU42" s="340" t="e">
        <v>#DIV/0!</v>
      </c>
      <c r="FV42" s="340" t="e">
        <v>#DIV/0!</v>
      </c>
      <c r="FW42" s="323">
        <v>0</v>
      </c>
      <c r="FX42" s="420"/>
      <c r="FY42" s="420">
        <v>0</v>
      </c>
      <c r="FZ42" s="421"/>
      <c r="GA42" s="323">
        <v>0</v>
      </c>
      <c r="GB42" s="323">
        <v>0</v>
      </c>
      <c r="GC42" s="323">
        <v>0</v>
      </c>
      <c r="GD42" s="323">
        <v>0</v>
      </c>
      <c r="GE42" s="323">
        <v>0</v>
      </c>
      <c r="GF42" s="323">
        <v>0</v>
      </c>
      <c r="GG42" s="323">
        <v>0</v>
      </c>
      <c r="GH42" s="323">
        <v>0</v>
      </c>
      <c r="GI42" s="323">
        <v>0</v>
      </c>
      <c r="GJ42" s="323">
        <v>0</v>
      </c>
      <c r="GK42" s="323">
        <v>0</v>
      </c>
      <c r="GL42" s="323">
        <v>0</v>
      </c>
      <c r="GM42" s="347" t="e">
        <v>#DIV/0!</v>
      </c>
      <c r="GN42" s="341">
        <v>0</v>
      </c>
      <c r="GO42" s="323">
        <v>0</v>
      </c>
      <c r="GP42" s="323">
        <v>0</v>
      </c>
      <c r="GQ42" s="323">
        <v>0</v>
      </c>
      <c r="GR42" s="323">
        <v>0</v>
      </c>
      <c r="GS42" s="323">
        <v>0</v>
      </c>
      <c r="GT42" s="323">
        <v>0</v>
      </c>
      <c r="GU42" s="323">
        <v>0</v>
      </c>
      <c r="GV42" s="323">
        <v>0</v>
      </c>
      <c r="GW42" s="323">
        <v>0</v>
      </c>
      <c r="GX42" s="323">
        <v>0</v>
      </c>
      <c r="GY42" s="323">
        <v>0</v>
      </c>
      <c r="GZ42" s="4"/>
      <c r="HA42" s="323">
        <v>0</v>
      </c>
      <c r="HB42" s="323">
        <v>0</v>
      </c>
      <c r="HC42" s="2"/>
      <c r="HD42" s="323">
        <v>0</v>
      </c>
      <c r="HE42" s="323">
        <v>0</v>
      </c>
      <c r="HF42" s="323">
        <v>0</v>
      </c>
      <c r="HH42">
        <v>0</v>
      </c>
      <c r="HI42">
        <v>0</v>
      </c>
      <c r="HJ42">
        <v>1</v>
      </c>
      <c r="HK42">
        <v>6.6666666666666666E-2</v>
      </c>
      <c r="HL42">
        <v>1</v>
      </c>
      <c r="HM42">
        <v>6.6666666666666666E-2</v>
      </c>
      <c r="HN42">
        <v>1</v>
      </c>
      <c r="HO42">
        <v>6.6666666666666666E-2</v>
      </c>
      <c r="HP42">
        <v>2</v>
      </c>
      <c r="HQ42">
        <v>0.13333333333333333</v>
      </c>
      <c r="HR42">
        <v>3</v>
      </c>
      <c r="HS42">
        <v>0.2</v>
      </c>
      <c r="HT42">
        <v>12</v>
      </c>
      <c r="HU42">
        <v>0.8</v>
      </c>
      <c r="HV42">
        <v>15</v>
      </c>
    </row>
    <row r="43" spans="1:230" x14ac:dyDescent="0.25">
      <c r="A43" t="s">
        <v>528</v>
      </c>
      <c r="B43" s="4">
        <v>3059</v>
      </c>
      <c r="C43" s="444" t="s">
        <v>220</v>
      </c>
      <c r="D43" s="418" t="s">
        <v>204</v>
      </c>
      <c r="E43" s="419" t="s">
        <v>528</v>
      </c>
      <c r="F43" s="340">
        <v>0.37836086815678655</v>
      </c>
      <c r="G43" s="340">
        <v>0.15238095238095239</v>
      </c>
      <c r="H43" s="340">
        <v>3.8095238095238099E-2</v>
      </c>
      <c r="I43" s="323">
        <v>16</v>
      </c>
      <c r="J43" s="420"/>
      <c r="K43" s="478">
        <v>39.727891156462583</v>
      </c>
      <c r="L43" s="421"/>
      <c r="M43" s="323">
        <v>104</v>
      </c>
      <c r="N43" s="323">
        <v>106</v>
      </c>
      <c r="O43" s="323">
        <v>103</v>
      </c>
      <c r="P43" s="323">
        <v>103</v>
      </c>
      <c r="Q43" s="323">
        <v>109</v>
      </c>
      <c r="R43" s="323">
        <v>0</v>
      </c>
      <c r="S43" s="323">
        <v>0</v>
      </c>
      <c r="T43" s="323">
        <v>0</v>
      </c>
      <c r="U43" s="323">
        <v>0</v>
      </c>
      <c r="V43" s="323">
        <v>0</v>
      </c>
      <c r="W43" s="323">
        <v>0</v>
      </c>
      <c r="X43" s="323">
        <v>0</v>
      </c>
      <c r="Y43" s="347">
        <v>105</v>
      </c>
      <c r="Z43" s="323">
        <v>109</v>
      </c>
      <c r="AA43" s="323">
        <v>0</v>
      </c>
      <c r="AB43" s="323">
        <v>6</v>
      </c>
      <c r="AC43" s="323">
        <v>1</v>
      </c>
      <c r="AD43" s="323">
        <v>0</v>
      </c>
      <c r="AE43" s="323">
        <v>0</v>
      </c>
      <c r="AF43" s="323">
        <v>0</v>
      </c>
      <c r="AG43" s="323">
        <v>8</v>
      </c>
      <c r="AH43" s="323">
        <v>0</v>
      </c>
      <c r="AI43" s="323">
        <v>1</v>
      </c>
      <c r="AJ43" s="323">
        <v>16</v>
      </c>
      <c r="AK43" s="328">
        <v>4</v>
      </c>
      <c r="AL43" s="4" t="s">
        <v>204</v>
      </c>
      <c r="AM43" s="327">
        <v>104</v>
      </c>
      <c r="AN43" s="328">
        <v>5</v>
      </c>
      <c r="AO43" s="2"/>
      <c r="AP43" s="323">
        <v>14</v>
      </c>
      <c r="AQ43" s="323">
        <v>2</v>
      </c>
      <c r="AR43" s="323">
        <v>0</v>
      </c>
      <c r="AS43" s="2"/>
      <c r="AT43" s="323">
        <v>2</v>
      </c>
      <c r="AU43" s="323">
        <v>1</v>
      </c>
      <c r="AV43" s="323">
        <v>7</v>
      </c>
      <c r="AW43" s="323">
        <v>2</v>
      </c>
      <c r="AX43" s="323">
        <v>4</v>
      </c>
      <c r="AY43" s="323">
        <v>0</v>
      </c>
      <c r="AZ43" s="323">
        <v>0</v>
      </c>
      <c r="BA43" s="323">
        <v>0</v>
      </c>
      <c r="BB43" s="323">
        <v>0</v>
      </c>
      <c r="BC43" s="323">
        <v>0</v>
      </c>
      <c r="BD43" s="323">
        <v>0</v>
      </c>
      <c r="BE43" s="323">
        <v>0</v>
      </c>
      <c r="BF43" s="2" t="s">
        <v>528</v>
      </c>
      <c r="BG43" s="327">
        <v>7</v>
      </c>
      <c r="BH43" s="323">
        <v>3</v>
      </c>
      <c r="BI43" s="323">
        <v>5</v>
      </c>
      <c r="BJ43" s="323">
        <v>7</v>
      </c>
      <c r="BK43" s="323">
        <v>14</v>
      </c>
      <c r="BL43" s="323">
        <v>0</v>
      </c>
      <c r="BM43" s="323">
        <v>0</v>
      </c>
      <c r="BN43" s="323">
        <v>0</v>
      </c>
      <c r="BO43" s="323">
        <v>0</v>
      </c>
      <c r="BP43" s="323">
        <v>0</v>
      </c>
      <c r="BQ43" s="323">
        <v>0</v>
      </c>
      <c r="BR43" s="328">
        <v>0</v>
      </c>
      <c r="BS43" s="323">
        <v>36</v>
      </c>
      <c r="BT43" s="329">
        <v>0.25068681318681324</v>
      </c>
      <c r="BU43" s="330">
        <v>0.18622448979591838</v>
      </c>
      <c r="BV43" s="330">
        <v>0.38443984130885089</v>
      </c>
      <c r="BW43" s="330">
        <v>0.35391079508726569</v>
      </c>
      <c r="BX43" s="330">
        <v>0.37836086815678649</v>
      </c>
      <c r="BY43" s="330">
        <v>0.36671899529042384</v>
      </c>
      <c r="BZ43" s="330">
        <v>0.37079365079365079</v>
      </c>
      <c r="CA43" s="330">
        <v>0.37390956382553026</v>
      </c>
      <c r="CB43" s="330">
        <v>0.37274725274725273</v>
      </c>
      <c r="CC43" s="330">
        <v>0.37563676633444076</v>
      </c>
      <c r="CD43" s="330">
        <v>0.37803444782168183</v>
      </c>
      <c r="CE43" s="331">
        <v>0.36571428571428571</v>
      </c>
      <c r="CF43" s="2"/>
      <c r="CG43" s="327">
        <v>31</v>
      </c>
      <c r="CH43" s="323">
        <v>37</v>
      </c>
      <c r="CI43" s="323">
        <v>35</v>
      </c>
      <c r="CJ43" s="323">
        <v>33</v>
      </c>
      <c r="CK43" s="323">
        <v>0</v>
      </c>
      <c r="CL43" s="323">
        <v>0</v>
      </c>
      <c r="CM43" s="323">
        <v>0</v>
      </c>
      <c r="CN43" s="323">
        <v>0</v>
      </c>
      <c r="CO43" s="323">
        <v>0</v>
      </c>
      <c r="CP43" s="323">
        <v>0</v>
      </c>
      <c r="CQ43" s="323">
        <v>0</v>
      </c>
      <c r="CR43" s="332">
        <v>0</v>
      </c>
      <c r="CS43" s="327">
        <v>0</v>
      </c>
      <c r="CT43" s="323">
        <v>0</v>
      </c>
      <c r="CU43" s="323">
        <v>0</v>
      </c>
      <c r="CV43" s="323">
        <v>0</v>
      </c>
      <c r="CW43" s="323">
        <v>0</v>
      </c>
      <c r="CX43" s="323">
        <v>0</v>
      </c>
      <c r="CY43" s="323">
        <v>0</v>
      </c>
      <c r="CZ43" s="323">
        <v>0</v>
      </c>
      <c r="DA43" s="323">
        <v>0</v>
      </c>
      <c r="DB43" s="323">
        <v>0</v>
      </c>
      <c r="DC43" s="323">
        <v>0</v>
      </c>
      <c r="DD43" s="328">
        <v>0</v>
      </c>
      <c r="DE43" s="4"/>
      <c r="DF43" s="416">
        <v>0</v>
      </c>
      <c r="DG43" s="417">
        <v>0</v>
      </c>
      <c r="DH43" s="417">
        <v>0</v>
      </c>
      <c r="DI43" s="417">
        <v>0</v>
      </c>
      <c r="DJ43" s="417">
        <v>0</v>
      </c>
      <c r="DK43" s="417">
        <v>0</v>
      </c>
      <c r="DL43" s="417">
        <v>0</v>
      </c>
      <c r="DM43" s="417">
        <v>0</v>
      </c>
      <c r="DN43" s="417">
        <v>0</v>
      </c>
      <c r="DO43" s="417">
        <v>0</v>
      </c>
      <c r="DP43" s="417">
        <v>0</v>
      </c>
      <c r="DQ43" s="417">
        <v>0</v>
      </c>
      <c r="DS43" s="327">
        <v>18</v>
      </c>
      <c r="DT43" s="323">
        <v>0</v>
      </c>
      <c r="DU43" s="323">
        <v>0</v>
      </c>
      <c r="DV43" s="323">
        <v>0</v>
      </c>
      <c r="DW43" s="323">
        <v>0</v>
      </c>
      <c r="DX43" s="323">
        <v>0</v>
      </c>
      <c r="DY43" s="323">
        <v>18</v>
      </c>
      <c r="DZ43" s="328">
        <v>36</v>
      </c>
      <c r="EA43" s="4"/>
      <c r="EB43" s="418" t="s">
        <v>204</v>
      </c>
      <c r="EC43" s="419" t="s">
        <v>374</v>
      </c>
      <c r="ED43" s="340">
        <v>0.37836086815678655</v>
      </c>
      <c r="EE43" s="340">
        <v>0.15238095238095239</v>
      </c>
      <c r="EF43" s="340">
        <v>3.8095238095238099E-2</v>
      </c>
      <c r="EG43" s="323">
        <v>16</v>
      </c>
      <c r="EH43" s="420"/>
      <c r="EI43" s="420">
        <v>39.727891156462583</v>
      </c>
      <c r="EJ43" s="421"/>
      <c r="EK43" s="323">
        <v>104</v>
      </c>
      <c r="EL43" s="323">
        <v>106</v>
      </c>
      <c r="EM43" s="323">
        <v>103</v>
      </c>
      <c r="EN43" s="323">
        <v>103</v>
      </c>
      <c r="EO43" s="323">
        <v>109</v>
      </c>
      <c r="EP43" s="323">
        <v>0</v>
      </c>
      <c r="EQ43" s="323">
        <v>0</v>
      </c>
      <c r="ER43" s="323">
        <v>0</v>
      </c>
      <c r="ES43" s="323">
        <v>0</v>
      </c>
      <c r="ET43" s="323">
        <v>0</v>
      </c>
      <c r="EU43" s="323">
        <v>0</v>
      </c>
      <c r="EV43" s="323">
        <v>0</v>
      </c>
      <c r="EW43" s="347">
        <v>105</v>
      </c>
      <c r="EX43" s="323">
        <v>109</v>
      </c>
      <c r="EY43" s="323">
        <v>0</v>
      </c>
      <c r="EZ43" s="323">
        <v>6</v>
      </c>
      <c r="FA43" s="323">
        <v>1</v>
      </c>
      <c r="FB43" s="323">
        <v>0</v>
      </c>
      <c r="FC43" s="323">
        <v>0</v>
      </c>
      <c r="FD43" s="323">
        <v>0</v>
      </c>
      <c r="FE43" s="323">
        <v>8</v>
      </c>
      <c r="FF43" s="323">
        <v>0</v>
      </c>
      <c r="FG43" s="323">
        <v>1</v>
      </c>
      <c r="FH43" s="323">
        <v>16</v>
      </c>
      <c r="FI43" s="323">
        <v>4</v>
      </c>
      <c r="FJ43" s="4"/>
      <c r="FK43" s="323">
        <v>104</v>
      </c>
      <c r="FL43" s="323">
        <v>5</v>
      </c>
      <c r="FM43" s="2"/>
      <c r="FN43" s="323">
        <v>14</v>
      </c>
      <c r="FO43" s="323">
        <v>2</v>
      </c>
      <c r="FP43" s="323">
        <v>0</v>
      </c>
      <c r="FR43" s="418" t="s">
        <v>204</v>
      </c>
      <c r="FS43" s="419" t="s">
        <v>374</v>
      </c>
      <c r="FT43" s="340" t="e">
        <v>#DIV/0!</v>
      </c>
      <c r="FU43" s="340" t="e">
        <v>#DIV/0!</v>
      </c>
      <c r="FV43" s="340" t="e">
        <v>#DIV/0!</v>
      </c>
      <c r="FW43" s="323">
        <v>0</v>
      </c>
      <c r="FX43" s="420"/>
      <c r="FY43" s="420">
        <v>0</v>
      </c>
      <c r="FZ43" s="421"/>
      <c r="GA43" s="323">
        <v>0</v>
      </c>
      <c r="GB43" s="323">
        <v>0</v>
      </c>
      <c r="GC43" s="323">
        <v>0</v>
      </c>
      <c r="GD43" s="323">
        <v>0</v>
      </c>
      <c r="GE43" s="323">
        <v>0</v>
      </c>
      <c r="GF43" s="323">
        <v>0</v>
      </c>
      <c r="GG43" s="323">
        <v>0</v>
      </c>
      <c r="GH43" s="323">
        <v>0</v>
      </c>
      <c r="GI43" s="323">
        <v>0</v>
      </c>
      <c r="GJ43" s="323">
        <v>0</v>
      </c>
      <c r="GK43" s="323">
        <v>0</v>
      </c>
      <c r="GL43" s="323">
        <v>0</v>
      </c>
      <c r="GM43" s="347" t="e">
        <v>#DIV/0!</v>
      </c>
      <c r="GN43" s="341">
        <v>0</v>
      </c>
      <c r="GO43" s="323">
        <v>0</v>
      </c>
      <c r="GP43" s="323">
        <v>0</v>
      </c>
      <c r="GQ43" s="323">
        <v>0</v>
      </c>
      <c r="GR43" s="323">
        <v>0</v>
      </c>
      <c r="GS43" s="323">
        <v>0</v>
      </c>
      <c r="GT43" s="323">
        <v>0</v>
      </c>
      <c r="GU43" s="323">
        <v>0</v>
      </c>
      <c r="GV43" s="323">
        <v>0</v>
      </c>
      <c r="GW43" s="323">
        <v>0</v>
      </c>
      <c r="GX43" s="323">
        <v>0</v>
      </c>
      <c r="GY43" s="323">
        <v>0</v>
      </c>
      <c r="GZ43" s="4"/>
      <c r="HA43" s="323">
        <v>0</v>
      </c>
      <c r="HB43" s="323">
        <v>0</v>
      </c>
      <c r="HC43" s="2"/>
      <c r="HD43" s="323">
        <v>0</v>
      </c>
      <c r="HE43" s="323">
        <v>0</v>
      </c>
      <c r="HF43" s="323">
        <v>0</v>
      </c>
      <c r="HH43">
        <v>0</v>
      </c>
      <c r="HI43">
        <v>0</v>
      </c>
      <c r="HJ43">
        <v>4</v>
      </c>
      <c r="HK43">
        <v>3.5398230088495575E-2</v>
      </c>
      <c r="HL43">
        <v>9</v>
      </c>
      <c r="HM43">
        <v>7.9646017699115043E-2</v>
      </c>
      <c r="HN43">
        <v>14</v>
      </c>
      <c r="HO43">
        <v>0.12389380530973451</v>
      </c>
      <c r="HP43">
        <v>21</v>
      </c>
      <c r="HQ43">
        <v>0.18584070796460178</v>
      </c>
      <c r="HR43">
        <v>31</v>
      </c>
      <c r="HS43">
        <v>0.27433628318584069</v>
      </c>
      <c r="HT43">
        <v>82</v>
      </c>
      <c r="HU43">
        <v>0.72566371681415931</v>
      </c>
      <c r="HV43">
        <v>113</v>
      </c>
    </row>
    <row r="44" spans="1:230" x14ac:dyDescent="0.25">
      <c r="A44" t="s">
        <v>529</v>
      </c>
      <c r="B44" s="4">
        <v>3063</v>
      </c>
      <c r="C44" s="444" t="s">
        <v>229</v>
      </c>
      <c r="D44" s="418" t="s">
        <v>208</v>
      </c>
      <c r="E44" s="419" t="s">
        <v>529</v>
      </c>
      <c r="F44" s="340">
        <v>0.48907441764584619</v>
      </c>
      <c r="G44" s="340">
        <v>0.19696969696969696</v>
      </c>
      <c r="H44" s="340">
        <v>1.5151515151515152E-2</v>
      </c>
      <c r="I44" s="323">
        <v>13</v>
      </c>
      <c r="J44" s="420"/>
      <c r="K44" s="478">
        <v>32.278911564625851</v>
      </c>
      <c r="L44" s="421"/>
      <c r="M44" s="323">
        <v>68</v>
      </c>
      <c r="N44" s="323">
        <v>69</v>
      </c>
      <c r="O44" s="323">
        <v>65</v>
      </c>
      <c r="P44" s="323">
        <v>64</v>
      </c>
      <c r="Q44" s="323">
        <v>64</v>
      </c>
      <c r="R44" s="323">
        <v>0</v>
      </c>
      <c r="S44" s="323">
        <v>0</v>
      </c>
      <c r="T44" s="323">
        <v>0</v>
      </c>
      <c r="U44" s="323">
        <v>0</v>
      </c>
      <c r="V44" s="323">
        <v>0</v>
      </c>
      <c r="W44" s="323">
        <v>0</v>
      </c>
      <c r="X44" s="323">
        <v>0</v>
      </c>
      <c r="Y44" s="347">
        <v>66</v>
      </c>
      <c r="Z44" s="323">
        <v>64</v>
      </c>
      <c r="AA44" s="323">
        <v>0</v>
      </c>
      <c r="AB44" s="323">
        <v>1</v>
      </c>
      <c r="AC44" s="323">
        <v>0</v>
      </c>
      <c r="AD44" s="323">
        <v>0</v>
      </c>
      <c r="AE44" s="323">
        <v>0</v>
      </c>
      <c r="AF44" s="323">
        <v>0</v>
      </c>
      <c r="AG44" s="323">
        <v>11</v>
      </c>
      <c r="AH44" s="323">
        <v>0</v>
      </c>
      <c r="AI44" s="323">
        <v>1</v>
      </c>
      <c r="AJ44" s="323">
        <v>13</v>
      </c>
      <c r="AK44" s="328">
        <v>1</v>
      </c>
      <c r="AL44" s="4" t="s">
        <v>208</v>
      </c>
      <c r="AM44" s="327">
        <v>63</v>
      </c>
      <c r="AN44" s="328">
        <v>1</v>
      </c>
      <c r="AO44" s="2"/>
      <c r="AP44" s="323">
        <v>12</v>
      </c>
      <c r="AQ44" s="323">
        <v>1</v>
      </c>
      <c r="AR44" s="323">
        <v>0</v>
      </c>
      <c r="AS44" s="2"/>
      <c r="AT44" s="323">
        <v>2</v>
      </c>
      <c r="AU44" s="323">
        <v>1</v>
      </c>
      <c r="AV44" s="323">
        <v>6</v>
      </c>
      <c r="AW44" s="323">
        <v>3</v>
      </c>
      <c r="AX44" s="323">
        <v>1</v>
      </c>
      <c r="AY44" s="323">
        <v>0</v>
      </c>
      <c r="AZ44" s="323">
        <v>0</v>
      </c>
      <c r="BA44" s="323">
        <v>0</v>
      </c>
      <c r="BB44" s="323">
        <v>0</v>
      </c>
      <c r="BC44" s="323">
        <v>0</v>
      </c>
      <c r="BD44" s="323">
        <v>0</v>
      </c>
      <c r="BE44" s="323">
        <v>0</v>
      </c>
      <c r="BF44" s="2" t="s">
        <v>529</v>
      </c>
      <c r="BG44" s="327">
        <v>0</v>
      </c>
      <c r="BH44" s="323">
        <v>2</v>
      </c>
      <c r="BI44" s="323">
        <v>3</v>
      </c>
      <c r="BJ44" s="323">
        <v>2</v>
      </c>
      <c r="BK44" s="323">
        <v>1</v>
      </c>
      <c r="BL44" s="323">
        <v>0</v>
      </c>
      <c r="BM44" s="323">
        <v>0</v>
      </c>
      <c r="BN44" s="323">
        <v>0</v>
      </c>
      <c r="BO44" s="323">
        <v>0</v>
      </c>
      <c r="BP44" s="323">
        <v>0</v>
      </c>
      <c r="BQ44" s="323">
        <v>0</v>
      </c>
      <c r="BR44" s="328">
        <v>0</v>
      </c>
      <c r="BS44" s="323">
        <v>8</v>
      </c>
      <c r="BT44" s="329">
        <v>0.38340336134453784</v>
      </c>
      <c r="BU44" s="330">
        <v>0.28545359749739313</v>
      </c>
      <c r="BV44" s="330">
        <v>0.53612229354803609</v>
      </c>
      <c r="BW44" s="330">
        <v>0.5534845517154231</v>
      </c>
      <c r="BX44" s="330">
        <v>0.48907441764584625</v>
      </c>
      <c r="BY44" s="330">
        <v>0.47402597402597396</v>
      </c>
      <c r="BZ44" s="330">
        <v>0.47929292929292927</v>
      </c>
      <c r="CA44" s="330">
        <v>0.48332060096765983</v>
      </c>
      <c r="CB44" s="330">
        <v>0.48181818181818187</v>
      </c>
      <c r="CC44" s="330">
        <v>0.48555320648343897</v>
      </c>
      <c r="CD44" s="330">
        <v>0.48865248226950353</v>
      </c>
      <c r="CE44" s="331">
        <v>0.47272727272727272</v>
      </c>
      <c r="CF44" s="2"/>
      <c r="CG44" s="327">
        <v>14</v>
      </c>
      <c r="CH44" s="323">
        <v>16</v>
      </c>
      <c r="CI44" s="323">
        <v>14</v>
      </c>
      <c r="CJ44" s="323">
        <v>14</v>
      </c>
      <c r="CK44" s="323">
        <v>0</v>
      </c>
      <c r="CL44" s="323">
        <v>0</v>
      </c>
      <c r="CM44" s="323">
        <v>0</v>
      </c>
      <c r="CN44" s="323">
        <v>0</v>
      </c>
      <c r="CO44" s="323">
        <v>0</v>
      </c>
      <c r="CP44" s="323">
        <v>0</v>
      </c>
      <c r="CQ44" s="323">
        <v>0</v>
      </c>
      <c r="CR44" s="332">
        <v>0</v>
      </c>
      <c r="CS44" s="327">
        <v>0</v>
      </c>
      <c r="CT44" s="323">
        <v>0</v>
      </c>
      <c r="CU44" s="323">
        <v>0</v>
      </c>
      <c r="CV44" s="323">
        <v>0</v>
      </c>
      <c r="CW44" s="323">
        <v>0</v>
      </c>
      <c r="CX44" s="323">
        <v>0</v>
      </c>
      <c r="CY44" s="323">
        <v>0</v>
      </c>
      <c r="CZ44" s="323">
        <v>0</v>
      </c>
      <c r="DA44" s="323">
        <v>0</v>
      </c>
      <c r="DB44" s="323">
        <v>0</v>
      </c>
      <c r="DC44" s="323">
        <v>0</v>
      </c>
      <c r="DD44" s="328">
        <v>0</v>
      </c>
      <c r="DE44" s="4"/>
      <c r="DF44" s="416">
        <v>0</v>
      </c>
      <c r="DG44" s="417">
        <v>0</v>
      </c>
      <c r="DH44" s="417">
        <v>0</v>
      </c>
      <c r="DI44" s="417">
        <v>0</v>
      </c>
      <c r="DJ44" s="417">
        <v>0</v>
      </c>
      <c r="DK44" s="417">
        <v>0</v>
      </c>
      <c r="DL44" s="417">
        <v>0</v>
      </c>
      <c r="DM44" s="417">
        <v>0</v>
      </c>
      <c r="DN44" s="417">
        <v>0</v>
      </c>
      <c r="DO44" s="417">
        <v>0</v>
      </c>
      <c r="DP44" s="417">
        <v>0</v>
      </c>
      <c r="DQ44" s="417">
        <v>0</v>
      </c>
      <c r="DS44" s="327">
        <v>4</v>
      </c>
      <c r="DT44" s="323">
        <v>0</v>
      </c>
      <c r="DU44" s="323">
        <v>0</v>
      </c>
      <c r="DV44" s="323">
        <v>0</v>
      </c>
      <c r="DW44" s="323">
        <v>0</v>
      </c>
      <c r="DX44" s="323">
        <v>0</v>
      </c>
      <c r="DY44" s="323">
        <v>4</v>
      </c>
      <c r="DZ44" s="328">
        <v>8</v>
      </c>
      <c r="EA44" s="4"/>
      <c r="EB44" s="418" t="s">
        <v>208</v>
      </c>
      <c r="EC44" s="419" t="s">
        <v>376</v>
      </c>
      <c r="ED44" s="340">
        <v>0.48907441764584619</v>
      </c>
      <c r="EE44" s="340">
        <v>0.19696969696969696</v>
      </c>
      <c r="EF44" s="340">
        <v>1.5151515151515152E-2</v>
      </c>
      <c r="EG44" s="323">
        <v>13</v>
      </c>
      <c r="EH44" s="420"/>
      <c r="EI44" s="420">
        <v>32.278911564625851</v>
      </c>
      <c r="EJ44" s="421"/>
      <c r="EK44" s="323">
        <v>68</v>
      </c>
      <c r="EL44" s="323">
        <v>69</v>
      </c>
      <c r="EM44" s="323">
        <v>65</v>
      </c>
      <c r="EN44" s="323">
        <v>64</v>
      </c>
      <c r="EO44" s="323">
        <v>64</v>
      </c>
      <c r="EP44" s="323">
        <v>0</v>
      </c>
      <c r="EQ44" s="323">
        <v>0</v>
      </c>
      <c r="ER44" s="323">
        <v>0</v>
      </c>
      <c r="ES44" s="323">
        <v>0</v>
      </c>
      <c r="ET44" s="323">
        <v>0</v>
      </c>
      <c r="EU44" s="323">
        <v>0</v>
      </c>
      <c r="EV44" s="323">
        <v>0</v>
      </c>
      <c r="EW44" s="347">
        <v>66</v>
      </c>
      <c r="EX44" s="323">
        <v>64</v>
      </c>
      <c r="EY44" s="323">
        <v>0</v>
      </c>
      <c r="EZ44" s="323">
        <v>1</v>
      </c>
      <c r="FA44" s="323">
        <v>0</v>
      </c>
      <c r="FB44" s="323">
        <v>0</v>
      </c>
      <c r="FC44" s="323">
        <v>0</v>
      </c>
      <c r="FD44" s="323">
        <v>0</v>
      </c>
      <c r="FE44" s="323">
        <v>11</v>
      </c>
      <c r="FF44" s="323">
        <v>0</v>
      </c>
      <c r="FG44" s="323">
        <v>1</v>
      </c>
      <c r="FH44" s="323">
        <v>13</v>
      </c>
      <c r="FI44" s="323">
        <v>1</v>
      </c>
      <c r="FJ44" s="4"/>
      <c r="FK44" s="323">
        <v>63</v>
      </c>
      <c r="FL44" s="323">
        <v>1</v>
      </c>
      <c r="FM44" s="2"/>
      <c r="FN44" s="323">
        <v>12</v>
      </c>
      <c r="FO44" s="323">
        <v>1</v>
      </c>
      <c r="FP44" s="323">
        <v>0</v>
      </c>
      <c r="FR44" s="418" t="s">
        <v>208</v>
      </c>
      <c r="FS44" s="419" t="s">
        <v>376</v>
      </c>
      <c r="FT44" s="340" t="e">
        <v>#DIV/0!</v>
      </c>
      <c r="FU44" s="340" t="e">
        <v>#DIV/0!</v>
      </c>
      <c r="FV44" s="340" t="e">
        <v>#DIV/0!</v>
      </c>
      <c r="FW44" s="323">
        <v>0</v>
      </c>
      <c r="FX44" s="420"/>
      <c r="FY44" s="420">
        <v>0</v>
      </c>
      <c r="FZ44" s="421"/>
      <c r="GA44" s="323">
        <v>0</v>
      </c>
      <c r="GB44" s="323">
        <v>0</v>
      </c>
      <c r="GC44" s="323">
        <v>0</v>
      </c>
      <c r="GD44" s="323">
        <v>0</v>
      </c>
      <c r="GE44" s="323">
        <v>0</v>
      </c>
      <c r="GF44" s="323">
        <v>0</v>
      </c>
      <c r="GG44" s="323">
        <v>0</v>
      </c>
      <c r="GH44" s="323">
        <v>0</v>
      </c>
      <c r="GI44" s="323">
        <v>0</v>
      </c>
      <c r="GJ44" s="323">
        <v>0</v>
      </c>
      <c r="GK44" s="323">
        <v>0</v>
      </c>
      <c r="GL44" s="323">
        <v>0</v>
      </c>
      <c r="GM44" s="347" t="e">
        <v>#DIV/0!</v>
      </c>
      <c r="GN44" s="341">
        <v>0</v>
      </c>
      <c r="GO44" s="323">
        <v>0</v>
      </c>
      <c r="GP44" s="323">
        <v>0</v>
      </c>
      <c r="GQ44" s="323">
        <v>0</v>
      </c>
      <c r="GR44" s="323">
        <v>0</v>
      </c>
      <c r="GS44" s="323">
        <v>0</v>
      </c>
      <c r="GT44" s="323">
        <v>0</v>
      </c>
      <c r="GU44" s="323">
        <v>0</v>
      </c>
      <c r="GV44" s="323">
        <v>0</v>
      </c>
      <c r="GW44" s="323">
        <v>0</v>
      </c>
      <c r="GX44" s="323">
        <v>0</v>
      </c>
      <c r="GY44" s="323">
        <v>0</v>
      </c>
      <c r="GZ44" s="4"/>
      <c r="HA44" s="323">
        <v>0</v>
      </c>
      <c r="HB44" s="323">
        <v>0</v>
      </c>
      <c r="HC44" s="2"/>
      <c r="HD44" s="323">
        <v>0</v>
      </c>
      <c r="HE44" s="323">
        <v>0</v>
      </c>
      <c r="HF44" s="323">
        <v>0</v>
      </c>
      <c r="HH44">
        <v>0</v>
      </c>
      <c r="HI44">
        <v>0</v>
      </c>
      <c r="HJ44">
        <v>1</v>
      </c>
      <c r="HK44">
        <v>1.282051282051282E-2</v>
      </c>
      <c r="HL44">
        <v>2</v>
      </c>
      <c r="HM44">
        <v>2.564102564102564E-2</v>
      </c>
      <c r="HN44">
        <v>5</v>
      </c>
      <c r="HO44">
        <v>6.4102564102564097E-2</v>
      </c>
      <c r="HP44">
        <v>8</v>
      </c>
      <c r="HQ44">
        <v>0.10256410256410256</v>
      </c>
      <c r="HR44">
        <v>14</v>
      </c>
      <c r="HS44">
        <v>0.17948717948717949</v>
      </c>
      <c r="HT44">
        <v>64</v>
      </c>
      <c r="HU44">
        <v>0.82051282051282048</v>
      </c>
      <c r="HV44">
        <v>78</v>
      </c>
    </row>
    <row r="45" spans="1:230" x14ac:dyDescent="0.25">
      <c r="A45" t="s">
        <v>530</v>
      </c>
      <c r="B45" s="4">
        <v>3077</v>
      </c>
      <c r="C45" s="444" t="s">
        <v>260</v>
      </c>
      <c r="D45" s="418" t="s">
        <v>204</v>
      </c>
      <c r="E45" s="419" t="s">
        <v>530</v>
      </c>
      <c r="F45" s="340">
        <v>0.52163722631909903</v>
      </c>
      <c r="G45" s="340">
        <v>0.21008403361344538</v>
      </c>
      <c r="H45" s="340">
        <v>4.2016806722689072E-2</v>
      </c>
      <c r="I45" s="323">
        <v>10</v>
      </c>
      <c r="J45" s="420"/>
      <c r="K45" s="478">
        <v>24.829931972789115</v>
      </c>
      <c r="L45" s="421"/>
      <c r="M45" s="323">
        <v>47</v>
      </c>
      <c r="N45" s="323">
        <v>47</v>
      </c>
      <c r="O45" s="323">
        <v>48</v>
      </c>
      <c r="P45" s="323">
        <v>48</v>
      </c>
      <c r="Q45" s="323">
        <v>48</v>
      </c>
      <c r="R45" s="323">
        <v>0</v>
      </c>
      <c r="S45" s="323">
        <v>0</v>
      </c>
      <c r="T45" s="323">
        <v>0</v>
      </c>
      <c r="U45" s="323">
        <v>0</v>
      </c>
      <c r="V45" s="323">
        <v>0</v>
      </c>
      <c r="W45" s="323">
        <v>0</v>
      </c>
      <c r="X45" s="323">
        <v>0</v>
      </c>
      <c r="Y45" s="347">
        <v>47.6</v>
      </c>
      <c r="Z45" s="323">
        <v>48</v>
      </c>
      <c r="AA45" s="323">
        <v>0</v>
      </c>
      <c r="AB45" s="323">
        <v>3</v>
      </c>
      <c r="AC45" s="323">
        <v>3</v>
      </c>
      <c r="AD45" s="323">
        <v>1</v>
      </c>
      <c r="AE45" s="323">
        <v>0</v>
      </c>
      <c r="AF45" s="323">
        <v>0</v>
      </c>
      <c r="AG45" s="323">
        <v>3</v>
      </c>
      <c r="AH45" s="323">
        <v>0</v>
      </c>
      <c r="AI45" s="323">
        <v>0</v>
      </c>
      <c r="AJ45" s="323">
        <v>10</v>
      </c>
      <c r="AK45" s="328">
        <v>2</v>
      </c>
      <c r="AL45" s="4" t="s">
        <v>204</v>
      </c>
      <c r="AM45" s="327">
        <v>45</v>
      </c>
      <c r="AN45" s="328">
        <v>3</v>
      </c>
      <c r="AO45" s="2"/>
      <c r="AP45" s="323">
        <v>6</v>
      </c>
      <c r="AQ45" s="323">
        <v>4</v>
      </c>
      <c r="AR45" s="323">
        <v>0</v>
      </c>
      <c r="AS45" s="2"/>
      <c r="AT45" s="323">
        <v>5</v>
      </c>
      <c r="AU45" s="323">
        <v>1</v>
      </c>
      <c r="AV45" s="323">
        <v>1</v>
      </c>
      <c r="AW45" s="323">
        <v>1</v>
      </c>
      <c r="AX45" s="323">
        <v>2</v>
      </c>
      <c r="AY45" s="323">
        <v>0</v>
      </c>
      <c r="AZ45" s="323">
        <v>0</v>
      </c>
      <c r="BA45" s="323">
        <v>0</v>
      </c>
      <c r="BB45" s="323">
        <v>0</v>
      </c>
      <c r="BC45" s="323">
        <v>0</v>
      </c>
      <c r="BD45" s="323">
        <v>0</v>
      </c>
      <c r="BE45" s="323">
        <v>0</v>
      </c>
      <c r="BF45" s="2" t="s">
        <v>530</v>
      </c>
      <c r="BG45" s="327">
        <v>6</v>
      </c>
      <c r="BH45" s="323">
        <v>1</v>
      </c>
      <c r="BI45" s="323">
        <v>2</v>
      </c>
      <c r="BJ45" s="323">
        <v>1</v>
      </c>
      <c r="BK45" s="323">
        <v>2</v>
      </c>
      <c r="BL45" s="323">
        <v>0</v>
      </c>
      <c r="BM45" s="323">
        <v>0</v>
      </c>
      <c r="BN45" s="323">
        <v>0</v>
      </c>
      <c r="BO45" s="323">
        <v>0</v>
      </c>
      <c r="BP45" s="323">
        <v>0</v>
      </c>
      <c r="BQ45" s="323">
        <v>0</v>
      </c>
      <c r="BR45" s="328">
        <v>0</v>
      </c>
      <c r="BS45" s="323">
        <v>12</v>
      </c>
      <c r="BT45" s="329">
        <v>1.3867781155015197</v>
      </c>
      <c r="BU45" s="330">
        <v>0.83206686930091189</v>
      </c>
      <c r="BV45" s="330">
        <v>0.59317443120260016</v>
      </c>
      <c r="BW45" s="330">
        <v>0.51658558160106149</v>
      </c>
      <c r="BX45" s="330">
        <v>0.52163722631909903</v>
      </c>
      <c r="BY45" s="330">
        <v>0.50558685012466531</v>
      </c>
      <c r="BZ45" s="330">
        <v>0.51120448179271705</v>
      </c>
      <c r="CA45" s="330">
        <v>0.51550031777416849</v>
      </c>
      <c r="CB45" s="330">
        <v>0.51389786683904337</v>
      </c>
      <c r="CC45" s="330">
        <v>0.51788157123314438</v>
      </c>
      <c r="CD45" s="330">
        <v>0.52118719828356874</v>
      </c>
      <c r="CE45" s="331">
        <v>0.50420168067226889</v>
      </c>
      <c r="CF45" s="2"/>
      <c r="CG45" s="327">
        <v>15</v>
      </c>
      <c r="CH45" s="323">
        <v>15</v>
      </c>
      <c r="CI45" s="323">
        <v>12</v>
      </c>
      <c r="CJ45" s="323">
        <v>11</v>
      </c>
      <c r="CK45" s="323">
        <v>0</v>
      </c>
      <c r="CL45" s="323">
        <v>0</v>
      </c>
      <c r="CM45" s="323">
        <v>0</v>
      </c>
      <c r="CN45" s="323">
        <v>0</v>
      </c>
      <c r="CO45" s="323">
        <v>0</v>
      </c>
      <c r="CP45" s="323">
        <v>0</v>
      </c>
      <c r="CQ45" s="323">
        <v>0</v>
      </c>
      <c r="CR45" s="332">
        <v>0</v>
      </c>
      <c r="CS45" s="327">
        <v>0</v>
      </c>
      <c r="CT45" s="323">
        <v>0</v>
      </c>
      <c r="CU45" s="323">
        <v>0</v>
      </c>
      <c r="CV45" s="323">
        <v>0</v>
      </c>
      <c r="CW45" s="323">
        <v>0</v>
      </c>
      <c r="CX45" s="323">
        <v>0</v>
      </c>
      <c r="CY45" s="323">
        <v>0</v>
      </c>
      <c r="CZ45" s="323">
        <v>0</v>
      </c>
      <c r="DA45" s="323">
        <v>0</v>
      </c>
      <c r="DB45" s="323">
        <v>0</v>
      </c>
      <c r="DC45" s="323">
        <v>0</v>
      </c>
      <c r="DD45" s="328">
        <v>0</v>
      </c>
      <c r="DE45" s="4"/>
      <c r="DF45" s="416">
        <v>0</v>
      </c>
      <c r="DG45" s="417">
        <v>0</v>
      </c>
      <c r="DH45" s="417">
        <v>0</v>
      </c>
      <c r="DI45" s="417">
        <v>0</v>
      </c>
      <c r="DJ45" s="417">
        <v>0</v>
      </c>
      <c r="DK45" s="417">
        <v>0</v>
      </c>
      <c r="DL45" s="417">
        <v>0</v>
      </c>
      <c r="DM45" s="417">
        <v>0</v>
      </c>
      <c r="DN45" s="417">
        <v>0</v>
      </c>
      <c r="DO45" s="417">
        <v>0</v>
      </c>
      <c r="DP45" s="417">
        <v>0</v>
      </c>
      <c r="DQ45" s="417">
        <v>0</v>
      </c>
      <c r="DS45" s="327">
        <v>5</v>
      </c>
      <c r="DT45" s="323">
        <v>0</v>
      </c>
      <c r="DU45" s="323">
        <v>0</v>
      </c>
      <c r="DV45" s="323">
        <v>0</v>
      </c>
      <c r="DW45" s="323">
        <v>0</v>
      </c>
      <c r="DX45" s="323">
        <v>0</v>
      </c>
      <c r="DY45" s="323">
        <v>7</v>
      </c>
      <c r="DZ45" s="328">
        <v>12</v>
      </c>
      <c r="EA45" s="4"/>
      <c r="EB45" s="418" t="s">
        <v>204</v>
      </c>
      <c r="EC45" s="419" t="s">
        <v>378</v>
      </c>
      <c r="ED45" s="340">
        <v>0.52163722631909903</v>
      </c>
      <c r="EE45" s="340">
        <v>0.21008403361344538</v>
      </c>
      <c r="EF45" s="340">
        <v>4.2016806722689072E-2</v>
      </c>
      <c r="EG45" s="323">
        <v>10</v>
      </c>
      <c r="EH45" s="420"/>
      <c r="EI45" s="420">
        <v>24.829931972789115</v>
      </c>
      <c r="EJ45" s="421"/>
      <c r="EK45" s="323">
        <v>47</v>
      </c>
      <c r="EL45" s="323">
        <v>47</v>
      </c>
      <c r="EM45" s="323">
        <v>48</v>
      </c>
      <c r="EN45" s="323">
        <v>48</v>
      </c>
      <c r="EO45" s="323">
        <v>48</v>
      </c>
      <c r="EP45" s="323">
        <v>0</v>
      </c>
      <c r="EQ45" s="323">
        <v>0</v>
      </c>
      <c r="ER45" s="323">
        <v>0</v>
      </c>
      <c r="ES45" s="323">
        <v>0</v>
      </c>
      <c r="ET45" s="323">
        <v>0</v>
      </c>
      <c r="EU45" s="323">
        <v>0</v>
      </c>
      <c r="EV45" s="323">
        <v>0</v>
      </c>
      <c r="EW45" s="347">
        <v>47.6</v>
      </c>
      <c r="EX45" s="323">
        <v>48</v>
      </c>
      <c r="EY45" s="323">
        <v>0</v>
      </c>
      <c r="EZ45" s="323">
        <v>3</v>
      </c>
      <c r="FA45" s="323">
        <v>3</v>
      </c>
      <c r="FB45" s="323">
        <v>1</v>
      </c>
      <c r="FC45" s="323">
        <v>0</v>
      </c>
      <c r="FD45" s="323">
        <v>0</v>
      </c>
      <c r="FE45" s="323">
        <v>3</v>
      </c>
      <c r="FF45" s="323">
        <v>0</v>
      </c>
      <c r="FG45" s="323">
        <v>0</v>
      </c>
      <c r="FH45" s="323">
        <v>10</v>
      </c>
      <c r="FI45" s="323">
        <v>2</v>
      </c>
      <c r="FJ45" s="4"/>
      <c r="FK45" s="323">
        <v>45</v>
      </c>
      <c r="FL45" s="323">
        <v>3</v>
      </c>
      <c r="FM45" s="2"/>
      <c r="FN45" s="323">
        <v>6</v>
      </c>
      <c r="FO45" s="323">
        <v>4</v>
      </c>
      <c r="FP45" s="323">
        <v>0</v>
      </c>
      <c r="FR45" s="418" t="s">
        <v>204</v>
      </c>
      <c r="FS45" s="419" t="s">
        <v>378</v>
      </c>
      <c r="FT45" s="340" t="e">
        <v>#DIV/0!</v>
      </c>
      <c r="FU45" s="340" t="e">
        <v>#DIV/0!</v>
      </c>
      <c r="FV45" s="340" t="e">
        <v>#DIV/0!</v>
      </c>
      <c r="FW45" s="323">
        <v>0</v>
      </c>
      <c r="FX45" s="420"/>
      <c r="FY45" s="420">
        <v>0</v>
      </c>
      <c r="FZ45" s="421"/>
      <c r="GA45" s="323">
        <v>0</v>
      </c>
      <c r="GB45" s="323">
        <v>0</v>
      </c>
      <c r="GC45" s="323">
        <v>0</v>
      </c>
      <c r="GD45" s="323">
        <v>0</v>
      </c>
      <c r="GE45" s="323">
        <v>0</v>
      </c>
      <c r="GF45" s="323">
        <v>0</v>
      </c>
      <c r="GG45" s="323">
        <v>0</v>
      </c>
      <c r="GH45" s="323">
        <v>0</v>
      </c>
      <c r="GI45" s="323">
        <v>0</v>
      </c>
      <c r="GJ45" s="323">
        <v>0</v>
      </c>
      <c r="GK45" s="323">
        <v>0</v>
      </c>
      <c r="GL45" s="323">
        <v>0</v>
      </c>
      <c r="GM45" s="347" t="e">
        <v>#DIV/0!</v>
      </c>
      <c r="GN45" s="341">
        <v>0</v>
      </c>
      <c r="GO45" s="323">
        <v>0</v>
      </c>
      <c r="GP45" s="323">
        <v>0</v>
      </c>
      <c r="GQ45" s="323">
        <v>0</v>
      </c>
      <c r="GR45" s="323">
        <v>0</v>
      </c>
      <c r="GS45" s="323">
        <v>0</v>
      </c>
      <c r="GT45" s="323">
        <v>0</v>
      </c>
      <c r="GU45" s="323">
        <v>0</v>
      </c>
      <c r="GV45" s="323">
        <v>0</v>
      </c>
      <c r="GW45" s="323">
        <v>0</v>
      </c>
      <c r="GX45" s="323">
        <v>0</v>
      </c>
      <c r="GY45" s="323">
        <v>0</v>
      </c>
      <c r="GZ45" s="4"/>
      <c r="HA45" s="323">
        <v>0</v>
      </c>
      <c r="HB45" s="323">
        <v>0</v>
      </c>
      <c r="HC45" s="2"/>
      <c r="HD45" s="323">
        <v>0</v>
      </c>
      <c r="HE45" s="323">
        <v>0</v>
      </c>
      <c r="HF45" s="323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8</v>
      </c>
      <c r="HQ45">
        <v>0.13333333333333333</v>
      </c>
      <c r="HR45">
        <v>15</v>
      </c>
      <c r="HS45">
        <v>0.25</v>
      </c>
      <c r="HT45">
        <v>45</v>
      </c>
      <c r="HU45">
        <v>0.75</v>
      </c>
      <c r="HV45">
        <v>60</v>
      </c>
    </row>
    <row r="46" spans="1:230" x14ac:dyDescent="0.25">
      <c r="A46" t="s">
        <v>531</v>
      </c>
      <c r="B46" s="4">
        <v>3082</v>
      </c>
      <c r="C46" s="444" t="s">
        <v>278</v>
      </c>
      <c r="D46" s="418" t="s">
        <v>207</v>
      </c>
      <c r="E46" s="419" t="s">
        <v>531</v>
      </c>
      <c r="F46" s="340">
        <v>0.16776981062695345</v>
      </c>
      <c r="G46" s="340">
        <v>6.7567567567567557E-2</v>
      </c>
      <c r="H46" s="340">
        <v>0</v>
      </c>
      <c r="I46" s="323">
        <v>1</v>
      </c>
      <c r="J46" s="420"/>
      <c r="K46" s="478">
        <v>2.4829931972789114</v>
      </c>
      <c r="L46" s="421"/>
      <c r="M46" s="323">
        <v>14</v>
      </c>
      <c r="N46" s="323">
        <v>15</v>
      </c>
      <c r="O46" s="323">
        <v>15</v>
      </c>
      <c r="P46" s="323">
        <v>15</v>
      </c>
      <c r="Q46" s="323">
        <v>15</v>
      </c>
      <c r="R46" s="323">
        <v>0</v>
      </c>
      <c r="S46" s="323">
        <v>0</v>
      </c>
      <c r="T46" s="323">
        <v>0</v>
      </c>
      <c r="U46" s="323">
        <v>0</v>
      </c>
      <c r="V46" s="323">
        <v>0</v>
      </c>
      <c r="W46" s="323">
        <v>0</v>
      </c>
      <c r="X46" s="323">
        <v>0</v>
      </c>
      <c r="Y46" s="347">
        <v>14.8</v>
      </c>
      <c r="Z46" s="323">
        <v>15</v>
      </c>
      <c r="AA46" s="323">
        <v>0</v>
      </c>
      <c r="AB46" s="323">
        <v>0</v>
      </c>
      <c r="AC46" s="323">
        <v>0</v>
      </c>
      <c r="AD46" s="323">
        <v>0</v>
      </c>
      <c r="AE46" s="323">
        <v>0</v>
      </c>
      <c r="AF46" s="323">
        <v>0</v>
      </c>
      <c r="AG46" s="323">
        <v>1</v>
      </c>
      <c r="AH46" s="323">
        <v>0</v>
      </c>
      <c r="AI46" s="323">
        <v>0</v>
      </c>
      <c r="AJ46" s="323">
        <v>1</v>
      </c>
      <c r="AK46" s="328">
        <v>0</v>
      </c>
      <c r="AL46" s="4" t="s">
        <v>207</v>
      </c>
      <c r="AM46" s="327">
        <v>15</v>
      </c>
      <c r="AN46" s="328">
        <v>0</v>
      </c>
      <c r="AO46" s="2"/>
      <c r="AP46" s="323">
        <v>1</v>
      </c>
      <c r="AQ46" s="323">
        <v>0</v>
      </c>
      <c r="AR46" s="323">
        <v>0</v>
      </c>
      <c r="AS46" s="2"/>
      <c r="AT46" s="323">
        <v>0</v>
      </c>
      <c r="AU46" s="323">
        <v>0</v>
      </c>
      <c r="AV46" s="323">
        <v>1</v>
      </c>
      <c r="AW46" s="323">
        <v>0</v>
      </c>
      <c r="AX46" s="323">
        <v>0</v>
      </c>
      <c r="AY46" s="323">
        <v>0</v>
      </c>
      <c r="AZ46" s="323">
        <v>0</v>
      </c>
      <c r="BA46" s="323">
        <v>0</v>
      </c>
      <c r="BB46" s="323">
        <v>0</v>
      </c>
      <c r="BC46" s="323">
        <v>0</v>
      </c>
      <c r="BD46" s="323">
        <v>0</v>
      </c>
      <c r="BE46" s="323">
        <v>0</v>
      </c>
      <c r="BF46" s="2" t="s">
        <v>531</v>
      </c>
      <c r="BG46" s="327">
        <v>1</v>
      </c>
      <c r="BH46" s="323">
        <v>0</v>
      </c>
      <c r="BI46" s="323">
        <v>1</v>
      </c>
      <c r="BJ46" s="323">
        <v>0</v>
      </c>
      <c r="BK46" s="323">
        <v>0</v>
      </c>
      <c r="BL46" s="323">
        <v>0</v>
      </c>
      <c r="BM46" s="323">
        <v>0</v>
      </c>
      <c r="BN46" s="323">
        <v>0</v>
      </c>
      <c r="BO46" s="323">
        <v>0</v>
      </c>
      <c r="BP46" s="323">
        <v>0</v>
      </c>
      <c r="BQ46" s="323">
        <v>0</v>
      </c>
      <c r="BR46" s="328">
        <v>0</v>
      </c>
      <c r="BS46" s="323">
        <v>2</v>
      </c>
      <c r="BT46" s="329">
        <v>0</v>
      </c>
      <c r="BU46" s="330">
        <v>0</v>
      </c>
      <c r="BV46" s="330">
        <v>0.27347652347652346</v>
      </c>
      <c r="BW46" s="330">
        <v>0.20794758581398662</v>
      </c>
      <c r="BX46" s="330">
        <v>0.16776981062695348</v>
      </c>
      <c r="BY46" s="330">
        <v>0.1626076626076626</v>
      </c>
      <c r="BZ46" s="330">
        <v>0.16441441441441443</v>
      </c>
      <c r="CA46" s="330">
        <v>0.16579604814898935</v>
      </c>
      <c r="CB46" s="330">
        <v>0.16528066528066529</v>
      </c>
      <c r="CC46" s="330">
        <v>0.16656191074795726</v>
      </c>
      <c r="CD46" s="330">
        <v>0.16762507188039102</v>
      </c>
      <c r="CE46" s="331">
        <v>0.16216216216216214</v>
      </c>
      <c r="CF46" s="2"/>
      <c r="CG46" s="327">
        <v>4</v>
      </c>
      <c r="CH46" s="323">
        <v>5</v>
      </c>
      <c r="CI46" s="323">
        <v>5</v>
      </c>
      <c r="CJ46" s="323">
        <v>5</v>
      </c>
      <c r="CK46" s="323">
        <v>0</v>
      </c>
      <c r="CL46" s="323">
        <v>0</v>
      </c>
      <c r="CM46" s="323">
        <v>0</v>
      </c>
      <c r="CN46" s="323">
        <v>0</v>
      </c>
      <c r="CO46" s="323">
        <v>0</v>
      </c>
      <c r="CP46" s="323">
        <v>0</v>
      </c>
      <c r="CQ46" s="323">
        <v>0</v>
      </c>
      <c r="CR46" s="332">
        <v>0</v>
      </c>
      <c r="CS46" s="327">
        <v>0</v>
      </c>
      <c r="CT46" s="323">
        <v>0</v>
      </c>
      <c r="CU46" s="323">
        <v>0</v>
      </c>
      <c r="CV46" s="323">
        <v>0</v>
      </c>
      <c r="CW46" s="323">
        <v>0</v>
      </c>
      <c r="CX46" s="323">
        <v>0</v>
      </c>
      <c r="CY46" s="323">
        <v>0</v>
      </c>
      <c r="CZ46" s="323">
        <v>0</v>
      </c>
      <c r="DA46" s="323">
        <v>0</v>
      </c>
      <c r="DB46" s="323">
        <v>0</v>
      </c>
      <c r="DC46" s="323">
        <v>0</v>
      </c>
      <c r="DD46" s="328">
        <v>0</v>
      </c>
      <c r="DE46" s="4"/>
      <c r="DF46" s="416">
        <v>0</v>
      </c>
      <c r="DG46" s="417">
        <v>0</v>
      </c>
      <c r="DH46" s="417">
        <v>0</v>
      </c>
      <c r="DI46" s="417">
        <v>0</v>
      </c>
      <c r="DJ46" s="417">
        <v>0</v>
      </c>
      <c r="DK46" s="417">
        <v>0</v>
      </c>
      <c r="DL46" s="417">
        <v>0</v>
      </c>
      <c r="DM46" s="417">
        <v>0</v>
      </c>
      <c r="DN46" s="417">
        <v>0</v>
      </c>
      <c r="DO46" s="417">
        <v>0</v>
      </c>
      <c r="DP46" s="417">
        <v>0</v>
      </c>
      <c r="DQ46" s="417">
        <v>0</v>
      </c>
      <c r="DS46" s="327">
        <v>0</v>
      </c>
      <c r="DT46" s="323">
        <v>0</v>
      </c>
      <c r="DU46" s="323">
        <v>0</v>
      </c>
      <c r="DV46" s="323">
        <v>0</v>
      </c>
      <c r="DW46" s="323">
        <v>0</v>
      </c>
      <c r="DX46" s="323">
        <v>0</v>
      </c>
      <c r="DY46" s="323">
        <v>2</v>
      </c>
      <c r="DZ46" s="328">
        <v>2</v>
      </c>
      <c r="EA46" s="4"/>
      <c r="EB46" s="418" t="s">
        <v>207</v>
      </c>
      <c r="EC46" s="419" t="s">
        <v>380</v>
      </c>
      <c r="ED46" s="340">
        <v>0.16776981062695345</v>
      </c>
      <c r="EE46" s="340">
        <v>6.7567567567567557E-2</v>
      </c>
      <c r="EF46" s="340">
        <v>0</v>
      </c>
      <c r="EG46" s="323">
        <v>1</v>
      </c>
      <c r="EH46" s="420"/>
      <c r="EI46" s="420">
        <v>2.4829931972789114</v>
      </c>
      <c r="EJ46" s="421"/>
      <c r="EK46" s="323">
        <v>14</v>
      </c>
      <c r="EL46" s="323">
        <v>15</v>
      </c>
      <c r="EM46" s="323">
        <v>15</v>
      </c>
      <c r="EN46" s="323">
        <v>15</v>
      </c>
      <c r="EO46" s="323">
        <v>15</v>
      </c>
      <c r="EP46" s="323">
        <v>0</v>
      </c>
      <c r="EQ46" s="323">
        <v>0</v>
      </c>
      <c r="ER46" s="323">
        <v>0</v>
      </c>
      <c r="ES46" s="323">
        <v>0</v>
      </c>
      <c r="ET46" s="323">
        <v>0</v>
      </c>
      <c r="EU46" s="323">
        <v>0</v>
      </c>
      <c r="EV46" s="323">
        <v>0</v>
      </c>
      <c r="EW46" s="347">
        <v>14.8</v>
      </c>
      <c r="EX46" s="323">
        <v>15</v>
      </c>
      <c r="EY46" s="323">
        <v>0</v>
      </c>
      <c r="EZ46" s="323">
        <v>0</v>
      </c>
      <c r="FA46" s="323">
        <v>0</v>
      </c>
      <c r="FB46" s="323">
        <v>0</v>
      </c>
      <c r="FC46" s="323">
        <v>0</v>
      </c>
      <c r="FD46" s="323">
        <v>0</v>
      </c>
      <c r="FE46" s="323">
        <v>1</v>
      </c>
      <c r="FF46" s="323">
        <v>0</v>
      </c>
      <c r="FG46" s="323">
        <v>0</v>
      </c>
      <c r="FH46" s="323">
        <v>1</v>
      </c>
      <c r="FI46" s="323">
        <v>0</v>
      </c>
      <c r="FJ46" s="4"/>
      <c r="FK46" s="323">
        <v>15</v>
      </c>
      <c r="FL46" s="323">
        <v>0</v>
      </c>
      <c r="FM46" s="2"/>
      <c r="FN46" s="323">
        <v>1</v>
      </c>
      <c r="FO46" s="323">
        <v>0</v>
      </c>
      <c r="FP46" s="323">
        <v>0</v>
      </c>
      <c r="FR46" s="418" t="s">
        <v>207</v>
      </c>
      <c r="FS46" s="419" t="s">
        <v>380</v>
      </c>
      <c r="FT46" s="340" t="e">
        <v>#DIV/0!</v>
      </c>
      <c r="FU46" s="340" t="e">
        <v>#DIV/0!</v>
      </c>
      <c r="FV46" s="340" t="e">
        <v>#DIV/0!</v>
      </c>
      <c r="FW46" s="323">
        <v>0</v>
      </c>
      <c r="FX46" s="420"/>
      <c r="FY46" s="420">
        <v>0</v>
      </c>
      <c r="FZ46" s="421"/>
      <c r="GA46" s="323">
        <v>0</v>
      </c>
      <c r="GB46" s="323">
        <v>0</v>
      </c>
      <c r="GC46" s="323">
        <v>0</v>
      </c>
      <c r="GD46" s="323">
        <v>0</v>
      </c>
      <c r="GE46" s="323">
        <v>0</v>
      </c>
      <c r="GF46" s="323">
        <v>0</v>
      </c>
      <c r="GG46" s="323">
        <v>0</v>
      </c>
      <c r="GH46" s="323">
        <v>0</v>
      </c>
      <c r="GI46" s="323">
        <v>0</v>
      </c>
      <c r="GJ46" s="323">
        <v>0</v>
      </c>
      <c r="GK46" s="323">
        <v>0</v>
      </c>
      <c r="GL46" s="323">
        <v>0</v>
      </c>
      <c r="GM46" s="347" t="e">
        <v>#DIV/0!</v>
      </c>
      <c r="GN46" s="341">
        <v>0</v>
      </c>
      <c r="GO46" s="323">
        <v>0</v>
      </c>
      <c r="GP46" s="323">
        <v>0</v>
      </c>
      <c r="GQ46" s="323">
        <v>0</v>
      </c>
      <c r="GR46" s="323">
        <v>0</v>
      </c>
      <c r="GS46" s="323">
        <v>0</v>
      </c>
      <c r="GT46" s="323">
        <v>0</v>
      </c>
      <c r="GU46" s="323">
        <v>0</v>
      </c>
      <c r="GV46" s="323">
        <v>0</v>
      </c>
      <c r="GW46" s="323">
        <v>0</v>
      </c>
      <c r="GX46" s="323">
        <v>0</v>
      </c>
      <c r="GY46" s="323">
        <v>0</v>
      </c>
      <c r="GZ46" s="4"/>
      <c r="HA46" s="323">
        <v>0</v>
      </c>
      <c r="HB46" s="323">
        <v>0</v>
      </c>
      <c r="HC46" s="2"/>
      <c r="HD46" s="323">
        <v>0</v>
      </c>
      <c r="HE46" s="323">
        <v>0</v>
      </c>
      <c r="HF46" s="323">
        <v>0</v>
      </c>
      <c r="HH46">
        <v>0</v>
      </c>
      <c r="HI46">
        <v>0</v>
      </c>
      <c r="HJ46">
        <v>1</v>
      </c>
      <c r="HK46">
        <v>9.0909090909090912E-2</v>
      </c>
      <c r="HL46">
        <v>1</v>
      </c>
      <c r="HM46">
        <v>9.0909090909090912E-2</v>
      </c>
      <c r="HN46">
        <v>2</v>
      </c>
      <c r="HO46">
        <v>0.18181818181818182</v>
      </c>
      <c r="HP46">
        <v>3</v>
      </c>
      <c r="HQ46">
        <v>0.27272727272727271</v>
      </c>
      <c r="HR46">
        <v>4</v>
      </c>
      <c r="HS46">
        <v>0.36363636363636365</v>
      </c>
      <c r="HT46">
        <v>7</v>
      </c>
      <c r="HU46">
        <v>0.63636363636363635</v>
      </c>
      <c r="HV46">
        <v>11</v>
      </c>
    </row>
    <row r="47" spans="1:230" x14ac:dyDescent="0.25">
      <c r="A47" t="s">
        <v>532</v>
      </c>
      <c r="B47" s="4">
        <v>5101</v>
      </c>
      <c r="C47" s="444" t="s">
        <v>233</v>
      </c>
      <c r="D47" s="418" t="s">
        <v>204</v>
      </c>
      <c r="E47" s="419" t="s">
        <v>532</v>
      </c>
      <c r="F47" s="340">
        <v>1.0737267880125023</v>
      </c>
      <c r="G47" s="340">
        <v>0.43243243243243246</v>
      </c>
      <c r="H47" s="340">
        <v>4.0540540540540543E-2</v>
      </c>
      <c r="I47" s="323">
        <v>32</v>
      </c>
      <c r="J47" s="420"/>
      <c r="K47" s="478">
        <v>79.455782312925166</v>
      </c>
      <c r="L47" s="421"/>
      <c r="M47" s="323">
        <v>64</v>
      </c>
      <c r="N47" s="323">
        <v>74</v>
      </c>
      <c r="O47" s="323">
        <v>83</v>
      </c>
      <c r="P47" s="323">
        <v>75</v>
      </c>
      <c r="Q47" s="323">
        <v>74</v>
      </c>
      <c r="R47" s="323">
        <v>0</v>
      </c>
      <c r="S47" s="323">
        <v>0</v>
      </c>
      <c r="T47" s="323">
        <v>0</v>
      </c>
      <c r="U47" s="323">
        <v>0</v>
      </c>
      <c r="V47" s="323">
        <v>0</v>
      </c>
      <c r="W47" s="323">
        <v>0</v>
      </c>
      <c r="X47" s="323">
        <v>0</v>
      </c>
      <c r="Y47" s="347">
        <v>74</v>
      </c>
      <c r="Z47" s="323">
        <v>74</v>
      </c>
      <c r="AA47" s="323">
        <v>0</v>
      </c>
      <c r="AB47" s="323">
        <v>7</v>
      </c>
      <c r="AC47" s="323">
        <v>0</v>
      </c>
      <c r="AD47" s="323">
        <v>0</v>
      </c>
      <c r="AE47" s="323">
        <v>0</v>
      </c>
      <c r="AF47" s="323">
        <v>0</v>
      </c>
      <c r="AG47" s="323">
        <v>25</v>
      </c>
      <c r="AH47" s="323">
        <v>0</v>
      </c>
      <c r="AI47" s="323">
        <v>0</v>
      </c>
      <c r="AJ47" s="323">
        <v>32</v>
      </c>
      <c r="AK47" s="328">
        <v>3</v>
      </c>
      <c r="AL47" s="4" t="s">
        <v>204</v>
      </c>
      <c r="AM47" s="327">
        <v>69</v>
      </c>
      <c r="AN47" s="328">
        <v>5</v>
      </c>
      <c r="AO47" s="2"/>
      <c r="AP47" s="323">
        <v>32</v>
      </c>
      <c r="AQ47" s="323">
        <v>0</v>
      </c>
      <c r="AR47" s="323">
        <v>0</v>
      </c>
      <c r="AS47" s="2"/>
      <c r="AT47" s="323">
        <v>7</v>
      </c>
      <c r="AU47" s="323">
        <v>6</v>
      </c>
      <c r="AV47" s="323">
        <v>6</v>
      </c>
      <c r="AW47" s="323">
        <v>10</v>
      </c>
      <c r="AX47" s="323">
        <v>3</v>
      </c>
      <c r="AY47" s="323">
        <v>0</v>
      </c>
      <c r="AZ47" s="323">
        <v>0</v>
      </c>
      <c r="BA47" s="323">
        <v>0</v>
      </c>
      <c r="BB47" s="323">
        <v>0</v>
      </c>
      <c r="BC47" s="323">
        <v>0</v>
      </c>
      <c r="BD47" s="323">
        <v>0</v>
      </c>
      <c r="BE47" s="323">
        <v>0</v>
      </c>
      <c r="BF47" s="2" t="s">
        <v>532</v>
      </c>
      <c r="BG47" s="327">
        <v>4</v>
      </c>
      <c r="BH47" s="323">
        <v>15</v>
      </c>
      <c r="BI47" s="323">
        <v>18</v>
      </c>
      <c r="BJ47" s="323">
        <v>3</v>
      </c>
      <c r="BK47" s="323">
        <v>4</v>
      </c>
      <c r="BL47" s="323">
        <v>0</v>
      </c>
      <c r="BM47" s="323">
        <v>0</v>
      </c>
      <c r="BN47" s="323">
        <v>0</v>
      </c>
      <c r="BO47" s="323">
        <v>0</v>
      </c>
      <c r="BP47" s="323">
        <v>0</v>
      </c>
      <c r="BQ47" s="323">
        <v>0</v>
      </c>
      <c r="BR47" s="328">
        <v>0</v>
      </c>
      <c r="BS47" s="323">
        <v>44</v>
      </c>
      <c r="BT47" s="329">
        <v>1.42578125</v>
      </c>
      <c r="BU47" s="330">
        <v>1.2280020703933747</v>
      </c>
      <c r="BV47" s="330">
        <v>1.0345084779473919</v>
      </c>
      <c r="BW47" s="330">
        <v>1.2020213490801728</v>
      </c>
      <c r="BX47" s="330">
        <v>1.0737267880125023</v>
      </c>
      <c r="BY47" s="330">
        <v>1.0406890406890408</v>
      </c>
      <c r="BZ47" s="330">
        <v>1.0522522522522524</v>
      </c>
      <c r="CA47" s="330">
        <v>1.0610947081535318</v>
      </c>
      <c r="CB47" s="330">
        <v>1.0577962577962579</v>
      </c>
      <c r="CC47" s="330">
        <v>1.0659962287869265</v>
      </c>
      <c r="CD47" s="330">
        <v>1.0728004600345027</v>
      </c>
      <c r="CE47" s="331">
        <v>1.0378378378378379</v>
      </c>
      <c r="CF47" s="2"/>
      <c r="CG47" s="327">
        <v>23</v>
      </c>
      <c r="CH47" s="323">
        <v>19</v>
      </c>
      <c r="CI47" s="323">
        <v>23</v>
      </c>
      <c r="CJ47" s="323">
        <v>24</v>
      </c>
      <c r="CK47" s="323">
        <v>0</v>
      </c>
      <c r="CL47" s="323">
        <v>0</v>
      </c>
      <c r="CM47" s="323">
        <v>0</v>
      </c>
      <c r="CN47" s="323">
        <v>0</v>
      </c>
      <c r="CO47" s="323">
        <v>0</v>
      </c>
      <c r="CP47" s="323">
        <v>0</v>
      </c>
      <c r="CQ47" s="323">
        <v>0</v>
      </c>
      <c r="CR47" s="332">
        <v>0</v>
      </c>
      <c r="CS47" s="327">
        <v>0</v>
      </c>
      <c r="CT47" s="323">
        <v>0</v>
      </c>
      <c r="CU47" s="323">
        <v>0</v>
      </c>
      <c r="CV47" s="323">
        <v>0</v>
      </c>
      <c r="CW47" s="323">
        <v>0</v>
      </c>
      <c r="CX47" s="323">
        <v>0</v>
      </c>
      <c r="CY47" s="323">
        <v>0</v>
      </c>
      <c r="CZ47" s="323">
        <v>0</v>
      </c>
      <c r="DA47" s="323">
        <v>0</v>
      </c>
      <c r="DB47" s="323">
        <v>0</v>
      </c>
      <c r="DC47" s="323">
        <v>0</v>
      </c>
      <c r="DD47" s="328">
        <v>0</v>
      </c>
      <c r="DE47" s="4"/>
      <c r="DF47" s="416">
        <v>0</v>
      </c>
      <c r="DG47" s="417">
        <v>0</v>
      </c>
      <c r="DH47" s="417">
        <v>0</v>
      </c>
      <c r="DI47" s="417">
        <v>0</v>
      </c>
      <c r="DJ47" s="417">
        <v>0</v>
      </c>
      <c r="DK47" s="417">
        <v>0</v>
      </c>
      <c r="DL47" s="417">
        <v>0</v>
      </c>
      <c r="DM47" s="417">
        <v>0</v>
      </c>
      <c r="DN47" s="417">
        <v>0</v>
      </c>
      <c r="DO47" s="417">
        <v>0</v>
      </c>
      <c r="DP47" s="417">
        <v>0</v>
      </c>
      <c r="DQ47" s="417">
        <v>0</v>
      </c>
      <c r="DS47" s="327">
        <v>24</v>
      </c>
      <c r="DT47" s="323">
        <v>0</v>
      </c>
      <c r="DU47" s="323">
        <v>0</v>
      </c>
      <c r="DV47" s="323">
        <v>0</v>
      </c>
      <c r="DW47" s="323">
        <v>0</v>
      </c>
      <c r="DX47" s="323">
        <v>0</v>
      </c>
      <c r="DY47" s="323">
        <v>20</v>
      </c>
      <c r="DZ47" s="328">
        <v>44</v>
      </c>
      <c r="EA47" s="4"/>
      <c r="EB47" s="418" t="s">
        <v>204</v>
      </c>
      <c r="EC47" s="419" t="s">
        <v>382</v>
      </c>
      <c r="ED47" s="340">
        <v>1.4342198973452196</v>
      </c>
      <c r="EE47" s="340">
        <v>0.57761732851985559</v>
      </c>
      <c r="EF47" s="340">
        <v>5.4151624548736461E-2</v>
      </c>
      <c r="EG47" s="323">
        <v>32</v>
      </c>
      <c r="EH47" s="420"/>
      <c r="EI47" s="420">
        <v>79.455782312925166</v>
      </c>
      <c r="EJ47" s="421"/>
      <c r="EK47" s="323">
        <v>46</v>
      </c>
      <c r="EL47" s="323">
        <v>55</v>
      </c>
      <c r="EM47" s="323">
        <v>64</v>
      </c>
      <c r="EN47" s="323">
        <v>57</v>
      </c>
      <c r="EO47" s="323">
        <v>55</v>
      </c>
      <c r="EP47" s="323">
        <v>0</v>
      </c>
      <c r="EQ47" s="323">
        <v>0</v>
      </c>
      <c r="ER47" s="323">
        <v>0</v>
      </c>
      <c r="ES47" s="323">
        <v>0</v>
      </c>
      <c r="ET47" s="323">
        <v>0</v>
      </c>
      <c r="EU47" s="323">
        <v>0</v>
      </c>
      <c r="EV47" s="323">
        <v>0</v>
      </c>
      <c r="EW47" s="347">
        <v>55.4</v>
      </c>
      <c r="EX47" s="323">
        <v>55</v>
      </c>
      <c r="EY47" s="323">
        <v>0</v>
      </c>
      <c r="EZ47" s="323">
        <v>7</v>
      </c>
      <c r="FA47" s="323">
        <v>0</v>
      </c>
      <c r="FB47" s="323">
        <v>0</v>
      </c>
      <c r="FC47" s="323">
        <v>0</v>
      </c>
      <c r="FD47" s="323">
        <v>0</v>
      </c>
      <c r="FE47" s="323">
        <v>25</v>
      </c>
      <c r="FF47" s="323">
        <v>0</v>
      </c>
      <c r="FG47" s="323">
        <v>0</v>
      </c>
      <c r="FH47" s="323">
        <v>32</v>
      </c>
      <c r="FI47" s="323">
        <v>3</v>
      </c>
      <c r="FJ47" s="4"/>
      <c r="FK47" s="323">
        <v>50</v>
      </c>
      <c r="FL47" s="323">
        <v>5</v>
      </c>
      <c r="FM47" s="2"/>
      <c r="FN47" s="323">
        <v>32</v>
      </c>
      <c r="FO47" s="323">
        <v>0</v>
      </c>
      <c r="FP47" s="323">
        <v>0</v>
      </c>
      <c r="FR47" s="418" t="s">
        <v>204</v>
      </c>
      <c r="FS47" s="419" t="s">
        <v>382</v>
      </c>
      <c r="FT47" s="340">
        <v>0</v>
      </c>
      <c r="FU47" s="340">
        <v>0</v>
      </c>
      <c r="FV47" s="340">
        <v>0</v>
      </c>
      <c r="FW47" s="323">
        <v>0</v>
      </c>
      <c r="FX47" s="420"/>
      <c r="FY47" s="420">
        <v>0</v>
      </c>
      <c r="FZ47" s="421"/>
      <c r="GA47" s="323">
        <v>18</v>
      </c>
      <c r="GB47" s="323">
        <v>19</v>
      </c>
      <c r="GC47" s="323">
        <v>19</v>
      </c>
      <c r="GD47" s="323">
        <v>18</v>
      </c>
      <c r="GE47" s="323">
        <v>19</v>
      </c>
      <c r="GF47" s="323">
        <v>0</v>
      </c>
      <c r="GG47" s="323">
        <v>0</v>
      </c>
      <c r="GH47" s="323">
        <v>0</v>
      </c>
      <c r="GI47" s="323">
        <v>0</v>
      </c>
      <c r="GJ47" s="323">
        <v>0</v>
      </c>
      <c r="GK47" s="323">
        <v>0</v>
      </c>
      <c r="GL47" s="323">
        <v>0</v>
      </c>
      <c r="GM47" s="347">
        <v>18.600000000000001</v>
      </c>
      <c r="GN47" s="341">
        <v>19</v>
      </c>
      <c r="GO47" s="323">
        <v>0</v>
      </c>
      <c r="GP47" s="323">
        <v>0</v>
      </c>
      <c r="GQ47" s="323">
        <v>0</v>
      </c>
      <c r="GR47" s="323">
        <v>0</v>
      </c>
      <c r="GS47" s="323">
        <v>0</v>
      </c>
      <c r="GT47" s="323">
        <v>0</v>
      </c>
      <c r="GU47" s="323">
        <v>0</v>
      </c>
      <c r="GV47" s="323">
        <v>0</v>
      </c>
      <c r="GW47" s="323">
        <v>0</v>
      </c>
      <c r="GX47" s="323">
        <v>0</v>
      </c>
      <c r="GY47" s="323">
        <v>0</v>
      </c>
      <c r="GZ47" s="4"/>
      <c r="HA47" s="323">
        <v>19</v>
      </c>
      <c r="HB47" s="323">
        <v>0</v>
      </c>
      <c r="HC47" s="2"/>
      <c r="HD47" s="323">
        <v>0</v>
      </c>
      <c r="HE47" s="323">
        <v>0</v>
      </c>
      <c r="HF47" s="323">
        <v>0</v>
      </c>
      <c r="HH47">
        <v>5</v>
      </c>
      <c r="HI47">
        <v>5.7471264367816091E-2</v>
      </c>
      <c r="HJ47">
        <v>8</v>
      </c>
      <c r="HK47">
        <v>9.1954022988505746E-2</v>
      </c>
      <c r="HL47">
        <v>15</v>
      </c>
      <c r="HM47">
        <v>0.17241379310344829</v>
      </c>
      <c r="HN47">
        <v>15</v>
      </c>
      <c r="HO47">
        <v>0.17241379310344829</v>
      </c>
      <c r="HP47">
        <v>17</v>
      </c>
      <c r="HQ47">
        <v>0.19540229885057472</v>
      </c>
      <c r="HR47">
        <v>23</v>
      </c>
      <c r="HS47">
        <v>0.26436781609195403</v>
      </c>
      <c r="HT47">
        <v>64</v>
      </c>
      <c r="HU47">
        <v>0.73563218390804597</v>
      </c>
      <c r="HV47">
        <v>87</v>
      </c>
    </row>
    <row r="48" spans="1:230" x14ac:dyDescent="0.25">
      <c r="A48" t="s">
        <v>533</v>
      </c>
      <c r="B48" s="4">
        <v>5125</v>
      </c>
      <c r="C48" s="444" t="s">
        <v>227</v>
      </c>
      <c r="D48" s="418" t="s">
        <v>205</v>
      </c>
      <c r="E48" s="419" t="s">
        <v>533</v>
      </c>
      <c r="F48" s="340">
        <v>0.29915580690107368</v>
      </c>
      <c r="G48" s="340">
        <v>0.12048192771084337</v>
      </c>
      <c r="H48" s="340">
        <v>1.417434443656981E-2</v>
      </c>
      <c r="I48" s="323">
        <v>34</v>
      </c>
      <c r="J48" s="420"/>
      <c r="K48" s="478">
        <v>84.421768707482983</v>
      </c>
      <c r="L48" s="421"/>
      <c r="M48" s="323">
        <v>289</v>
      </c>
      <c r="N48" s="323">
        <v>284</v>
      </c>
      <c r="O48" s="323">
        <v>283</v>
      </c>
      <c r="P48" s="323">
        <v>280</v>
      </c>
      <c r="Q48" s="323">
        <v>275</v>
      </c>
      <c r="R48" s="323">
        <v>0</v>
      </c>
      <c r="S48" s="323">
        <v>0</v>
      </c>
      <c r="T48" s="323">
        <v>0</v>
      </c>
      <c r="U48" s="323">
        <v>0</v>
      </c>
      <c r="V48" s="323">
        <v>0</v>
      </c>
      <c r="W48" s="323">
        <v>0</v>
      </c>
      <c r="X48" s="323">
        <v>0</v>
      </c>
      <c r="Y48" s="347">
        <v>282.2</v>
      </c>
      <c r="Z48" s="323">
        <v>275</v>
      </c>
      <c r="AA48" s="323">
        <v>0</v>
      </c>
      <c r="AB48" s="323">
        <v>3</v>
      </c>
      <c r="AC48" s="323">
        <v>0</v>
      </c>
      <c r="AD48" s="323">
        <v>4</v>
      </c>
      <c r="AE48" s="323">
        <v>0</v>
      </c>
      <c r="AF48" s="323">
        <v>0</v>
      </c>
      <c r="AG48" s="323">
        <v>27</v>
      </c>
      <c r="AH48" s="323">
        <v>0</v>
      </c>
      <c r="AI48" s="323">
        <v>0</v>
      </c>
      <c r="AJ48" s="323">
        <v>34</v>
      </c>
      <c r="AK48" s="328">
        <v>4</v>
      </c>
      <c r="AL48" s="4" t="s">
        <v>205</v>
      </c>
      <c r="AM48" s="327">
        <v>270</v>
      </c>
      <c r="AN48" s="328">
        <v>5</v>
      </c>
      <c r="AO48" s="2"/>
      <c r="AP48" s="323">
        <v>30</v>
      </c>
      <c r="AQ48" s="323">
        <v>4</v>
      </c>
      <c r="AR48" s="323">
        <v>0</v>
      </c>
      <c r="AS48" s="2"/>
      <c r="AT48" s="323">
        <v>6</v>
      </c>
      <c r="AU48" s="323">
        <v>6</v>
      </c>
      <c r="AV48" s="323">
        <v>14</v>
      </c>
      <c r="AW48" s="323">
        <v>4</v>
      </c>
      <c r="AX48" s="323">
        <v>4</v>
      </c>
      <c r="AY48" s="323">
        <v>0</v>
      </c>
      <c r="AZ48" s="323">
        <v>0</v>
      </c>
      <c r="BA48" s="323">
        <v>0</v>
      </c>
      <c r="BB48" s="323">
        <v>0</v>
      </c>
      <c r="BC48" s="323">
        <v>0</v>
      </c>
      <c r="BD48" s="323">
        <v>0</v>
      </c>
      <c r="BE48" s="323">
        <v>0</v>
      </c>
      <c r="BF48" s="2" t="s">
        <v>533</v>
      </c>
      <c r="BG48" s="327">
        <v>6</v>
      </c>
      <c r="BH48" s="323">
        <v>8</v>
      </c>
      <c r="BI48" s="323">
        <v>14</v>
      </c>
      <c r="BJ48" s="323">
        <v>3</v>
      </c>
      <c r="BK48" s="323">
        <v>3</v>
      </c>
      <c r="BL48" s="323">
        <v>0</v>
      </c>
      <c r="BM48" s="323">
        <v>0</v>
      </c>
      <c r="BN48" s="323">
        <v>0</v>
      </c>
      <c r="BO48" s="323">
        <v>0</v>
      </c>
      <c r="BP48" s="323">
        <v>0</v>
      </c>
      <c r="BQ48" s="323">
        <v>0</v>
      </c>
      <c r="BR48" s="328">
        <v>0</v>
      </c>
      <c r="BS48" s="323">
        <v>34</v>
      </c>
      <c r="BT48" s="329">
        <v>0.27063766683143847</v>
      </c>
      <c r="BU48" s="330">
        <v>0.27299925205684372</v>
      </c>
      <c r="BV48" s="330">
        <v>0.36548731642189586</v>
      </c>
      <c r="BW48" s="330">
        <v>0.32400284057284889</v>
      </c>
      <c r="BX48" s="330">
        <v>0.29915580690107368</v>
      </c>
      <c r="BY48" s="330">
        <v>0.28995101284257913</v>
      </c>
      <c r="BZ48" s="330">
        <v>0.29317269076305219</v>
      </c>
      <c r="CA48" s="330">
        <v>0.29563632681988461</v>
      </c>
      <c r="CB48" s="330">
        <v>0.29471733086190915</v>
      </c>
      <c r="CC48" s="330">
        <v>0.29700196133370693</v>
      </c>
      <c r="CD48" s="330">
        <v>0.29889771853370922</v>
      </c>
      <c r="CE48" s="331">
        <v>0.28915662650602408</v>
      </c>
      <c r="CF48" s="2"/>
      <c r="CG48" s="327">
        <v>37</v>
      </c>
      <c r="CH48" s="323">
        <v>36</v>
      </c>
      <c r="CI48" s="323">
        <v>39</v>
      </c>
      <c r="CJ48" s="323">
        <v>38</v>
      </c>
      <c r="CK48" s="323">
        <v>0</v>
      </c>
      <c r="CL48" s="323">
        <v>0</v>
      </c>
      <c r="CM48" s="323">
        <v>0</v>
      </c>
      <c r="CN48" s="323">
        <v>0</v>
      </c>
      <c r="CO48" s="323">
        <v>0</v>
      </c>
      <c r="CP48" s="323">
        <v>0</v>
      </c>
      <c r="CQ48" s="323">
        <v>0</v>
      </c>
      <c r="CR48" s="332">
        <v>0</v>
      </c>
      <c r="CS48" s="327">
        <v>0</v>
      </c>
      <c r="CT48" s="323">
        <v>0</v>
      </c>
      <c r="CU48" s="323">
        <v>0</v>
      </c>
      <c r="CV48" s="323">
        <v>0</v>
      </c>
      <c r="CW48" s="323">
        <v>0</v>
      </c>
      <c r="CX48" s="323">
        <v>0</v>
      </c>
      <c r="CY48" s="323">
        <v>0</v>
      </c>
      <c r="CZ48" s="323">
        <v>0</v>
      </c>
      <c r="DA48" s="323">
        <v>0</v>
      </c>
      <c r="DB48" s="323">
        <v>0</v>
      </c>
      <c r="DC48" s="323">
        <v>0</v>
      </c>
      <c r="DD48" s="328">
        <v>0</v>
      </c>
      <c r="DE48" s="4"/>
      <c r="DF48" s="416">
        <v>0</v>
      </c>
      <c r="DG48" s="417">
        <v>0</v>
      </c>
      <c r="DH48" s="417">
        <v>0</v>
      </c>
      <c r="DI48" s="417">
        <v>0</v>
      </c>
      <c r="DJ48" s="417">
        <v>0</v>
      </c>
      <c r="DK48" s="417">
        <v>0</v>
      </c>
      <c r="DL48" s="417">
        <v>0</v>
      </c>
      <c r="DM48" s="417">
        <v>0</v>
      </c>
      <c r="DN48" s="417">
        <v>0</v>
      </c>
      <c r="DO48" s="417">
        <v>0</v>
      </c>
      <c r="DP48" s="417">
        <v>0</v>
      </c>
      <c r="DQ48" s="417">
        <v>0</v>
      </c>
      <c r="DS48" s="327">
        <v>17</v>
      </c>
      <c r="DT48" s="323">
        <v>0</v>
      </c>
      <c r="DU48" s="323">
        <v>0</v>
      </c>
      <c r="DV48" s="323">
        <v>0</v>
      </c>
      <c r="DW48" s="323">
        <v>0</v>
      </c>
      <c r="DX48" s="323">
        <v>0</v>
      </c>
      <c r="DY48" s="323">
        <v>17</v>
      </c>
      <c r="DZ48" s="328">
        <v>34</v>
      </c>
      <c r="EA48" s="4"/>
      <c r="EB48" s="418" t="s">
        <v>205</v>
      </c>
      <c r="EC48" s="419" t="s">
        <v>384</v>
      </c>
      <c r="ED48" s="340">
        <v>0.35566599065767751</v>
      </c>
      <c r="EE48" s="340">
        <v>0.14324082363473589</v>
      </c>
      <c r="EF48" s="340">
        <v>1.342882721575649E-2</v>
      </c>
      <c r="EG48" s="323">
        <v>32</v>
      </c>
      <c r="EH48" s="420"/>
      <c r="EI48" s="420">
        <v>79.455782312925166</v>
      </c>
      <c r="EJ48" s="421"/>
      <c r="EK48" s="323">
        <v>230</v>
      </c>
      <c r="EL48" s="323">
        <v>225</v>
      </c>
      <c r="EM48" s="323">
        <v>224</v>
      </c>
      <c r="EN48" s="323">
        <v>221</v>
      </c>
      <c r="EO48" s="323">
        <v>217</v>
      </c>
      <c r="EP48" s="323">
        <v>0</v>
      </c>
      <c r="EQ48" s="323">
        <v>0</v>
      </c>
      <c r="ER48" s="323">
        <v>0</v>
      </c>
      <c r="ES48" s="323">
        <v>0</v>
      </c>
      <c r="ET48" s="323">
        <v>0</v>
      </c>
      <c r="EU48" s="323">
        <v>0</v>
      </c>
      <c r="EV48" s="323">
        <v>0</v>
      </c>
      <c r="EW48" s="347">
        <v>223.4</v>
      </c>
      <c r="EX48" s="323">
        <v>217</v>
      </c>
      <c r="EY48" s="323">
        <v>0</v>
      </c>
      <c r="EZ48" s="323">
        <v>3</v>
      </c>
      <c r="FA48" s="323">
        <v>0</v>
      </c>
      <c r="FB48" s="323">
        <v>3</v>
      </c>
      <c r="FC48" s="323">
        <v>0</v>
      </c>
      <c r="FD48" s="323">
        <v>0</v>
      </c>
      <c r="FE48" s="323">
        <v>26</v>
      </c>
      <c r="FF48" s="323">
        <v>0</v>
      </c>
      <c r="FG48" s="323">
        <v>0</v>
      </c>
      <c r="FH48" s="323">
        <v>32</v>
      </c>
      <c r="FI48" s="323">
        <v>3</v>
      </c>
      <c r="FJ48" s="4"/>
      <c r="FK48" s="323">
        <v>212</v>
      </c>
      <c r="FL48" s="323">
        <v>5</v>
      </c>
      <c r="FM48" s="2"/>
      <c r="FN48" s="323">
        <v>29</v>
      </c>
      <c r="FO48" s="323">
        <v>3</v>
      </c>
      <c r="FP48" s="323">
        <v>0</v>
      </c>
      <c r="FR48" s="418" t="s">
        <v>205</v>
      </c>
      <c r="FS48" s="419" t="s">
        <v>384</v>
      </c>
      <c r="FT48" s="340">
        <v>8.4455550927854145E-2</v>
      </c>
      <c r="FU48" s="340">
        <v>3.4013605442176874E-2</v>
      </c>
      <c r="FV48" s="340">
        <v>1.7006802721088437E-2</v>
      </c>
      <c r="FW48" s="323">
        <v>2</v>
      </c>
      <c r="FX48" s="420"/>
      <c r="FY48" s="420">
        <v>4.9659863945578229</v>
      </c>
      <c r="FZ48" s="421"/>
      <c r="GA48" s="323">
        <v>59</v>
      </c>
      <c r="GB48" s="323">
        <v>59</v>
      </c>
      <c r="GC48" s="323">
        <v>59</v>
      </c>
      <c r="GD48" s="323">
        <v>59</v>
      </c>
      <c r="GE48" s="323">
        <v>58</v>
      </c>
      <c r="GF48" s="323">
        <v>0</v>
      </c>
      <c r="GG48" s="323">
        <v>0</v>
      </c>
      <c r="GH48" s="323">
        <v>0</v>
      </c>
      <c r="GI48" s="323">
        <v>0</v>
      </c>
      <c r="GJ48" s="323">
        <v>0</v>
      </c>
      <c r="GK48" s="323">
        <v>0</v>
      </c>
      <c r="GL48" s="323">
        <v>0</v>
      </c>
      <c r="GM48" s="347">
        <v>58.8</v>
      </c>
      <c r="GN48" s="341">
        <v>58</v>
      </c>
      <c r="GO48" s="323">
        <v>0</v>
      </c>
      <c r="GP48" s="323">
        <v>0</v>
      </c>
      <c r="GQ48" s="323">
        <v>0</v>
      </c>
      <c r="GR48" s="323">
        <v>1</v>
      </c>
      <c r="GS48" s="323">
        <v>0</v>
      </c>
      <c r="GT48" s="323">
        <v>0</v>
      </c>
      <c r="GU48" s="323">
        <v>1</v>
      </c>
      <c r="GV48" s="323">
        <v>0</v>
      </c>
      <c r="GW48" s="323">
        <v>0</v>
      </c>
      <c r="GX48" s="323">
        <v>2</v>
      </c>
      <c r="GY48" s="323">
        <v>1</v>
      </c>
      <c r="GZ48" s="4"/>
      <c r="HA48" s="323">
        <v>58</v>
      </c>
      <c r="HB48" s="323">
        <v>0</v>
      </c>
      <c r="HC48" s="2"/>
      <c r="HD48" s="323">
        <v>1</v>
      </c>
      <c r="HE48" s="323">
        <v>1</v>
      </c>
      <c r="HF48" s="323">
        <v>0</v>
      </c>
      <c r="HH48">
        <v>2</v>
      </c>
      <c r="HI48">
        <v>5.3191489361702126E-3</v>
      </c>
      <c r="HJ48">
        <v>2</v>
      </c>
      <c r="HK48">
        <v>5.3191489361702126E-3</v>
      </c>
      <c r="HL48">
        <v>8</v>
      </c>
      <c r="HM48">
        <v>2.1276595744680851E-2</v>
      </c>
      <c r="HN48">
        <v>12</v>
      </c>
      <c r="HO48">
        <v>3.1914893617021274E-2</v>
      </c>
      <c r="HP48">
        <v>22</v>
      </c>
      <c r="HQ48">
        <v>5.8510638297872342E-2</v>
      </c>
      <c r="HR48">
        <v>37</v>
      </c>
      <c r="HS48">
        <v>9.8404255319148939E-2</v>
      </c>
      <c r="HT48">
        <v>339</v>
      </c>
      <c r="HU48">
        <v>0.90159574468085102</v>
      </c>
      <c r="HV48">
        <v>376</v>
      </c>
    </row>
    <row r="49" spans="1:230" x14ac:dyDescent="0.25">
      <c r="A49" t="s">
        <v>534</v>
      </c>
      <c r="B49" s="4">
        <v>5910</v>
      </c>
      <c r="C49" s="444" t="s">
        <v>232</v>
      </c>
      <c r="D49" s="418" t="s">
        <v>207</v>
      </c>
      <c r="E49" s="419" t="s">
        <v>534</v>
      </c>
      <c r="F49" s="340">
        <v>0.70394137036257809</v>
      </c>
      <c r="G49" s="340">
        <v>0.28350515463917531</v>
      </c>
      <c r="H49" s="340">
        <v>6.4432989690721656E-2</v>
      </c>
      <c r="I49" s="323">
        <v>88</v>
      </c>
      <c r="J49" s="420"/>
      <c r="K49" s="478">
        <v>218.50340136054422</v>
      </c>
      <c r="L49" s="421"/>
      <c r="M49" s="323">
        <v>312</v>
      </c>
      <c r="N49" s="323">
        <v>309</v>
      </c>
      <c r="O49" s="323">
        <v>305</v>
      </c>
      <c r="P49" s="323">
        <v>311</v>
      </c>
      <c r="Q49" s="323">
        <v>315</v>
      </c>
      <c r="R49" s="323">
        <v>0</v>
      </c>
      <c r="S49" s="323">
        <v>0</v>
      </c>
      <c r="T49" s="323">
        <v>0</v>
      </c>
      <c r="U49" s="323">
        <v>0</v>
      </c>
      <c r="V49" s="323">
        <v>0</v>
      </c>
      <c r="W49" s="323">
        <v>0</v>
      </c>
      <c r="X49" s="323">
        <v>0</v>
      </c>
      <c r="Y49" s="347">
        <v>310.39999999999998</v>
      </c>
      <c r="Z49" s="323">
        <v>315</v>
      </c>
      <c r="AA49" s="323">
        <v>5</v>
      </c>
      <c r="AB49" s="323">
        <v>34</v>
      </c>
      <c r="AC49" s="323">
        <v>6</v>
      </c>
      <c r="AD49" s="323">
        <v>2</v>
      </c>
      <c r="AE49" s="323">
        <v>1</v>
      </c>
      <c r="AF49" s="323">
        <v>0</v>
      </c>
      <c r="AG49" s="323">
        <v>40</v>
      </c>
      <c r="AH49" s="323">
        <v>0</v>
      </c>
      <c r="AI49" s="323">
        <v>0</v>
      </c>
      <c r="AJ49" s="323">
        <v>88</v>
      </c>
      <c r="AK49" s="328">
        <v>20</v>
      </c>
      <c r="AL49" s="4" t="s">
        <v>207</v>
      </c>
      <c r="AM49" s="327">
        <v>272</v>
      </c>
      <c r="AN49" s="328">
        <v>43</v>
      </c>
      <c r="AO49" s="2"/>
      <c r="AP49" s="323">
        <v>80</v>
      </c>
      <c r="AQ49" s="323">
        <v>8</v>
      </c>
      <c r="AR49" s="323">
        <v>0</v>
      </c>
      <c r="AS49" s="2"/>
      <c r="AT49" s="323">
        <v>11</v>
      </c>
      <c r="AU49" s="323">
        <v>16</v>
      </c>
      <c r="AV49" s="323">
        <v>16</v>
      </c>
      <c r="AW49" s="323">
        <v>25</v>
      </c>
      <c r="AX49" s="323">
        <v>20</v>
      </c>
      <c r="AY49" s="323">
        <v>0</v>
      </c>
      <c r="AZ49" s="323">
        <v>0</v>
      </c>
      <c r="BA49" s="323">
        <v>0</v>
      </c>
      <c r="BB49" s="323">
        <v>0</v>
      </c>
      <c r="BC49" s="323">
        <v>0</v>
      </c>
      <c r="BD49" s="323">
        <v>0</v>
      </c>
      <c r="BE49" s="323">
        <v>0</v>
      </c>
      <c r="BF49" s="2" t="s">
        <v>534</v>
      </c>
      <c r="BG49" s="327">
        <v>18</v>
      </c>
      <c r="BH49" s="323">
        <v>16</v>
      </c>
      <c r="BI49" s="323">
        <v>14</v>
      </c>
      <c r="BJ49" s="323">
        <v>33</v>
      </c>
      <c r="BK49" s="323">
        <v>33</v>
      </c>
      <c r="BL49" s="323">
        <v>0</v>
      </c>
      <c r="BM49" s="323">
        <v>0</v>
      </c>
      <c r="BN49" s="323">
        <v>0</v>
      </c>
      <c r="BO49" s="323">
        <v>0</v>
      </c>
      <c r="BP49" s="323">
        <v>0</v>
      </c>
      <c r="BQ49" s="323">
        <v>0</v>
      </c>
      <c r="BR49" s="328">
        <v>0</v>
      </c>
      <c r="BS49" s="323">
        <v>114</v>
      </c>
      <c r="BT49" s="329">
        <v>0.45959249084249088</v>
      </c>
      <c r="BU49" s="330">
        <v>0.56677018633540377</v>
      </c>
      <c r="BV49" s="330">
        <v>0.55876628770797232</v>
      </c>
      <c r="BW49" s="330">
        <v>0.67444277630211347</v>
      </c>
      <c r="BX49" s="330">
        <v>0.70394137036257809</v>
      </c>
      <c r="BY49" s="330">
        <v>0.68228163588988333</v>
      </c>
      <c r="BZ49" s="330">
        <v>0.68986254295532645</v>
      </c>
      <c r="CA49" s="330">
        <v>0.69565970718184189</v>
      </c>
      <c r="CB49" s="330">
        <v>0.69349722442505946</v>
      </c>
      <c r="CC49" s="330">
        <v>0.69887317190122278</v>
      </c>
      <c r="CD49" s="330">
        <v>0.7033340644878262</v>
      </c>
      <c r="CE49" s="331">
        <v>0.68041237113402053</v>
      </c>
      <c r="CF49" s="2"/>
      <c r="CG49" s="327">
        <v>141</v>
      </c>
      <c r="CH49" s="323">
        <v>132</v>
      </c>
      <c r="CI49" s="323">
        <v>131</v>
      </c>
      <c r="CJ49" s="323">
        <v>122</v>
      </c>
      <c r="CK49" s="323">
        <v>0</v>
      </c>
      <c r="CL49" s="323">
        <v>0</v>
      </c>
      <c r="CM49" s="323">
        <v>0</v>
      </c>
      <c r="CN49" s="323">
        <v>0</v>
      </c>
      <c r="CO49" s="323">
        <v>0</v>
      </c>
      <c r="CP49" s="323">
        <v>0</v>
      </c>
      <c r="CQ49" s="323">
        <v>0</v>
      </c>
      <c r="CR49" s="332">
        <v>0</v>
      </c>
      <c r="CS49" s="327">
        <v>0</v>
      </c>
      <c r="CT49" s="323">
        <v>0</v>
      </c>
      <c r="CU49" s="323">
        <v>0</v>
      </c>
      <c r="CV49" s="323">
        <v>0</v>
      </c>
      <c r="CW49" s="323">
        <v>0</v>
      </c>
      <c r="CX49" s="323">
        <v>0</v>
      </c>
      <c r="CY49" s="323">
        <v>0</v>
      </c>
      <c r="CZ49" s="323">
        <v>0</v>
      </c>
      <c r="DA49" s="323">
        <v>0</v>
      </c>
      <c r="DB49" s="323">
        <v>0</v>
      </c>
      <c r="DC49" s="323">
        <v>0</v>
      </c>
      <c r="DD49" s="328">
        <v>0</v>
      </c>
      <c r="DE49" s="4"/>
      <c r="DF49" s="416">
        <v>0</v>
      </c>
      <c r="DG49" s="417">
        <v>0</v>
      </c>
      <c r="DH49" s="417">
        <v>0</v>
      </c>
      <c r="DI49" s="417">
        <v>0</v>
      </c>
      <c r="DJ49" s="417">
        <v>0</v>
      </c>
      <c r="DK49" s="417">
        <v>0</v>
      </c>
      <c r="DL49" s="417">
        <v>0</v>
      </c>
      <c r="DM49" s="417">
        <v>0</v>
      </c>
      <c r="DN49" s="417">
        <v>0</v>
      </c>
      <c r="DO49" s="417">
        <v>0</v>
      </c>
      <c r="DP49" s="417">
        <v>0</v>
      </c>
      <c r="DQ49" s="417">
        <v>0</v>
      </c>
      <c r="DS49" s="327">
        <v>45</v>
      </c>
      <c r="DT49" s="323">
        <v>0</v>
      </c>
      <c r="DU49" s="323">
        <v>0</v>
      </c>
      <c r="DV49" s="323">
        <v>0</v>
      </c>
      <c r="DW49" s="323">
        <v>0</v>
      </c>
      <c r="DX49" s="323">
        <v>0</v>
      </c>
      <c r="DY49" s="323">
        <v>69</v>
      </c>
      <c r="DZ49" s="328">
        <v>114</v>
      </c>
      <c r="EA49" s="4"/>
      <c r="EB49" s="418" t="s">
        <v>207</v>
      </c>
      <c r="EC49" s="419" t="s">
        <v>386</v>
      </c>
      <c r="ED49" s="340">
        <v>0.70667335498235517</v>
      </c>
      <c r="EE49" s="340">
        <v>0.28460543337645539</v>
      </c>
      <c r="EF49" s="340">
        <v>6.4683053040103494E-2</v>
      </c>
      <c r="EG49" s="323">
        <v>88</v>
      </c>
      <c r="EH49" s="420"/>
      <c r="EI49" s="420">
        <v>218.50340136054422</v>
      </c>
      <c r="EJ49" s="421"/>
      <c r="EK49" s="323">
        <v>310</v>
      </c>
      <c r="EL49" s="323">
        <v>308</v>
      </c>
      <c r="EM49" s="323">
        <v>304</v>
      </c>
      <c r="EN49" s="323">
        <v>310</v>
      </c>
      <c r="EO49" s="323">
        <v>314</v>
      </c>
      <c r="EP49" s="323">
        <v>0</v>
      </c>
      <c r="EQ49" s="323">
        <v>0</v>
      </c>
      <c r="ER49" s="323">
        <v>0</v>
      </c>
      <c r="ES49" s="323">
        <v>0</v>
      </c>
      <c r="ET49" s="323">
        <v>0</v>
      </c>
      <c r="EU49" s="323">
        <v>0</v>
      </c>
      <c r="EV49" s="323">
        <v>0</v>
      </c>
      <c r="EW49" s="347">
        <v>309.2</v>
      </c>
      <c r="EX49" s="323">
        <v>314</v>
      </c>
      <c r="EY49" s="323">
        <v>5</v>
      </c>
      <c r="EZ49" s="323">
        <v>34</v>
      </c>
      <c r="FA49" s="323">
        <v>6</v>
      </c>
      <c r="FB49" s="323">
        <v>2</v>
      </c>
      <c r="FC49" s="323">
        <v>1</v>
      </c>
      <c r="FD49" s="323">
        <v>0</v>
      </c>
      <c r="FE49" s="323">
        <v>40</v>
      </c>
      <c r="FF49" s="323">
        <v>0</v>
      </c>
      <c r="FG49" s="323">
        <v>0</v>
      </c>
      <c r="FH49" s="323">
        <v>88</v>
      </c>
      <c r="FI49" s="323">
        <v>20</v>
      </c>
      <c r="FJ49" s="4"/>
      <c r="FK49" s="323">
        <v>271</v>
      </c>
      <c r="FL49" s="323">
        <v>43</v>
      </c>
      <c r="FM49" s="2"/>
      <c r="FN49" s="323">
        <v>80</v>
      </c>
      <c r="FO49" s="323">
        <v>8</v>
      </c>
      <c r="FP49" s="323">
        <v>0</v>
      </c>
      <c r="FR49" s="418" t="s">
        <v>207</v>
      </c>
      <c r="FS49" s="419" t="s">
        <v>386</v>
      </c>
      <c r="FT49" s="340">
        <v>0</v>
      </c>
      <c r="FU49" s="340">
        <v>0</v>
      </c>
      <c r="FV49" s="340">
        <v>0</v>
      </c>
      <c r="FW49" s="323">
        <v>0</v>
      </c>
      <c r="FX49" s="420"/>
      <c r="FY49" s="420">
        <v>0</v>
      </c>
      <c r="FZ49" s="421"/>
      <c r="GA49" s="323">
        <v>2</v>
      </c>
      <c r="GB49" s="323">
        <v>1</v>
      </c>
      <c r="GC49" s="323">
        <v>1</v>
      </c>
      <c r="GD49" s="323">
        <v>1</v>
      </c>
      <c r="GE49" s="323">
        <v>1</v>
      </c>
      <c r="GF49" s="323">
        <v>0</v>
      </c>
      <c r="GG49" s="323">
        <v>0</v>
      </c>
      <c r="GH49" s="323">
        <v>0</v>
      </c>
      <c r="GI49" s="323">
        <v>0</v>
      </c>
      <c r="GJ49" s="323">
        <v>0</v>
      </c>
      <c r="GK49" s="323">
        <v>0</v>
      </c>
      <c r="GL49" s="323">
        <v>0</v>
      </c>
      <c r="GM49" s="347">
        <v>1.2</v>
      </c>
      <c r="GN49" s="341">
        <v>1</v>
      </c>
      <c r="GO49" s="323">
        <v>0</v>
      </c>
      <c r="GP49" s="323">
        <v>0</v>
      </c>
      <c r="GQ49" s="323">
        <v>0</v>
      </c>
      <c r="GR49" s="323">
        <v>0</v>
      </c>
      <c r="GS49" s="323">
        <v>0</v>
      </c>
      <c r="GT49" s="323">
        <v>0</v>
      </c>
      <c r="GU49" s="323">
        <v>0</v>
      </c>
      <c r="GV49" s="323">
        <v>0</v>
      </c>
      <c r="GW49" s="323">
        <v>0</v>
      </c>
      <c r="GX49" s="323">
        <v>0</v>
      </c>
      <c r="GY49" s="323">
        <v>0</v>
      </c>
      <c r="GZ49" s="4"/>
      <c r="HA49" s="323">
        <v>1</v>
      </c>
      <c r="HB49" s="323">
        <v>0</v>
      </c>
      <c r="HC49" s="2"/>
      <c r="HD49" s="323">
        <v>0</v>
      </c>
      <c r="HE49" s="323">
        <v>0</v>
      </c>
      <c r="HF49" s="323">
        <v>0</v>
      </c>
      <c r="HH49">
        <v>17</v>
      </c>
      <c r="HI49">
        <v>4.7752808988764044E-2</v>
      </c>
      <c r="HJ49">
        <v>35</v>
      </c>
      <c r="HK49">
        <v>9.8314606741573038E-2</v>
      </c>
      <c r="HL49">
        <v>48</v>
      </c>
      <c r="HM49">
        <v>0.1348314606741573</v>
      </c>
      <c r="HN49">
        <v>53</v>
      </c>
      <c r="HO49">
        <v>0.14887640449438203</v>
      </c>
      <c r="HP49">
        <v>85</v>
      </c>
      <c r="HQ49">
        <v>0.23876404494382023</v>
      </c>
      <c r="HR49">
        <v>141</v>
      </c>
      <c r="HS49">
        <v>0.3960674157303371</v>
      </c>
      <c r="HT49">
        <v>215</v>
      </c>
      <c r="HU49">
        <v>0.6039325842696629</v>
      </c>
      <c r="HV49">
        <v>356</v>
      </c>
    </row>
    <row r="50" spans="1:230" x14ac:dyDescent="0.25">
      <c r="A50" t="s">
        <v>535</v>
      </c>
      <c r="B50" s="4">
        <v>6869</v>
      </c>
      <c r="C50" s="444" t="s">
        <v>240</v>
      </c>
      <c r="D50" s="418" t="s">
        <v>207</v>
      </c>
      <c r="E50" s="419" t="s">
        <v>535</v>
      </c>
      <c r="F50" s="340">
        <v>0.71201577607059496</v>
      </c>
      <c r="G50" s="340">
        <v>0.28675703858185608</v>
      </c>
      <c r="H50" s="340">
        <v>7.2992700729927001E-2</v>
      </c>
      <c r="I50" s="323">
        <v>55</v>
      </c>
      <c r="J50" s="420"/>
      <c r="K50" s="478">
        <v>136.56462585034012</v>
      </c>
      <c r="L50" s="421"/>
      <c r="M50" s="323">
        <v>193</v>
      </c>
      <c r="N50" s="323">
        <v>189</v>
      </c>
      <c r="O50" s="323">
        <v>192</v>
      </c>
      <c r="P50" s="323">
        <v>199</v>
      </c>
      <c r="Q50" s="323">
        <v>186</v>
      </c>
      <c r="R50" s="323">
        <v>0</v>
      </c>
      <c r="S50" s="323">
        <v>0</v>
      </c>
      <c r="T50" s="323">
        <v>0</v>
      </c>
      <c r="U50" s="323">
        <v>0</v>
      </c>
      <c r="V50" s="323">
        <v>0</v>
      </c>
      <c r="W50" s="323">
        <v>0</v>
      </c>
      <c r="X50" s="323">
        <v>0</v>
      </c>
      <c r="Y50" s="347">
        <v>191.8</v>
      </c>
      <c r="Z50" s="323">
        <v>186</v>
      </c>
      <c r="AA50" s="323">
        <v>0</v>
      </c>
      <c r="AB50" s="323">
        <v>16</v>
      </c>
      <c r="AC50" s="323">
        <v>2</v>
      </c>
      <c r="AD50" s="323">
        <v>1</v>
      </c>
      <c r="AE50" s="323">
        <v>0</v>
      </c>
      <c r="AF50" s="323">
        <v>0</v>
      </c>
      <c r="AG50" s="323">
        <v>34</v>
      </c>
      <c r="AH50" s="323">
        <v>0</v>
      </c>
      <c r="AI50" s="323">
        <v>2</v>
      </c>
      <c r="AJ50" s="323">
        <v>55</v>
      </c>
      <c r="AK50" s="328">
        <v>14</v>
      </c>
      <c r="AL50" s="4" t="s">
        <v>207</v>
      </c>
      <c r="AM50" s="327">
        <v>143</v>
      </c>
      <c r="AN50" s="328">
        <v>43</v>
      </c>
      <c r="AO50" s="2"/>
      <c r="AP50" s="323">
        <v>50</v>
      </c>
      <c r="AQ50" s="323">
        <v>5</v>
      </c>
      <c r="AR50" s="323">
        <v>0</v>
      </c>
      <c r="AS50" s="2"/>
      <c r="AT50" s="323">
        <v>9</v>
      </c>
      <c r="AU50" s="323">
        <v>6</v>
      </c>
      <c r="AV50" s="323">
        <v>13</v>
      </c>
      <c r="AW50" s="323">
        <v>13</v>
      </c>
      <c r="AX50" s="323">
        <v>14</v>
      </c>
      <c r="AY50" s="323">
        <v>0</v>
      </c>
      <c r="AZ50" s="323">
        <v>0</v>
      </c>
      <c r="BA50" s="323">
        <v>0</v>
      </c>
      <c r="BB50" s="323">
        <v>0</v>
      </c>
      <c r="BC50" s="323">
        <v>0</v>
      </c>
      <c r="BD50" s="323">
        <v>0</v>
      </c>
      <c r="BE50" s="323">
        <v>0</v>
      </c>
      <c r="BF50" s="2" t="s">
        <v>535</v>
      </c>
      <c r="BG50" s="327">
        <v>17</v>
      </c>
      <c r="BH50" s="323">
        <v>3</v>
      </c>
      <c r="BI50" s="323">
        <v>19</v>
      </c>
      <c r="BJ50" s="323">
        <v>17</v>
      </c>
      <c r="BK50" s="323">
        <v>10</v>
      </c>
      <c r="BL50" s="323">
        <v>0</v>
      </c>
      <c r="BM50" s="323">
        <v>0</v>
      </c>
      <c r="BN50" s="323">
        <v>0</v>
      </c>
      <c r="BO50" s="323">
        <v>0</v>
      </c>
      <c r="BP50" s="323">
        <v>0</v>
      </c>
      <c r="BQ50" s="323">
        <v>0</v>
      </c>
      <c r="BR50" s="328">
        <v>0</v>
      </c>
      <c r="BS50" s="323">
        <v>66</v>
      </c>
      <c r="BT50" s="329">
        <v>0.60788304959289419</v>
      </c>
      <c r="BU50" s="330">
        <v>0.51187359760658191</v>
      </c>
      <c r="BV50" s="330">
        <v>0.58697400160814794</v>
      </c>
      <c r="BW50" s="330">
        <v>0.65074412688749494</v>
      </c>
      <c r="BX50" s="330">
        <v>0.71201577607059496</v>
      </c>
      <c r="BY50" s="330">
        <v>0.69010759834534596</v>
      </c>
      <c r="BZ50" s="330">
        <v>0.69777546054918327</v>
      </c>
      <c r="CA50" s="330">
        <v>0.70363911988152927</v>
      </c>
      <c r="CB50" s="330">
        <v>0.70145183283869417</v>
      </c>
      <c r="CC50" s="330">
        <v>0.70688944394597086</v>
      </c>
      <c r="CD50" s="330">
        <v>0.71140150422647697</v>
      </c>
      <c r="CE50" s="331">
        <v>0.68821689259645458</v>
      </c>
      <c r="CF50" s="2"/>
      <c r="CG50" s="327">
        <v>63</v>
      </c>
      <c r="CH50" s="323">
        <v>56</v>
      </c>
      <c r="CI50" s="323">
        <v>66</v>
      </c>
      <c r="CJ50" s="323">
        <v>59</v>
      </c>
      <c r="CK50" s="323">
        <v>0</v>
      </c>
      <c r="CL50" s="323">
        <v>0</v>
      </c>
      <c r="CM50" s="323">
        <v>0</v>
      </c>
      <c r="CN50" s="323">
        <v>0</v>
      </c>
      <c r="CO50" s="323">
        <v>0</v>
      </c>
      <c r="CP50" s="323">
        <v>0</v>
      </c>
      <c r="CQ50" s="323">
        <v>0</v>
      </c>
      <c r="CR50" s="332">
        <v>0</v>
      </c>
      <c r="CS50" s="327">
        <v>0</v>
      </c>
      <c r="CT50" s="323">
        <v>0</v>
      </c>
      <c r="CU50" s="323">
        <v>0</v>
      </c>
      <c r="CV50" s="323">
        <v>0</v>
      </c>
      <c r="CW50" s="323">
        <v>0</v>
      </c>
      <c r="CX50" s="323">
        <v>0</v>
      </c>
      <c r="CY50" s="323">
        <v>0</v>
      </c>
      <c r="CZ50" s="323">
        <v>0</v>
      </c>
      <c r="DA50" s="323">
        <v>0</v>
      </c>
      <c r="DB50" s="323">
        <v>0</v>
      </c>
      <c r="DC50" s="323">
        <v>0</v>
      </c>
      <c r="DD50" s="328">
        <v>0</v>
      </c>
      <c r="DE50" s="4"/>
      <c r="DF50" s="416">
        <v>0</v>
      </c>
      <c r="DG50" s="417">
        <v>0</v>
      </c>
      <c r="DH50" s="417">
        <v>0</v>
      </c>
      <c r="DI50" s="417">
        <v>0</v>
      </c>
      <c r="DJ50" s="417">
        <v>0</v>
      </c>
      <c r="DK50" s="417">
        <v>0</v>
      </c>
      <c r="DL50" s="417">
        <v>0</v>
      </c>
      <c r="DM50" s="417">
        <v>0</v>
      </c>
      <c r="DN50" s="417">
        <v>0</v>
      </c>
      <c r="DO50" s="417">
        <v>0</v>
      </c>
      <c r="DP50" s="417">
        <v>0</v>
      </c>
      <c r="DQ50" s="417">
        <v>0</v>
      </c>
      <c r="DS50" s="327">
        <v>38</v>
      </c>
      <c r="DT50" s="323">
        <v>0</v>
      </c>
      <c r="DU50" s="323">
        <v>0</v>
      </c>
      <c r="DV50" s="323">
        <v>0</v>
      </c>
      <c r="DW50" s="323">
        <v>0</v>
      </c>
      <c r="DX50" s="323">
        <v>0</v>
      </c>
      <c r="DY50" s="323">
        <v>28</v>
      </c>
      <c r="DZ50" s="328">
        <v>66</v>
      </c>
      <c r="EA50" s="4"/>
      <c r="EB50" s="418" t="s">
        <v>207</v>
      </c>
      <c r="EC50" s="419" t="s">
        <v>388</v>
      </c>
      <c r="ED50" s="340">
        <v>0.80288402786264201</v>
      </c>
      <c r="EE50" s="340">
        <v>0.32335329341317365</v>
      </c>
      <c r="EF50" s="340">
        <v>8.3832335329341312E-2</v>
      </c>
      <c r="EG50" s="323">
        <v>54</v>
      </c>
      <c r="EH50" s="420"/>
      <c r="EI50" s="420">
        <v>134.08163265306121</v>
      </c>
      <c r="EJ50" s="421"/>
      <c r="EK50" s="323">
        <v>169</v>
      </c>
      <c r="EL50" s="323">
        <v>166</v>
      </c>
      <c r="EM50" s="323">
        <v>167</v>
      </c>
      <c r="EN50" s="323">
        <v>173</v>
      </c>
      <c r="EO50" s="323">
        <v>160</v>
      </c>
      <c r="EP50" s="323">
        <v>0</v>
      </c>
      <c r="EQ50" s="323">
        <v>0</v>
      </c>
      <c r="ER50" s="323">
        <v>0</v>
      </c>
      <c r="ES50" s="323">
        <v>0</v>
      </c>
      <c r="ET50" s="323">
        <v>0</v>
      </c>
      <c r="EU50" s="323">
        <v>0</v>
      </c>
      <c r="EV50" s="323">
        <v>0</v>
      </c>
      <c r="EW50" s="347">
        <v>167</v>
      </c>
      <c r="EX50" s="323">
        <v>160</v>
      </c>
      <c r="EY50" s="323">
        <v>0</v>
      </c>
      <c r="EZ50" s="323">
        <v>16</v>
      </c>
      <c r="FA50" s="323">
        <v>2</v>
      </c>
      <c r="FB50" s="323">
        <v>1</v>
      </c>
      <c r="FC50" s="323">
        <v>0</v>
      </c>
      <c r="FD50" s="323">
        <v>0</v>
      </c>
      <c r="FE50" s="323">
        <v>33</v>
      </c>
      <c r="FF50" s="323">
        <v>0</v>
      </c>
      <c r="FG50" s="323">
        <v>2</v>
      </c>
      <c r="FH50" s="323">
        <v>54</v>
      </c>
      <c r="FI50" s="323">
        <v>14</v>
      </c>
      <c r="FJ50" s="4"/>
      <c r="FK50" s="323">
        <v>118</v>
      </c>
      <c r="FL50" s="323">
        <v>42</v>
      </c>
      <c r="FM50" s="2"/>
      <c r="FN50" s="323">
        <v>49</v>
      </c>
      <c r="FO50" s="323">
        <v>5</v>
      </c>
      <c r="FP50" s="323">
        <v>0</v>
      </c>
      <c r="FR50" s="418" t="s">
        <v>207</v>
      </c>
      <c r="FS50" s="419" t="s">
        <v>388</v>
      </c>
      <c r="FT50" s="340">
        <v>0.10012069343866578</v>
      </c>
      <c r="FU50" s="340">
        <v>4.0322580645161289E-2</v>
      </c>
      <c r="FV50" s="340">
        <v>0</v>
      </c>
      <c r="FW50" s="323">
        <v>1</v>
      </c>
      <c r="FX50" s="420"/>
      <c r="FY50" s="420">
        <v>2.4829931972789114</v>
      </c>
      <c r="FZ50" s="421"/>
      <c r="GA50" s="323">
        <v>24</v>
      </c>
      <c r="GB50" s="323">
        <v>23</v>
      </c>
      <c r="GC50" s="323">
        <v>25</v>
      </c>
      <c r="GD50" s="323">
        <v>26</v>
      </c>
      <c r="GE50" s="323">
        <v>26</v>
      </c>
      <c r="GF50" s="323">
        <v>0</v>
      </c>
      <c r="GG50" s="323">
        <v>0</v>
      </c>
      <c r="GH50" s="323">
        <v>0</v>
      </c>
      <c r="GI50" s="323">
        <v>0</v>
      </c>
      <c r="GJ50" s="323">
        <v>0</v>
      </c>
      <c r="GK50" s="323">
        <v>0</v>
      </c>
      <c r="GL50" s="323">
        <v>0</v>
      </c>
      <c r="GM50" s="347">
        <v>24.8</v>
      </c>
      <c r="GN50" s="341">
        <v>26</v>
      </c>
      <c r="GO50" s="323">
        <v>0</v>
      </c>
      <c r="GP50" s="323">
        <v>0</v>
      </c>
      <c r="GQ50" s="323">
        <v>0</v>
      </c>
      <c r="GR50" s="323">
        <v>0</v>
      </c>
      <c r="GS50" s="323">
        <v>0</v>
      </c>
      <c r="GT50" s="323">
        <v>0</v>
      </c>
      <c r="GU50" s="323">
        <v>1</v>
      </c>
      <c r="GV50" s="323">
        <v>0</v>
      </c>
      <c r="GW50" s="323">
        <v>0</v>
      </c>
      <c r="GX50" s="323">
        <v>1</v>
      </c>
      <c r="GY50" s="323">
        <v>0</v>
      </c>
      <c r="GZ50" s="4"/>
      <c r="HA50" s="323">
        <v>25</v>
      </c>
      <c r="HB50" s="323">
        <v>1</v>
      </c>
      <c r="HC50" s="2"/>
      <c r="HD50" s="323">
        <v>1</v>
      </c>
      <c r="HE50" s="323">
        <v>0</v>
      </c>
      <c r="HF50" s="323">
        <v>0</v>
      </c>
      <c r="HH50">
        <v>7</v>
      </c>
      <c r="HI50">
        <v>3.2407407407407406E-2</v>
      </c>
      <c r="HJ50">
        <v>22</v>
      </c>
      <c r="HK50">
        <v>0.10185185185185185</v>
      </c>
      <c r="HL50">
        <v>28</v>
      </c>
      <c r="HM50">
        <v>0.12962962962962962</v>
      </c>
      <c r="HN50">
        <v>32</v>
      </c>
      <c r="HO50">
        <v>0.14814814814814814</v>
      </c>
      <c r="HP50">
        <v>44</v>
      </c>
      <c r="HQ50">
        <v>0.20370370370370369</v>
      </c>
      <c r="HR50">
        <v>63</v>
      </c>
      <c r="HS50">
        <v>0.29166666666666669</v>
      </c>
      <c r="HT50">
        <v>153</v>
      </c>
      <c r="HU50">
        <v>0.70833333333333337</v>
      </c>
      <c r="HV50">
        <v>216</v>
      </c>
    </row>
    <row r="51" spans="1:230" x14ac:dyDescent="0.25">
      <c r="A51" t="s">
        <v>536</v>
      </c>
      <c r="B51" s="4">
        <v>3086</v>
      </c>
      <c r="C51" s="444" t="s">
        <v>322</v>
      </c>
      <c r="D51" s="418" t="s">
        <v>207</v>
      </c>
      <c r="E51" s="419" t="s">
        <v>536</v>
      </c>
      <c r="F51" s="340">
        <v>0</v>
      </c>
      <c r="G51" s="340">
        <v>0</v>
      </c>
      <c r="H51" s="340">
        <v>0</v>
      </c>
      <c r="I51" s="323">
        <v>0</v>
      </c>
      <c r="J51" s="420"/>
      <c r="K51" s="478">
        <v>0</v>
      </c>
      <c r="L51" s="421"/>
      <c r="M51" s="323">
        <v>5</v>
      </c>
      <c r="N51" s="323">
        <v>5</v>
      </c>
      <c r="O51" s="323">
        <v>5</v>
      </c>
      <c r="P51" s="323">
        <v>5</v>
      </c>
      <c r="Q51" s="323">
        <v>5</v>
      </c>
      <c r="R51" s="323">
        <v>0</v>
      </c>
      <c r="S51" s="323">
        <v>0</v>
      </c>
      <c r="T51" s="323">
        <v>0</v>
      </c>
      <c r="U51" s="323">
        <v>0</v>
      </c>
      <c r="V51" s="323">
        <v>0</v>
      </c>
      <c r="W51" s="323">
        <v>0</v>
      </c>
      <c r="X51" s="323">
        <v>0</v>
      </c>
      <c r="Y51" s="347">
        <v>5</v>
      </c>
      <c r="Z51" s="323">
        <v>5</v>
      </c>
      <c r="AA51" s="323">
        <v>0</v>
      </c>
      <c r="AB51" s="323">
        <v>0</v>
      </c>
      <c r="AC51" s="323">
        <v>0</v>
      </c>
      <c r="AD51" s="323">
        <v>0</v>
      </c>
      <c r="AE51" s="323">
        <v>0</v>
      </c>
      <c r="AF51" s="323">
        <v>0</v>
      </c>
      <c r="AG51" s="323">
        <v>0</v>
      </c>
      <c r="AH51" s="323">
        <v>0</v>
      </c>
      <c r="AI51" s="323">
        <v>0</v>
      </c>
      <c r="AJ51" s="323">
        <v>0</v>
      </c>
      <c r="AK51" s="328">
        <v>0</v>
      </c>
      <c r="AL51" s="4" t="s">
        <v>207</v>
      </c>
      <c r="AM51" s="327">
        <v>5</v>
      </c>
      <c r="AN51" s="328">
        <v>0</v>
      </c>
      <c r="AO51" s="2"/>
      <c r="AP51" s="323">
        <v>0</v>
      </c>
      <c r="AQ51" s="323">
        <v>0</v>
      </c>
      <c r="AR51" s="323">
        <v>0</v>
      </c>
      <c r="AS51" s="2"/>
      <c r="AT51" s="323">
        <v>0</v>
      </c>
      <c r="AU51" s="323">
        <v>0</v>
      </c>
      <c r="AV51" s="323">
        <v>0</v>
      </c>
      <c r="AW51" s="323">
        <v>0</v>
      </c>
      <c r="AX51" s="323">
        <v>0</v>
      </c>
      <c r="AY51" s="323">
        <v>0</v>
      </c>
      <c r="AZ51" s="323">
        <v>0</v>
      </c>
      <c r="BA51" s="323">
        <v>0</v>
      </c>
      <c r="BB51" s="323">
        <v>0</v>
      </c>
      <c r="BC51" s="323">
        <v>0</v>
      </c>
      <c r="BD51" s="323">
        <v>0</v>
      </c>
      <c r="BE51" s="323">
        <v>0</v>
      </c>
      <c r="BF51" s="2" t="s">
        <v>536</v>
      </c>
      <c r="BG51" s="327">
        <v>0</v>
      </c>
      <c r="BH51" s="323">
        <v>0</v>
      </c>
      <c r="BI51" s="323">
        <v>0</v>
      </c>
      <c r="BJ51" s="323">
        <v>0</v>
      </c>
      <c r="BK51" s="323">
        <v>0</v>
      </c>
      <c r="BL51" s="323">
        <v>0</v>
      </c>
      <c r="BM51" s="323">
        <v>0</v>
      </c>
      <c r="BN51" s="323">
        <v>0</v>
      </c>
      <c r="BO51" s="323">
        <v>0</v>
      </c>
      <c r="BP51" s="323">
        <v>0</v>
      </c>
      <c r="BQ51" s="323">
        <v>0</v>
      </c>
      <c r="BR51" s="328">
        <v>0</v>
      </c>
      <c r="BS51" s="323">
        <v>0</v>
      </c>
      <c r="BT51" s="329">
        <v>0</v>
      </c>
      <c r="BU51" s="330">
        <v>0</v>
      </c>
      <c r="BV51" s="330">
        <v>0</v>
      </c>
      <c r="BW51" s="330">
        <v>0</v>
      </c>
      <c r="BX51" s="330">
        <v>0</v>
      </c>
      <c r="BY51" s="330">
        <v>0</v>
      </c>
      <c r="BZ51" s="330">
        <v>0</v>
      </c>
      <c r="CA51" s="330">
        <v>0</v>
      </c>
      <c r="CB51" s="330">
        <v>0</v>
      </c>
      <c r="CC51" s="330">
        <v>0</v>
      </c>
      <c r="CD51" s="330">
        <v>0</v>
      </c>
      <c r="CE51" s="331">
        <v>0</v>
      </c>
      <c r="CF51" s="2"/>
      <c r="CG51" s="327">
        <v>65</v>
      </c>
      <c r="CH51" s="323">
        <v>64</v>
      </c>
      <c r="CI51" s="323">
        <v>54</v>
      </c>
      <c r="CJ51" s="323">
        <v>55</v>
      </c>
      <c r="CK51" s="323">
        <v>0</v>
      </c>
      <c r="CL51" s="323">
        <v>0</v>
      </c>
      <c r="CM51" s="323">
        <v>0</v>
      </c>
      <c r="CN51" s="323">
        <v>0</v>
      </c>
      <c r="CO51" s="323">
        <v>0</v>
      </c>
      <c r="CP51" s="323">
        <v>0</v>
      </c>
      <c r="CQ51" s="323">
        <v>0</v>
      </c>
      <c r="CR51" s="332">
        <v>0</v>
      </c>
      <c r="CS51" s="327">
        <v>0</v>
      </c>
      <c r="CT51" s="323">
        <v>0</v>
      </c>
      <c r="CU51" s="323">
        <v>0</v>
      </c>
      <c r="CV51" s="323">
        <v>0</v>
      </c>
      <c r="CW51" s="323">
        <v>0</v>
      </c>
      <c r="CX51" s="323">
        <v>0</v>
      </c>
      <c r="CY51" s="323">
        <v>0</v>
      </c>
      <c r="CZ51" s="323">
        <v>0</v>
      </c>
      <c r="DA51" s="323">
        <v>0</v>
      </c>
      <c r="DB51" s="323">
        <v>0</v>
      </c>
      <c r="DC51" s="323">
        <v>0</v>
      </c>
      <c r="DD51" s="328">
        <v>0</v>
      </c>
      <c r="DE51" s="4"/>
      <c r="DF51" s="416">
        <v>0</v>
      </c>
      <c r="DG51" s="417">
        <v>0</v>
      </c>
      <c r="DH51" s="417">
        <v>0</v>
      </c>
      <c r="DI51" s="417">
        <v>0</v>
      </c>
      <c r="DJ51" s="417">
        <v>0</v>
      </c>
      <c r="DK51" s="417">
        <v>0</v>
      </c>
      <c r="DL51" s="417">
        <v>0</v>
      </c>
      <c r="DM51" s="417">
        <v>0</v>
      </c>
      <c r="DN51" s="417">
        <v>0</v>
      </c>
      <c r="DO51" s="417">
        <v>0</v>
      </c>
      <c r="DP51" s="417">
        <v>0</v>
      </c>
      <c r="DQ51" s="417">
        <v>0</v>
      </c>
      <c r="DS51" s="327">
        <v>0</v>
      </c>
      <c r="DT51" s="323">
        <v>0</v>
      </c>
      <c r="DU51" s="323">
        <v>0</v>
      </c>
      <c r="DV51" s="323">
        <v>0</v>
      </c>
      <c r="DW51" s="323">
        <v>0</v>
      </c>
      <c r="DX51" s="323">
        <v>0</v>
      </c>
      <c r="DY51" s="323">
        <v>0</v>
      </c>
      <c r="DZ51" s="328">
        <v>0</v>
      </c>
      <c r="EA51" s="4"/>
      <c r="EB51" s="418" t="s">
        <v>207</v>
      </c>
      <c r="EC51" s="419" t="s">
        <v>438</v>
      </c>
      <c r="ED51" s="340">
        <v>0</v>
      </c>
      <c r="EE51" s="340">
        <v>0</v>
      </c>
      <c r="EF51" s="340">
        <v>0</v>
      </c>
      <c r="EG51" s="323">
        <v>0</v>
      </c>
      <c r="EH51" s="420"/>
      <c r="EI51" s="420">
        <v>0</v>
      </c>
      <c r="EJ51" s="421"/>
      <c r="EK51" s="323">
        <v>0</v>
      </c>
      <c r="EL51" s="323">
        <v>5</v>
      </c>
      <c r="EM51" s="323">
        <v>5</v>
      </c>
      <c r="EN51" s="323">
        <v>5</v>
      </c>
      <c r="EO51" s="323">
        <v>5</v>
      </c>
      <c r="EP51" s="323">
        <v>0</v>
      </c>
      <c r="EQ51" s="323">
        <v>0</v>
      </c>
      <c r="ER51" s="323">
        <v>0</v>
      </c>
      <c r="ES51" s="323">
        <v>0</v>
      </c>
      <c r="ET51" s="323">
        <v>0</v>
      </c>
      <c r="EU51" s="323">
        <v>0</v>
      </c>
      <c r="EV51" s="323">
        <v>0</v>
      </c>
      <c r="EW51" s="347">
        <v>5</v>
      </c>
      <c r="EX51" s="323">
        <v>5</v>
      </c>
      <c r="EY51" s="323">
        <v>0</v>
      </c>
      <c r="EZ51" s="323">
        <v>0</v>
      </c>
      <c r="FA51" s="323">
        <v>0</v>
      </c>
      <c r="FB51" s="323">
        <v>0</v>
      </c>
      <c r="FC51" s="323">
        <v>0</v>
      </c>
      <c r="FD51" s="323">
        <v>0</v>
      </c>
      <c r="FE51" s="323">
        <v>0</v>
      </c>
      <c r="FF51" s="323">
        <v>0</v>
      </c>
      <c r="FG51" s="323">
        <v>0</v>
      </c>
      <c r="FH51" s="323">
        <v>0</v>
      </c>
      <c r="FI51" s="323">
        <v>0</v>
      </c>
      <c r="FJ51" s="4"/>
      <c r="FK51" s="323">
        <v>5</v>
      </c>
      <c r="FL51" s="323">
        <v>0</v>
      </c>
      <c r="FM51" s="2"/>
      <c r="FN51" s="323">
        <v>0</v>
      </c>
      <c r="FO51" s="323">
        <v>0</v>
      </c>
      <c r="FP51" s="323">
        <v>0</v>
      </c>
      <c r="FR51" s="418" t="s">
        <v>207</v>
      </c>
      <c r="FS51" s="419" t="s">
        <v>438</v>
      </c>
      <c r="FT51" s="340" t="e">
        <v>#DIV/0!</v>
      </c>
      <c r="FU51" s="340" t="e">
        <v>#DIV/0!</v>
      </c>
      <c r="FV51" s="340" t="e">
        <v>#DIV/0!</v>
      </c>
      <c r="FW51" s="323">
        <v>0</v>
      </c>
      <c r="FX51" s="420"/>
      <c r="FY51" s="420">
        <v>0</v>
      </c>
      <c r="FZ51" s="421"/>
      <c r="GA51" s="323">
        <v>0</v>
      </c>
      <c r="GB51" s="323">
        <v>0</v>
      </c>
      <c r="GC51" s="323">
        <v>0</v>
      </c>
      <c r="GD51" s="323">
        <v>0</v>
      </c>
      <c r="GE51" s="323">
        <v>0</v>
      </c>
      <c r="GF51" s="323">
        <v>0</v>
      </c>
      <c r="GG51" s="323">
        <v>0</v>
      </c>
      <c r="GH51" s="323">
        <v>0</v>
      </c>
      <c r="GI51" s="323">
        <v>0</v>
      </c>
      <c r="GJ51" s="323">
        <v>0</v>
      </c>
      <c r="GK51" s="323">
        <v>0</v>
      </c>
      <c r="GL51" s="323">
        <v>0</v>
      </c>
      <c r="GM51" s="347" t="e">
        <v>#DIV/0!</v>
      </c>
      <c r="GN51" s="341">
        <v>0</v>
      </c>
      <c r="GO51" s="323">
        <v>0</v>
      </c>
      <c r="GP51" s="323">
        <v>0</v>
      </c>
      <c r="GQ51" s="323">
        <v>0</v>
      </c>
      <c r="GR51" s="323">
        <v>0</v>
      </c>
      <c r="GS51" s="323">
        <v>0</v>
      </c>
      <c r="GT51" s="323">
        <v>0</v>
      </c>
      <c r="GU51" s="323">
        <v>0</v>
      </c>
      <c r="GV51" s="323">
        <v>0</v>
      </c>
      <c r="GW51" s="323">
        <v>0</v>
      </c>
      <c r="GX51" s="323">
        <v>0</v>
      </c>
      <c r="GY51" s="323">
        <v>0</v>
      </c>
      <c r="GZ51" s="4"/>
      <c r="HA51" s="323">
        <v>0</v>
      </c>
      <c r="HB51" s="323">
        <v>0</v>
      </c>
      <c r="HC51" s="2"/>
      <c r="HD51" s="323">
        <v>0</v>
      </c>
      <c r="HE51" s="323">
        <v>0</v>
      </c>
      <c r="HF51" s="323">
        <v>0</v>
      </c>
      <c r="HH51">
        <v>16</v>
      </c>
      <c r="HI51">
        <v>8.8888888888888892E-2</v>
      </c>
      <c r="HJ51">
        <v>26</v>
      </c>
      <c r="HK51">
        <v>0.14444444444444443</v>
      </c>
      <c r="HL51">
        <v>36</v>
      </c>
      <c r="HM51">
        <v>0.2</v>
      </c>
      <c r="HN51">
        <v>37</v>
      </c>
      <c r="HO51">
        <v>0.20555555555555555</v>
      </c>
      <c r="HP51">
        <v>41</v>
      </c>
      <c r="HQ51">
        <v>0.22777777777777777</v>
      </c>
      <c r="HR51">
        <v>65</v>
      </c>
      <c r="HS51">
        <v>0.3611111111111111</v>
      </c>
      <c r="HT51">
        <v>115</v>
      </c>
      <c r="HU51">
        <v>0.63888888888888884</v>
      </c>
      <c r="HV51">
        <v>180</v>
      </c>
    </row>
    <row r="52" spans="1:230" x14ac:dyDescent="0.25">
      <c r="A52" t="s">
        <v>537</v>
      </c>
      <c r="B52" s="4">
        <v>6874</v>
      </c>
      <c r="C52" s="444" t="s">
        <v>231</v>
      </c>
      <c r="D52" s="418" t="s">
        <v>204</v>
      </c>
      <c r="E52" s="419" t="s">
        <v>537</v>
      </c>
      <c r="F52" s="340">
        <v>0.79729139362166868</v>
      </c>
      <c r="G52" s="340">
        <v>0.32110091743119262</v>
      </c>
      <c r="H52" s="340">
        <v>4.5871559633027519E-2</v>
      </c>
      <c r="I52" s="323">
        <v>28</v>
      </c>
      <c r="J52" s="420"/>
      <c r="K52" s="478">
        <v>69.523809523809518</v>
      </c>
      <c r="L52" s="421"/>
      <c r="M52" s="323">
        <v>90</v>
      </c>
      <c r="N52" s="323">
        <v>87</v>
      </c>
      <c r="O52" s="323">
        <v>89</v>
      </c>
      <c r="P52" s="323">
        <v>84</v>
      </c>
      <c r="Q52" s="323">
        <v>86</v>
      </c>
      <c r="R52" s="323">
        <v>0</v>
      </c>
      <c r="S52" s="323">
        <v>0</v>
      </c>
      <c r="T52" s="323">
        <v>0</v>
      </c>
      <c r="U52" s="323">
        <v>0</v>
      </c>
      <c r="V52" s="323">
        <v>0</v>
      </c>
      <c r="W52" s="323">
        <v>0</v>
      </c>
      <c r="X52" s="323">
        <v>0</v>
      </c>
      <c r="Y52" s="347">
        <v>87.2</v>
      </c>
      <c r="Z52" s="323">
        <v>86</v>
      </c>
      <c r="AA52" s="323">
        <v>0</v>
      </c>
      <c r="AB52" s="323">
        <v>14</v>
      </c>
      <c r="AC52" s="323">
        <v>3</v>
      </c>
      <c r="AD52" s="323">
        <v>1</v>
      </c>
      <c r="AE52" s="323">
        <v>0</v>
      </c>
      <c r="AF52" s="323">
        <v>0</v>
      </c>
      <c r="AG52" s="323">
        <v>10</v>
      </c>
      <c r="AH52" s="323">
        <v>0</v>
      </c>
      <c r="AI52" s="323">
        <v>0</v>
      </c>
      <c r="AJ52" s="323">
        <v>28</v>
      </c>
      <c r="AK52" s="328">
        <v>4</v>
      </c>
      <c r="AL52" s="4" t="s">
        <v>204</v>
      </c>
      <c r="AM52" s="327">
        <v>69</v>
      </c>
      <c r="AN52" s="328">
        <v>17</v>
      </c>
      <c r="AO52" s="2"/>
      <c r="AP52" s="323">
        <v>24</v>
      </c>
      <c r="AQ52" s="323">
        <v>4</v>
      </c>
      <c r="AR52" s="323">
        <v>0</v>
      </c>
      <c r="AS52" s="2"/>
      <c r="AT52" s="323">
        <v>2</v>
      </c>
      <c r="AU52" s="323">
        <v>5</v>
      </c>
      <c r="AV52" s="323">
        <v>10</v>
      </c>
      <c r="AW52" s="323">
        <v>7</v>
      </c>
      <c r="AX52" s="323">
        <v>4</v>
      </c>
      <c r="AY52" s="323">
        <v>0</v>
      </c>
      <c r="AZ52" s="323">
        <v>0</v>
      </c>
      <c r="BA52" s="323">
        <v>0</v>
      </c>
      <c r="BB52" s="323">
        <v>0</v>
      </c>
      <c r="BC52" s="323">
        <v>0</v>
      </c>
      <c r="BD52" s="323">
        <v>0</v>
      </c>
      <c r="BE52" s="323">
        <v>0</v>
      </c>
      <c r="BF52" s="2" t="s">
        <v>537</v>
      </c>
      <c r="BG52" s="327">
        <v>5</v>
      </c>
      <c r="BH52" s="323">
        <v>2</v>
      </c>
      <c r="BI52" s="323">
        <v>12</v>
      </c>
      <c r="BJ52" s="323">
        <v>3</v>
      </c>
      <c r="BK52" s="323">
        <v>11</v>
      </c>
      <c r="BL52" s="323">
        <v>0</v>
      </c>
      <c r="BM52" s="323">
        <v>0</v>
      </c>
      <c r="BN52" s="323">
        <v>0</v>
      </c>
      <c r="BO52" s="323">
        <v>0</v>
      </c>
      <c r="BP52" s="323">
        <v>0</v>
      </c>
      <c r="BQ52" s="323">
        <v>0</v>
      </c>
      <c r="BR52" s="328">
        <v>0</v>
      </c>
      <c r="BS52" s="323">
        <v>33</v>
      </c>
      <c r="BT52" s="329">
        <v>0.28968253968253971</v>
      </c>
      <c r="BU52" s="330">
        <v>0.5155367231638418</v>
      </c>
      <c r="BV52" s="330">
        <v>0.76902420887383283</v>
      </c>
      <c r="BW52" s="330">
        <v>0.84129651860744303</v>
      </c>
      <c r="BX52" s="330">
        <v>0.79729139362166879</v>
      </c>
      <c r="BY52" s="330">
        <v>0.7727593507410021</v>
      </c>
      <c r="BZ52" s="330">
        <v>0.78134556574923553</v>
      </c>
      <c r="CA52" s="330">
        <v>0.78791149487317869</v>
      </c>
      <c r="CB52" s="330">
        <v>0.7854622441778405</v>
      </c>
      <c r="CC52" s="330">
        <v>0.7915510987838702</v>
      </c>
      <c r="CD52" s="330">
        <v>0.79660355260589499</v>
      </c>
      <c r="CE52" s="331">
        <v>0.77064220183486232</v>
      </c>
      <c r="CF52" s="2"/>
      <c r="CG52" s="327">
        <v>43</v>
      </c>
      <c r="CH52" s="323">
        <v>46</v>
      </c>
      <c r="CI52" s="323">
        <v>47</v>
      </c>
      <c r="CJ52" s="323">
        <v>44</v>
      </c>
      <c r="CK52" s="323">
        <v>0</v>
      </c>
      <c r="CL52" s="323">
        <v>0</v>
      </c>
      <c r="CM52" s="323">
        <v>0</v>
      </c>
      <c r="CN52" s="323">
        <v>0</v>
      </c>
      <c r="CO52" s="323">
        <v>0</v>
      </c>
      <c r="CP52" s="323">
        <v>0</v>
      </c>
      <c r="CQ52" s="323">
        <v>0</v>
      </c>
      <c r="CR52" s="332">
        <v>0</v>
      </c>
      <c r="CS52" s="327">
        <v>0</v>
      </c>
      <c r="CT52" s="323">
        <v>0</v>
      </c>
      <c r="CU52" s="323">
        <v>0</v>
      </c>
      <c r="CV52" s="323">
        <v>0</v>
      </c>
      <c r="CW52" s="323">
        <v>0</v>
      </c>
      <c r="CX52" s="323">
        <v>0</v>
      </c>
      <c r="CY52" s="323">
        <v>0</v>
      </c>
      <c r="CZ52" s="323">
        <v>0</v>
      </c>
      <c r="DA52" s="323">
        <v>0</v>
      </c>
      <c r="DB52" s="323">
        <v>0</v>
      </c>
      <c r="DC52" s="323">
        <v>0</v>
      </c>
      <c r="DD52" s="328">
        <v>0</v>
      </c>
      <c r="DE52" s="4"/>
      <c r="DF52" s="416">
        <v>0</v>
      </c>
      <c r="DG52" s="417">
        <v>0</v>
      </c>
      <c r="DH52" s="417">
        <v>0</v>
      </c>
      <c r="DI52" s="417">
        <v>0</v>
      </c>
      <c r="DJ52" s="417">
        <v>0</v>
      </c>
      <c r="DK52" s="417">
        <v>0</v>
      </c>
      <c r="DL52" s="417">
        <v>0</v>
      </c>
      <c r="DM52" s="417">
        <v>0</v>
      </c>
      <c r="DN52" s="417">
        <v>0</v>
      </c>
      <c r="DO52" s="417">
        <v>0</v>
      </c>
      <c r="DP52" s="417">
        <v>0</v>
      </c>
      <c r="DQ52" s="417">
        <v>0</v>
      </c>
      <c r="DS52" s="327">
        <v>10</v>
      </c>
      <c r="DT52" s="323">
        <v>0</v>
      </c>
      <c r="DU52" s="323">
        <v>0</v>
      </c>
      <c r="DV52" s="323">
        <v>0</v>
      </c>
      <c r="DW52" s="323">
        <v>0</v>
      </c>
      <c r="DX52" s="323">
        <v>0</v>
      </c>
      <c r="DY52" s="323">
        <v>23</v>
      </c>
      <c r="DZ52" s="328">
        <v>33</v>
      </c>
      <c r="EA52" s="4"/>
      <c r="EB52" s="418" t="s">
        <v>204</v>
      </c>
      <c r="EC52" s="419" t="s">
        <v>390</v>
      </c>
      <c r="ED52" s="340">
        <v>0.87240301526015807</v>
      </c>
      <c r="EE52" s="340">
        <v>0.35135135135135137</v>
      </c>
      <c r="EF52" s="340">
        <v>4.0540540540540543E-2</v>
      </c>
      <c r="EG52" s="323">
        <v>26</v>
      </c>
      <c r="EH52" s="420"/>
      <c r="EI52" s="420">
        <v>64.557823129251702</v>
      </c>
      <c r="EJ52" s="421"/>
      <c r="EK52" s="323">
        <v>77</v>
      </c>
      <c r="EL52" s="323">
        <v>73</v>
      </c>
      <c r="EM52" s="323">
        <v>76</v>
      </c>
      <c r="EN52" s="323">
        <v>71</v>
      </c>
      <c r="EO52" s="323">
        <v>73</v>
      </c>
      <c r="EP52" s="323">
        <v>0</v>
      </c>
      <c r="EQ52" s="323">
        <v>0</v>
      </c>
      <c r="ER52" s="323">
        <v>0</v>
      </c>
      <c r="ES52" s="323">
        <v>0</v>
      </c>
      <c r="ET52" s="323">
        <v>0</v>
      </c>
      <c r="EU52" s="323">
        <v>0</v>
      </c>
      <c r="EV52" s="323">
        <v>0</v>
      </c>
      <c r="EW52" s="347">
        <v>74</v>
      </c>
      <c r="EX52" s="323">
        <v>73</v>
      </c>
      <c r="EY52" s="323">
        <v>0</v>
      </c>
      <c r="EZ52" s="323">
        <v>14</v>
      </c>
      <c r="FA52" s="323">
        <v>3</v>
      </c>
      <c r="FB52" s="323">
        <v>1</v>
      </c>
      <c r="FC52" s="323">
        <v>0</v>
      </c>
      <c r="FD52" s="323">
        <v>0</v>
      </c>
      <c r="FE52" s="323">
        <v>8</v>
      </c>
      <c r="FF52" s="323">
        <v>0</v>
      </c>
      <c r="FG52" s="323">
        <v>0</v>
      </c>
      <c r="FH52" s="323">
        <v>26</v>
      </c>
      <c r="FI52" s="323">
        <v>3</v>
      </c>
      <c r="FJ52" s="4"/>
      <c r="FK52" s="323">
        <v>56</v>
      </c>
      <c r="FL52" s="323">
        <v>17</v>
      </c>
      <c r="FM52" s="2"/>
      <c r="FN52" s="323">
        <v>22</v>
      </c>
      <c r="FO52" s="323">
        <v>4</v>
      </c>
      <c r="FP52" s="323">
        <v>0</v>
      </c>
      <c r="FR52" s="418" t="s">
        <v>204</v>
      </c>
      <c r="FS52" s="419" t="s">
        <v>390</v>
      </c>
      <c r="FT52" s="340">
        <v>0.37621109049680479</v>
      </c>
      <c r="FU52" s="340">
        <v>0.15151515151515152</v>
      </c>
      <c r="FV52" s="340">
        <v>7.575757575757576E-2</v>
      </c>
      <c r="FW52" s="323">
        <v>2</v>
      </c>
      <c r="FX52" s="420"/>
      <c r="FY52" s="420">
        <v>4.9659863945578229</v>
      </c>
      <c r="FZ52" s="421"/>
      <c r="GA52" s="323">
        <v>13</v>
      </c>
      <c r="GB52" s="323">
        <v>14</v>
      </c>
      <c r="GC52" s="323">
        <v>13</v>
      </c>
      <c r="GD52" s="323">
        <v>13</v>
      </c>
      <c r="GE52" s="323">
        <v>13</v>
      </c>
      <c r="GF52" s="323">
        <v>0</v>
      </c>
      <c r="GG52" s="323">
        <v>0</v>
      </c>
      <c r="GH52" s="323">
        <v>0</v>
      </c>
      <c r="GI52" s="323">
        <v>0</v>
      </c>
      <c r="GJ52" s="323">
        <v>0</v>
      </c>
      <c r="GK52" s="323">
        <v>0</v>
      </c>
      <c r="GL52" s="323">
        <v>0</v>
      </c>
      <c r="GM52" s="347">
        <v>13.2</v>
      </c>
      <c r="GN52" s="341">
        <v>13</v>
      </c>
      <c r="GO52" s="323">
        <v>0</v>
      </c>
      <c r="GP52" s="323">
        <v>0</v>
      </c>
      <c r="GQ52" s="323">
        <v>0</v>
      </c>
      <c r="GR52" s="323">
        <v>0</v>
      </c>
      <c r="GS52" s="323">
        <v>0</v>
      </c>
      <c r="GT52" s="323">
        <v>0</v>
      </c>
      <c r="GU52" s="323">
        <v>2</v>
      </c>
      <c r="GV52" s="323">
        <v>0</v>
      </c>
      <c r="GW52" s="323">
        <v>0</v>
      </c>
      <c r="GX52" s="323">
        <v>2</v>
      </c>
      <c r="GY52" s="323">
        <v>1</v>
      </c>
      <c r="GZ52" s="4"/>
      <c r="HA52" s="323">
        <v>13</v>
      </c>
      <c r="HB52" s="323">
        <v>0</v>
      </c>
      <c r="HC52" s="2"/>
      <c r="HD52" s="323">
        <v>2</v>
      </c>
      <c r="HE52" s="323">
        <v>0</v>
      </c>
      <c r="HF52" s="323">
        <v>0</v>
      </c>
      <c r="HH52">
        <v>4</v>
      </c>
      <c r="HI52">
        <v>4.0816326530612242E-2</v>
      </c>
      <c r="HJ52">
        <v>8</v>
      </c>
      <c r="HK52">
        <v>8.1632653061224483E-2</v>
      </c>
      <c r="HL52">
        <v>12</v>
      </c>
      <c r="HM52">
        <v>0.12244897959183673</v>
      </c>
      <c r="HN52">
        <v>19</v>
      </c>
      <c r="HO52">
        <v>0.19387755102040816</v>
      </c>
      <c r="HP52">
        <v>32</v>
      </c>
      <c r="HQ52">
        <v>0.32653061224489793</v>
      </c>
      <c r="HR52">
        <v>43</v>
      </c>
      <c r="HS52">
        <v>0.43877551020408162</v>
      </c>
      <c r="HT52">
        <v>55</v>
      </c>
      <c r="HU52">
        <v>0.56122448979591832</v>
      </c>
      <c r="HV52">
        <v>98</v>
      </c>
    </row>
    <row r="53" spans="1:230" x14ac:dyDescent="0.25">
      <c r="A53" t="s">
        <v>538</v>
      </c>
      <c r="B53" s="4">
        <v>6876</v>
      </c>
      <c r="C53" s="444" t="s">
        <v>226</v>
      </c>
      <c r="D53" s="418" t="s">
        <v>208</v>
      </c>
      <c r="E53" s="419" t="s">
        <v>538</v>
      </c>
      <c r="F53" s="340">
        <v>0.95499738356881214</v>
      </c>
      <c r="G53" s="340">
        <v>0.38461538461538464</v>
      </c>
      <c r="H53" s="340">
        <v>3.2051282051282055E-2</v>
      </c>
      <c r="I53" s="323">
        <v>24</v>
      </c>
      <c r="J53" s="420"/>
      <c r="K53" s="478">
        <v>59.591836734693871</v>
      </c>
      <c r="L53" s="421"/>
      <c r="M53" s="323">
        <v>60</v>
      </c>
      <c r="N53" s="323">
        <v>67</v>
      </c>
      <c r="O53" s="323">
        <v>66</v>
      </c>
      <c r="P53" s="323">
        <v>60</v>
      </c>
      <c r="Q53" s="323">
        <v>59</v>
      </c>
      <c r="R53" s="323">
        <v>0</v>
      </c>
      <c r="S53" s="323">
        <v>0</v>
      </c>
      <c r="T53" s="323">
        <v>0</v>
      </c>
      <c r="U53" s="323">
        <v>0</v>
      </c>
      <c r="V53" s="323">
        <v>0</v>
      </c>
      <c r="W53" s="323">
        <v>0</v>
      </c>
      <c r="X53" s="323">
        <v>0</v>
      </c>
      <c r="Y53" s="347">
        <v>62.4</v>
      </c>
      <c r="Z53" s="323">
        <v>59</v>
      </c>
      <c r="AA53" s="323">
        <v>0</v>
      </c>
      <c r="AB53" s="323">
        <v>10</v>
      </c>
      <c r="AC53" s="323">
        <v>1</v>
      </c>
      <c r="AD53" s="323">
        <v>1</v>
      </c>
      <c r="AE53" s="323">
        <v>0</v>
      </c>
      <c r="AF53" s="323">
        <v>0</v>
      </c>
      <c r="AG53" s="323">
        <v>12</v>
      </c>
      <c r="AH53" s="323">
        <v>0</v>
      </c>
      <c r="AI53" s="323">
        <v>0</v>
      </c>
      <c r="AJ53" s="323">
        <v>24</v>
      </c>
      <c r="AK53" s="328">
        <v>2</v>
      </c>
      <c r="AL53" s="4" t="s">
        <v>208</v>
      </c>
      <c r="AM53" s="327">
        <v>59</v>
      </c>
      <c r="AN53" s="328">
        <v>0</v>
      </c>
      <c r="AO53" s="2"/>
      <c r="AP53" s="323">
        <v>22</v>
      </c>
      <c r="AQ53" s="323">
        <v>2</v>
      </c>
      <c r="AR53" s="323">
        <v>0</v>
      </c>
      <c r="AS53" s="2"/>
      <c r="AT53" s="323">
        <v>7</v>
      </c>
      <c r="AU53" s="323">
        <v>6</v>
      </c>
      <c r="AV53" s="323">
        <v>4</v>
      </c>
      <c r="AW53" s="323">
        <v>5</v>
      </c>
      <c r="AX53" s="323">
        <v>2</v>
      </c>
      <c r="AY53" s="323">
        <v>0</v>
      </c>
      <c r="AZ53" s="323">
        <v>0</v>
      </c>
      <c r="BA53" s="323">
        <v>0</v>
      </c>
      <c r="BB53" s="323">
        <v>0</v>
      </c>
      <c r="BC53" s="323">
        <v>0</v>
      </c>
      <c r="BD53" s="323">
        <v>0</v>
      </c>
      <c r="BE53" s="323">
        <v>0</v>
      </c>
      <c r="BF53" s="2" t="s">
        <v>538</v>
      </c>
      <c r="BG53" s="327">
        <v>5</v>
      </c>
      <c r="BH53" s="323">
        <v>14</v>
      </c>
      <c r="BI53" s="323">
        <v>3</v>
      </c>
      <c r="BJ53" s="323">
        <v>0</v>
      </c>
      <c r="BK53" s="323">
        <v>1</v>
      </c>
      <c r="BL53" s="323">
        <v>0</v>
      </c>
      <c r="BM53" s="323">
        <v>0</v>
      </c>
      <c r="BN53" s="323">
        <v>0</v>
      </c>
      <c r="BO53" s="323">
        <v>0</v>
      </c>
      <c r="BP53" s="323">
        <v>0</v>
      </c>
      <c r="BQ53" s="323">
        <v>0</v>
      </c>
      <c r="BR53" s="328">
        <v>0</v>
      </c>
      <c r="BS53" s="323">
        <v>23</v>
      </c>
      <c r="BT53" s="329">
        <v>1.5208333333333335</v>
      </c>
      <c r="BU53" s="330">
        <v>1.3343644544431947</v>
      </c>
      <c r="BV53" s="330">
        <v>1.0598986505722257</v>
      </c>
      <c r="BW53" s="330">
        <v>1.0668615272195836</v>
      </c>
      <c r="BX53" s="330">
        <v>0.95499738356881203</v>
      </c>
      <c r="BY53" s="330">
        <v>0.92561284868977178</v>
      </c>
      <c r="BZ53" s="330">
        <v>0.93589743589743601</v>
      </c>
      <c r="CA53" s="330">
        <v>0.94376212023270856</v>
      </c>
      <c r="CB53" s="330">
        <v>0.94082840236686394</v>
      </c>
      <c r="CC53" s="330">
        <v>0.94812164579606439</v>
      </c>
      <c r="CD53" s="330">
        <v>0.95417348608837971</v>
      </c>
      <c r="CE53" s="331">
        <v>0.92307692307692313</v>
      </c>
      <c r="CF53" s="2"/>
      <c r="CG53" s="327">
        <v>21</v>
      </c>
      <c r="CH53" s="323">
        <v>23</v>
      </c>
      <c r="CI53" s="323">
        <v>24</v>
      </c>
      <c r="CJ53" s="323">
        <v>24</v>
      </c>
      <c r="CK53" s="323">
        <v>0</v>
      </c>
      <c r="CL53" s="323">
        <v>0</v>
      </c>
      <c r="CM53" s="323">
        <v>0</v>
      </c>
      <c r="CN53" s="323">
        <v>0</v>
      </c>
      <c r="CO53" s="323">
        <v>0</v>
      </c>
      <c r="CP53" s="323">
        <v>0</v>
      </c>
      <c r="CQ53" s="323">
        <v>0</v>
      </c>
      <c r="CR53" s="332">
        <v>0</v>
      </c>
      <c r="CS53" s="327">
        <v>0</v>
      </c>
      <c r="CT53" s="323">
        <v>0</v>
      </c>
      <c r="CU53" s="323">
        <v>0</v>
      </c>
      <c r="CV53" s="323">
        <v>0</v>
      </c>
      <c r="CW53" s="323">
        <v>0</v>
      </c>
      <c r="CX53" s="323">
        <v>0</v>
      </c>
      <c r="CY53" s="323">
        <v>0</v>
      </c>
      <c r="CZ53" s="323">
        <v>0</v>
      </c>
      <c r="DA53" s="323">
        <v>0</v>
      </c>
      <c r="DB53" s="323">
        <v>0</v>
      </c>
      <c r="DC53" s="323">
        <v>0</v>
      </c>
      <c r="DD53" s="328">
        <v>0</v>
      </c>
      <c r="DE53" s="4"/>
      <c r="DF53" s="416">
        <v>0</v>
      </c>
      <c r="DG53" s="417">
        <v>0</v>
      </c>
      <c r="DH53" s="417">
        <v>0</v>
      </c>
      <c r="DI53" s="417">
        <v>0</v>
      </c>
      <c r="DJ53" s="417">
        <v>0</v>
      </c>
      <c r="DK53" s="417">
        <v>0</v>
      </c>
      <c r="DL53" s="417">
        <v>0</v>
      </c>
      <c r="DM53" s="417">
        <v>0</v>
      </c>
      <c r="DN53" s="417">
        <v>0</v>
      </c>
      <c r="DO53" s="417">
        <v>0</v>
      </c>
      <c r="DP53" s="417">
        <v>0</v>
      </c>
      <c r="DQ53" s="417">
        <v>0</v>
      </c>
      <c r="DS53" s="327">
        <v>15</v>
      </c>
      <c r="DT53" s="323">
        <v>0</v>
      </c>
      <c r="DU53" s="323">
        <v>0</v>
      </c>
      <c r="DV53" s="323">
        <v>0</v>
      </c>
      <c r="DW53" s="323">
        <v>0</v>
      </c>
      <c r="DX53" s="323">
        <v>0</v>
      </c>
      <c r="DY53" s="323">
        <v>8</v>
      </c>
      <c r="DZ53" s="328">
        <v>23</v>
      </c>
      <c r="EA53" s="4"/>
      <c r="EB53" s="418" t="s">
        <v>208</v>
      </c>
      <c r="EC53" s="419" t="s">
        <v>392</v>
      </c>
      <c r="ED53" s="340">
        <v>0.97055108688426506</v>
      </c>
      <c r="EE53" s="340">
        <v>0.39087947882736157</v>
      </c>
      <c r="EF53" s="340">
        <v>3.2573289902280131E-2</v>
      </c>
      <c r="EG53" s="323">
        <v>24</v>
      </c>
      <c r="EH53" s="420"/>
      <c r="EI53" s="420">
        <v>59.591836734693871</v>
      </c>
      <c r="EJ53" s="421"/>
      <c r="EK53" s="323">
        <v>59</v>
      </c>
      <c r="EL53" s="323">
        <v>66</v>
      </c>
      <c r="EM53" s="323">
        <v>65</v>
      </c>
      <c r="EN53" s="323">
        <v>59</v>
      </c>
      <c r="EO53" s="323">
        <v>58</v>
      </c>
      <c r="EP53" s="323">
        <v>0</v>
      </c>
      <c r="EQ53" s="323">
        <v>0</v>
      </c>
      <c r="ER53" s="323">
        <v>0</v>
      </c>
      <c r="ES53" s="323">
        <v>0</v>
      </c>
      <c r="ET53" s="323">
        <v>0</v>
      </c>
      <c r="EU53" s="323">
        <v>0</v>
      </c>
      <c r="EV53" s="323">
        <v>0</v>
      </c>
      <c r="EW53" s="347">
        <v>61.4</v>
      </c>
      <c r="EX53" s="323">
        <v>58</v>
      </c>
      <c r="EY53" s="323">
        <v>0</v>
      </c>
      <c r="EZ53" s="323">
        <v>10</v>
      </c>
      <c r="FA53" s="323">
        <v>1</v>
      </c>
      <c r="FB53" s="323">
        <v>1</v>
      </c>
      <c r="FC53" s="323">
        <v>0</v>
      </c>
      <c r="FD53" s="323">
        <v>0</v>
      </c>
      <c r="FE53" s="323">
        <v>12</v>
      </c>
      <c r="FF53" s="323">
        <v>0</v>
      </c>
      <c r="FG53" s="323">
        <v>0</v>
      </c>
      <c r="FH53" s="323">
        <v>24</v>
      </c>
      <c r="FI53" s="323">
        <v>2</v>
      </c>
      <c r="FJ53" s="4"/>
      <c r="FK53" s="323">
        <v>58</v>
      </c>
      <c r="FL53" s="323">
        <v>0</v>
      </c>
      <c r="FM53" s="2"/>
      <c r="FN53" s="323">
        <v>22</v>
      </c>
      <c r="FO53" s="323">
        <v>2</v>
      </c>
      <c r="FP53" s="323">
        <v>0</v>
      </c>
      <c r="FR53" s="418" t="s">
        <v>208</v>
      </c>
      <c r="FS53" s="419" t="s">
        <v>392</v>
      </c>
      <c r="FT53" s="340">
        <v>0</v>
      </c>
      <c r="FU53" s="340">
        <v>0</v>
      </c>
      <c r="FV53" s="340">
        <v>0</v>
      </c>
      <c r="FW53" s="323">
        <v>0</v>
      </c>
      <c r="FX53" s="420"/>
      <c r="FY53" s="420">
        <v>0</v>
      </c>
      <c r="FZ53" s="421"/>
      <c r="GA53" s="323">
        <v>0</v>
      </c>
      <c r="GB53" s="323">
        <v>1</v>
      </c>
      <c r="GC53" s="323">
        <v>1</v>
      </c>
      <c r="GD53" s="323">
        <v>1</v>
      </c>
      <c r="GE53" s="323">
        <v>1</v>
      </c>
      <c r="GF53" s="323">
        <v>0</v>
      </c>
      <c r="GG53" s="323">
        <v>0</v>
      </c>
      <c r="GH53" s="323">
        <v>0</v>
      </c>
      <c r="GI53" s="323">
        <v>0</v>
      </c>
      <c r="GJ53" s="323">
        <v>0</v>
      </c>
      <c r="GK53" s="323">
        <v>0</v>
      </c>
      <c r="GL53" s="323">
        <v>0</v>
      </c>
      <c r="GM53" s="347">
        <v>1</v>
      </c>
      <c r="GN53" s="341">
        <v>1</v>
      </c>
      <c r="GO53" s="323">
        <v>0</v>
      </c>
      <c r="GP53" s="323">
        <v>0</v>
      </c>
      <c r="GQ53" s="323">
        <v>0</v>
      </c>
      <c r="GR53" s="323">
        <v>0</v>
      </c>
      <c r="GS53" s="323">
        <v>0</v>
      </c>
      <c r="GT53" s="323">
        <v>0</v>
      </c>
      <c r="GU53" s="323">
        <v>0</v>
      </c>
      <c r="GV53" s="323">
        <v>0</v>
      </c>
      <c r="GW53" s="323">
        <v>0</v>
      </c>
      <c r="GX53" s="323">
        <v>0</v>
      </c>
      <c r="GY53" s="323">
        <v>0</v>
      </c>
      <c r="GZ53" s="4"/>
      <c r="HA53" s="323">
        <v>1</v>
      </c>
      <c r="HB53" s="323">
        <v>0</v>
      </c>
      <c r="HC53" s="2"/>
      <c r="HD53" s="323">
        <v>0</v>
      </c>
      <c r="HE53" s="323">
        <v>0</v>
      </c>
      <c r="HF53" s="323">
        <v>0</v>
      </c>
      <c r="HH53">
        <v>1</v>
      </c>
      <c r="HI53">
        <v>1.0101010101010102E-2</v>
      </c>
      <c r="HJ53">
        <v>7</v>
      </c>
      <c r="HK53">
        <v>7.0707070707070704E-2</v>
      </c>
      <c r="HL53">
        <v>9</v>
      </c>
      <c r="HM53">
        <v>9.0909090909090912E-2</v>
      </c>
      <c r="HN53">
        <v>11</v>
      </c>
      <c r="HO53">
        <v>0.1111111111111111</v>
      </c>
      <c r="HP53">
        <v>13</v>
      </c>
      <c r="HQ53">
        <v>0.13131313131313133</v>
      </c>
      <c r="HR53">
        <v>21</v>
      </c>
      <c r="HS53">
        <v>0.21212121212121213</v>
      </c>
      <c r="HT53">
        <v>78</v>
      </c>
      <c r="HU53">
        <v>0.78787878787878785</v>
      </c>
      <c r="HV53">
        <v>99</v>
      </c>
    </row>
    <row r="54" spans="1:230" x14ac:dyDescent="0.25">
      <c r="A54" t="s">
        <v>539</v>
      </c>
      <c r="B54" s="4">
        <v>6877</v>
      </c>
      <c r="C54" s="444" t="s">
        <v>222</v>
      </c>
      <c r="D54" s="418" t="s">
        <v>208</v>
      </c>
      <c r="E54" s="419" t="s">
        <v>539</v>
      </c>
      <c r="F54" s="340">
        <v>0.84931356848574424</v>
      </c>
      <c r="G54" s="340">
        <v>0.34205231388329976</v>
      </c>
      <c r="H54" s="340">
        <v>2.0120724346076459E-2</v>
      </c>
      <c r="I54" s="323">
        <v>34</v>
      </c>
      <c r="J54" s="420"/>
      <c r="K54" s="478">
        <v>84.421768707482983</v>
      </c>
      <c r="L54" s="421"/>
      <c r="M54" s="323">
        <v>96</v>
      </c>
      <c r="N54" s="323">
        <v>102</v>
      </c>
      <c r="O54" s="323">
        <v>98</v>
      </c>
      <c r="P54" s="323">
        <v>100</v>
      </c>
      <c r="Q54" s="323">
        <v>101</v>
      </c>
      <c r="R54" s="323">
        <v>0</v>
      </c>
      <c r="S54" s="323">
        <v>0</v>
      </c>
      <c r="T54" s="323">
        <v>0</v>
      </c>
      <c r="U54" s="323">
        <v>0</v>
      </c>
      <c r="V54" s="323">
        <v>0</v>
      </c>
      <c r="W54" s="323">
        <v>0</v>
      </c>
      <c r="X54" s="323">
        <v>0</v>
      </c>
      <c r="Y54" s="347">
        <v>99.4</v>
      </c>
      <c r="Z54" s="323">
        <v>101</v>
      </c>
      <c r="AA54" s="323">
        <v>0</v>
      </c>
      <c r="AB54" s="323">
        <v>2</v>
      </c>
      <c r="AC54" s="323">
        <v>3</v>
      </c>
      <c r="AD54" s="323">
        <v>0</v>
      </c>
      <c r="AE54" s="323">
        <v>0</v>
      </c>
      <c r="AF54" s="323">
        <v>0</v>
      </c>
      <c r="AG54" s="323">
        <v>29</v>
      </c>
      <c r="AH54" s="323">
        <v>0</v>
      </c>
      <c r="AI54" s="323">
        <v>0</v>
      </c>
      <c r="AJ54" s="323">
        <v>34</v>
      </c>
      <c r="AK54" s="328">
        <v>2</v>
      </c>
      <c r="AL54" s="4" t="s">
        <v>208</v>
      </c>
      <c r="AM54" s="327">
        <v>83</v>
      </c>
      <c r="AN54" s="328">
        <v>18</v>
      </c>
      <c r="AO54" s="2"/>
      <c r="AP54" s="323">
        <v>31</v>
      </c>
      <c r="AQ54" s="323">
        <v>3</v>
      </c>
      <c r="AR54" s="323">
        <v>0</v>
      </c>
      <c r="AS54" s="2"/>
      <c r="AT54" s="323">
        <v>9</v>
      </c>
      <c r="AU54" s="323">
        <v>6</v>
      </c>
      <c r="AV54" s="323">
        <v>12</v>
      </c>
      <c r="AW54" s="323">
        <v>5</v>
      </c>
      <c r="AX54" s="323">
        <v>2</v>
      </c>
      <c r="AY54" s="323">
        <v>0</v>
      </c>
      <c r="AZ54" s="323">
        <v>0</v>
      </c>
      <c r="BA54" s="323">
        <v>0</v>
      </c>
      <c r="BB54" s="323">
        <v>0</v>
      </c>
      <c r="BC54" s="323">
        <v>0</v>
      </c>
      <c r="BD54" s="323">
        <v>0</v>
      </c>
      <c r="BE54" s="323">
        <v>0</v>
      </c>
      <c r="BF54" s="2" t="s">
        <v>539</v>
      </c>
      <c r="BG54" s="327">
        <v>5</v>
      </c>
      <c r="BH54" s="323">
        <v>12</v>
      </c>
      <c r="BI54" s="323">
        <v>9</v>
      </c>
      <c r="BJ54" s="323">
        <v>9</v>
      </c>
      <c r="BK54" s="323">
        <v>3</v>
      </c>
      <c r="BL54" s="323">
        <v>0</v>
      </c>
      <c r="BM54" s="323">
        <v>0</v>
      </c>
      <c r="BN54" s="323">
        <v>0</v>
      </c>
      <c r="BO54" s="323">
        <v>0</v>
      </c>
      <c r="BP54" s="323">
        <v>0</v>
      </c>
      <c r="BQ54" s="323">
        <v>0</v>
      </c>
      <c r="BR54" s="328">
        <v>0</v>
      </c>
      <c r="BS54" s="323">
        <v>38</v>
      </c>
      <c r="BT54" s="329">
        <v>1.2220982142857144</v>
      </c>
      <c r="BU54" s="330">
        <v>0.98755411255411263</v>
      </c>
      <c r="BV54" s="330">
        <v>1.0976017226017225</v>
      </c>
      <c r="BW54" s="330">
        <v>0.99142687377981498</v>
      </c>
      <c r="BX54" s="330">
        <v>0.84931356848574424</v>
      </c>
      <c r="BY54" s="330">
        <v>0.8231808433015676</v>
      </c>
      <c r="BZ54" s="330">
        <v>0.83232729711602949</v>
      </c>
      <c r="CA54" s="330">
        <v>0.83932164415061805</v>
      </c>
      <c r="CB54" s="330">
        <v>0.83671258319145647</v>
      </c>
      <c r="CC54" s="330">
        <v>0.84319872724720413</v>
      </c>
      <c r="CD54" s="330">
        <v>0.84858084678282453</v>
      </c>
      <c r="CE54" s="331">
        <v>0.82092555331991957</v>
      </c>
      <c r="CF54" s="2"/>
      <c r="CG54" s="327">
        <v>66</v>
      </c>
      <c r="CH54" s="323">
        <v>57</v>
      </c>
      <c r="CI54" s="323">
        <v>49</v>
      </c>
      <c r="CJ54" s="323">
        <v>46</v>
      </c>
      <c r="CK54" s="323">
        <v>0</v>
      </c>
      <c r="CL54" s="323">
        <v>0</v>
      </c>
      <c r="CM54" s="323">
        <v>0</v>
      </c>
      <c r="CN54" s="323">
        <v>0</v>
      </c>
      <c r="CO54" s="323">
        <v>0</v>
      </c>
      <c r="CP54" s="323">
        <v>0</v>
      </c>
      <c r="CQ54" s="323">
        <v>0</v>
      </c>
      <c r="CR54" s="332">
        <v>0</v>
      </c>
      <c r="CS54" s="327">
        <v>0</v>
      </c>
      <c r="CT54" s="323">
        <v>0</v>
      </c>
      <c r="CU54" s="323">
        <v>0</v>
      </c>
      <c r="CV54" s="323">
        <v>0</v>
      </c>
      <c r="CW54" s="323">
        <v>0</v>
      </c>
      <c r="CX54" s="323">
        <v>0</v>
      </c>
      <c r="CY54" s="323">
        <v>0</v>
      </c>
      <c r="CZ54" s="323">
        <v>0</v>
      </c>
      <c r="DA54" s="323">
        <v>0</v>
      </c>
      <c r="DB54" s="323">
        <v>0</v>
      </c>
      <c r="DC54" s="323">
        <v>0</v>
      </c>
      <c r="DD54" s="328">
        <v>0</v>
      </c>
      <c r="DE54" s="4"/>
      <c r="DF54" s="416">
        <v>0</v>
      </c>
      <c r="DG54" s="417">
        <v>0</v>
      </c>
      <c r="DH54" s="417">
        <v>0</v>
      </c>
      <c r="DI54" s="417">
        <v>0</v>
      </c>
      <c r="DJ54" s="417">
        <v>0</v>
      </c>
      <c r="DK54" s="417">
        <v>0</v>
      </c>
      <c r="DL54" s="417">
        <v>0</v>
      </c>
      <c r="DM54" s="417">
        <v>0</v>
      </c>
      <c r="DN54" s="417">
        <v>0</v>
      </c>
      <c r="DO54" s="417">
        <v>0</v>
      </c>
      <c r="DP54" s="417">
        <v>0</v>
      </c>
      <c r="DQ54" s="417">
        <v>0</v>
      </c>
      <c r="DS54" s="327">
        <v>15</v>
      </c>
      <c r="DT54" s="323">
        <v>0</v>
      </c>
      <c r="DU54" s="323">
        <v>0</v>
      </c>
      <c r="DV54" s="323">
        <v>0</v>
      </c>
      <c r="DW54" s="323">
        <v>0</v>
      </c>
      <c r="DX54" s="323">
        <v>0</v>
      </c>
      <c r="DY54" s="323">
        <v>23</v>
      </c>
      <c r="DZ54" s="328">
        <v>38</v>
      </c>
      <c r="EA54" s="4"/>
      <c r="EB54" s="418" t="s">
        <v>208</v>
      </c>
      <c r="EC54" s="419" t="s">
        <v>394</v>
      </c>
      <c r="ED54" s="340">
        <v>0.96943059339604842</v>
      </c>
      <c r="EE54" s="340">
        <v>0.39042821158690172</v>
      </c>
      <c r="EF54" s="340">
        <v>1.2594458438287152E-2</v>
      </c>
      <c r="EG54" s="323">
        <v>31</v>
      </c>
      <c r="EH54" s="420"/>
      <c r="EI54" s="420">
        <v>76.97278911564625</v>
      </c>
      <c r="EJ54" s="421"/>
      <c r="EK54" s="323">
        <v>77</v>
      </c>
      <c r="EL54" s="323">
        <v>82</v>
      </c>
      <c r="EM54" s="323">
        <v>77</v>
      </c>
      <c r="EN54" s="323">
        <v>79</v>
      </c>
      <c r="EO54" s="323">
        <v>82</v>
      </c>
      <c r="EP54" s="323">
        <v>0</v>
      </c>
      <c r="EQ54" s="323">
        <v>0</v>
      </c>
      <c r="ER54" s="323">
        <v>0</v>
      </c>
      <c r="ES54" s="323">
        <v>0</v>
      </c>
      <c r="ET54" s="323">
        <v>0</v>
      </c>
      <c r="EU54" s="323">
        <v>0</v>
      </c>
      <c r="EV54" s="323">
        <v>0</v>
      </c>
      <c r="EW54" s="347">
        <v>79.400000000000006</v>
      </c>
      <c r="EX54" s="323">
        <v>82</v>
      </c>
      <c r="EY54" s="323">
        <v>0</v>
      </c>
      <c r="EZ54" s="323">
        <v>2</v>
      </c>
      <c r="FA54" s="323">
        <v>3</v>
      </c>
      <c r="FB54" s="323">
        <v>0</v>
      </c>
      <c r="FC54" s="323">
        <v>0</v>
      </c>
      <c r="FD54" s="323">
        <v>0</v>
      </c>
      <c r="FE54" s="323">
        <v>26</v>
      </c>
      <c r="FF54" s="323">
        <v>0</v>
      </c>
      <c r="FG54" s="323">
        <v>0</v>
      </c>
      <c r="FH54" s="323">
        <v>31</v>
      </c>
      <c r="FI54" s="323">
        <v>1</v>
      </c>
      <c r="FJ54" s="4"/>
      <c r="FK54" s="323">
        <v>64</v>
      </c>
      <c r="FL54" s="323">
        <v>18</v>
      </c>
      <c r="FM54" s="2"/>
      <c r="FN54" s="323">
        <v>28</v>
      </c>
      <c r="FO54" s="323">
        <v>3</v>
      </c>
      <c r="FP54" s="323">
        <v>0</v>
      </c>
      <c r="FR54" s="418" t="s">
        <v>208</v>
      </c>
      <c r="FS54" s="419" t="s">
        <v>394</v>
      </c>
      <c r="FT54" s="340">
        <v>0.3724489795918367</v>
      </c>
      <c r="FU54" s="340">
        <v>0.15</v>
      </c>
      <c r="FV54" s="340">
        <v>0.05</v>
      </c>
      <c r="FW54" s="323">
        <v>3</v>
      </c>
      <c r="FX54" s="420"/>
      <c r="FY54" s="420">
        <v>7.4489795918367339</v>
      </c>
      <c r="FZ54" s="421"/>
      <c r="GA54" s="323">
        <v>19</v>
      </c>
      <c r="GB54" s="323">
        <v>20</v>
      </c>
      <c r="GC54" s="323">
        <v>21</v>
      </c>
      <c r="GD54" s="323">
        <v>21</v>
      </c>
      <c r="GE54" s="323">
        <v>19</v>
      </c>
      <c r="GF54" s="323">
        <v>0</v>
      </c>
      <c r="GG54" s="323">
        <v>0</v>
      </c>
      <c r="GH54" s="323">
        <v>0</v>
      </c>
      <c r="GI54" s="323">
        <v>0</v>
      </c>
      <c r="GJ54" s="323">
        <v>0</v>
      </c>
      <c r="GK54" s="323">
        <v>0</v>
      </c>
      <c r="GL54" s="323">
        <v>0</v>
      </c>
      <c r="GM54" s="347">
        <v>20</v>
      </c>
      <c r="GN54" s="341">
        <v>19</v>
      </c>
      <c r="GO54" s="323">
        <v>0</v>
      </c>
      <c r="GP54" s="323">
        <v>0</v>
      </c>
      <c r="GQ54" s="323">
        <v>0</v>
      </c>
      <c r="GR54" s="323">
        <v>0</v>
      </c>
      <c r="GS54" s="323">
        <v>0</v>
      </c>
      <c r="GT54" s="323">
        <v>0</v>
      </c>
      <c r="GU54" s="323">
        <v>3</v>
      </c>
      <c r="GV54" s="323">
        <v>0</v>
      </c>
      <c r="GW54" s="323">
        <v>0</v>
      </c>
      <c r="GX54" s="323">
        <v>3</v>
      </c>
      <c r="GY54" s="323">
        <v>1</v>
      </c>
      <c r="GZ54" s="4"/>
      <c r="HA54" s="323">
        <v>19</v>
      </c>
      <c r="HB54" s="323">
        <v>0</v>
      </c>
      <c r="HC54" s="2"/>
      <c r="HD54" s="323">
        <v>3</v>
      </c>
      <c r="HE54" s="323">
        <v>0</v>
      </c>
      <c r="HF54" s="323">
        <v>0</v>
      </c>
      <c r="HH54">
        <v>9</v>
      </c>
      <c r="HI54">
        <v>5.5214723926380369E-2</v>
      </c>
      <c r="HJ54">
        <v>10</v>
      </c>
      <c r="HK54">
        <v>6.1349693251533742E-2</v>
      </c>
      <c r="HL54">
        <v>19</v>
      </c>
      <c r="HM54">
        <v>0.1165644171779141</v>
      </c>
      <c r="HN54">
        <v>24</v>
      </c>
      <c r="HO54">
        <v>0.14723926380368099</v>
      </c>
      <c r="HP54">
        <v>41</v>
      </c>
      <c r="HQ54">
        <v>0.25153374233128833</v>
      </c>
      <c r="HR54">
        <v>66</v>
      </c>
      <c r="HS54">
        <v>0.40490797546012269</v>
      </c>
      <c r="HT54">
        <v>97</v>
      </c>
      <c r="HU54">
        <v>0.59509202453987731</v>
      </c>
      <c r="HV54">
        <v>163</v>
      </c>
    </row>
    <row r="55" spans="1:230" x14ac:dyDescent="0.25">
      <c r="A55" t="s">
        <v>540</v>
      </c>
      <c r="B55" s="4">
        <v>6883</v>
      </c>
      <c r="C55" s="444" t="s">
        <v>250</v>
      </c>
      <c r="D55" s="418" t="s">
        <v>205</v>
      </c>
      <c r="E55" s="419" t="s">
        <v>540</v>
      </c>
      <c r="F55" s="340">
        <v>6.5687650721664326E-2</v>
      </c>
      <c r="G55" s="340">
        <v>2.6455026455026457E-2</v>
      </c>
      <c r="H55" s="340">
        <v>0</v>
      </c>
      <c r="I55" s="323">
        <v>1</v>
      </c>
      <c r="J55" s="420"/>
      <c r="K55" s="478">
        <v>2.4829931972789114</v>
      </c>
      <c r="L55" s="421"/>
      <c r="M55" s="323">
        <v>38</v>
      </c>
      <c r="N55" s="323">
        <v>38</v>
      </c>
      <c r="O55" s="323">
        <v>37</v>
      </c>
      <c r="P55" s="323">
        <v>38</v>
      </c>
      <c r="Q55" s="323">
        <v>38</v>
      </c>
      <c r="R55" s="323">
        <v>0</v>
      </c>
      <c r="S55" s="323">
        <v>0</v>
      </c>
      <c r="T55" s="323">
        <v>0</v>
      </c>
      <c r="U55" s="323">
        <v>0</v>
      </c>
      <c r="V55" s="323">
        <v>0</v>
      </c>
      <c r="W55" s="323">
        <v>0</v>
      </c>
      <c r="X55" s="323">
        <v>0</v>
      </c>
      <c r="Y55" s="347">
        <v>37.799999999999997</v>
      </c>
      <c r="Z55" s="323">
        <v>38</v>
      </c>
      <c r="AA55" s="323">
        <v>0</v>
      </c>
      <c r="AB55" s="323">
        <v>0</v>
      </c>
      <c r="AC55" s="323">
        <v>0</v>
      </c>
      <c r="AD55" s="323">
        <v>0</v>
      </c>
      <c r="AE55" s="323">
        <v>0</v>
      </c>
      <c r="AF55" s="323">
        <v>0</v>
      </c>
      <c r="AG55" s="323">
        <v>1</v>
      </c>
      <c r="AH55" s="323">
        <v>0</v>
      </c>
      <c r="AI55" s="323">
        <v>0</v>
      </c>
      <c r="AJ55" s="323">
        <v>1</v>
      </c>
      <c r="AK55" s="328">
        <v>0</v>
      </c>
      <c r="AL55" s="4" t="s">
        <v>205</v>
      </c>
      <c r="AM55" s="327">
        <v>37</v>
      </c>
      <c r="AN55" s="328">
        <v>1</v>
      </c>
      <c r="AO55" s="2"/>
      <c r="AP55" s="323">
        <v>1</v>
      </c>
      <c r="AQ55" s="323">
        <v>0</v>
      </c>
      <c r="AR55" s="323">
        <v>0</v>
      </c>
      <c r="AS55" s="2"/>
      <c r="AT55" s="323">
        <v>0</v>
      </c>
      <c r="AU55" s="323">
        <v>0</v>
      </c>
      <c r="AV55" s="323">
        <v>1</v>
      </c>
      <c r="AW55" s="323">
        <v>0</v>
      </c>
      <c r="AX55" s="323">
        <v>0</v>
      </c>
      <c r="AY55" s="323">
        <v>0</v>
      </c>
      <c r="AZ55" s="323">
        <v>0</v>
      </c>
      <c r="BA55" s="323">
        <v>0</v>
      </c>
      <c r="BB55" s="323">
        <v>0</v>
      </c>
      <c r="BC55" s="323">
        <v>0</v>
      </c>
      <c r="BD55" s="323">
        <v>0</v>
      </c>
      <c r="BE55" s="323">
        <v>0</v>
      </c>
      <c r="BF55" s="2" t="s">
        <v>540</v>
      </c>
      <c r="BG55" s="327">
        <v>0</v>
      </c>
      <c r="BH55" s="323">
        <v>0</v>
      </c>
      <c r="BI55" s="323">
        <v>0</v>
      </c>
      <c r="BJ55" s="323">
        <v>1</v>
      </c>
      <c r="BK55" s="323">
        <v>0</v>
      </c>
      <c r="BL55" s="323">
        <v>0</v>
      </c>
      <c r="BM55" s="323">
        <v>0</v>
      </c>
      <c r="BN55" s="323">
        <v>0</v>
      </c>
      <c r="BO55" s="323">
        <v>0</v>
      </c>
      <c r="BP55" s="323">
        <v>0</v>
      </c>
      <c r="BQ55" s="323">
        <v>0</v>
      </c>
      <c r="BR55" s="328">
        <v>0</v>
      </c>
      <c r="BS55" s="323">
        <v>1</v>
      </c>
      <c r="BT55" s="329">
        <v>0</v>
      </c>
      <c r="BU55" s="330">
        <v>0</v>
      </c>
      <c r="BV55" s="330">
        <v>0.10648643392006224</v>
      </c>
      <c r="BW55" s="330">
        <v>8.1251043463743122E-2</v>
      </c>
      <c r="BX55" s="330">
        <v>6.5687650721664326E-2</v>
      </c>
      <c r="BY55" s="330">
        <v>6.3666492237920813E-2</v>
      </c>
      <c r="BZ55" s="330">
        <v>6.4373897707231037E-2</v>
      </c>
      <c r="CA55" s="330">
        <v>6.4914854830821225E-2</v>
      </c>
      <c r="CB55" s="330">
        <v>6.4713064713064719E-2</v>
      </c>
      <c r="CC55" s="330">
        <v>6.5214716377507073E-2</v>
      </c>
      <c r="CD55" s="330">
        <v>6.5630980524597538E-2</v>
      </c>
      <c r="CE55" s="331">
        <v>6.3492063492063489E-2</v>
      </c>
      <c r="CF55" s="2"/>
      <c r="CG55" s="327">
        <v>4</v>
      </c>
      <c r="CH55" s="323">
        <v>5</v>
      </c>
      <c r="CI55" s="323">
        <v>6</v>
      </c>
      <c r="CJ55" s="323">
        <v>6</v>
      </c>
      <c r="CK55" s="323">
        <v>0</v>
      </c>
      <c r="CL55" s="323">
        <v>0</v>
      </c>
      <c r="CM55" s="323">
        <v>0</v>
      </c>
      <c r="CN55" s="323">
        <v>0</v>
      </c>
      <c r="CO55" s="323">
        <v>0</v>
      </c>
      <c r="CP55" s="323">
        <v>0</v>
      </c>
      <c r="CQ55" s="323">
        <v>0</v>
      </c>
      <c r="CR55" s="332">
        <v>0</v>
      </c>
      <c r="CS55" s="327">
        <v>0</v>
      </c>
      <c r="CT55" s="323">
        <v>0</v>
      </c>
      <c r="CU55" s="323">
        <v>0</v>
      </c>
      <c r="CV55" s="323">
        <v>0</v>
      </c>
      <c r="CW55" s="323">
        <v>0</v>
      </c>
      <c r="CX55" s="323">
        <v>0</v>
      </c>
      <c r="CY55" s="323">
        <v>0</v>
      </c>
      <c r="CZ55" s="323">
        <v>0</v>
      </c>
      <c r="DA55" s="323">
        <v>0</v>
      </c>
      <c r="DB55" s="323">
        <v>0</v>
      </c>
      <c r="DC55" s="323">
        <v>0</v>
      </c>
      <c r="DD55" s="328">
        <v>0</v>
      </c>
      <c r="DE55" s="4"/>
      <c r="DF55" s="416">
        <v>0</v>
      </c>
      <c r="DG55" s="417">
        <v>0</v>
      </c>
      <c r="DH55" s="417">
        <v>0</v>
      </c>
      <c r="DI55" s="417">
        <v>0</v>
      </c>
      <c r="DJ55" s="417">
        <v>0</v>
      </c>
      <c r="DK55" s="417">
        <v>0</v>
      </c>
      <c r="DL55" s="417">
        <v>0</v>
      </c>
      <c r="DM55" s="417">
        <v>0</v>
      </c>
      <c r="DN55" s="417">
        <v>0</v>
      </c>
      <c r="DO55" s="417">
        <v>0</v>
      </c>
      <c r="DP55" s="417">
        <v>0</v>
      </c>
      <c r="DQ55" s="417">
        <v>0</v>
      </c>
      <c r="DS55" s="327">
        <v>0</v>
      </c>
      <c r="DT55" s="323">
        <v>0</v>
      </c>
      <c r="DU55" s="323">
        <v>0</v>
      </c>
      <c r="DV55" s="323">
        <v>0</v>
      </c>
      <c r="DW55" s="323">
        <v>0</v>
      </c>
      <c r="DX55" s="323">
        <v>0</v>
      </c>
      <c r="DY55" s="323">
        <v>1</v>
      </c>
      <c r="DZ55" s="328">
        <v>1</v>
      </c>
      <c r="EA55" s="4"/>
      <c r="EB55" s="418" t="s">
        <v>205</v>
      </c>
      <c r="EC55" s="419" t="s">
        <v>396</v>
      </c>
      <c r="ED55" s="340">
        <v>0</v>
      </c>
      <c r="EE55" s="340">
        <v>0</v>
      </c>
      <c r="EF55" s="340">
        <v>0</v>
      </c>
      <c r="EG55" s="323">
        <v>0</v>
      </c>
      <c r="EH55" s="420"/>
      <c r="EI55" s="420">
        <v>0</v>
      </c>
      <c r="EJ55" s="421"/>
      <c r="EK55" s="323">
        <v>19</v>
      </c>
      <c r="EL55" s="323">
        <v>19</v>
      </c>
      <c r="EM55" s="323">
        <v>19</v>
      </c>
      <c r="EN55" s="323">
        <v>19</v>
      </c>
      <c r="EO55" s="323">
        <v>19</v>
      </c>
      <c r="EP55" s="323">
        <v>0</v>
      </c>
      <c r="EQ55" s="323">
        <v>0</v>
      </c>
      <c r="ER55" s="323">
        <v>0</v>
      </c>
      <c r="ES55" s="323">
        <v>0</v>
      </c>
      <c r="ET55" s="323">
        <v>0</v>
      </c>
      <c r="EU55" s="323">
        <v>0</v>
      </c>
      <c r="EV55" s="323">
        <v>0</v>
      </c>
      <c r="EW55" s="347">
        <v>19</v>
      </c>
      <c r="EX55" s="323">
        <v>19</v>
      </c>
      <c r="EY55" s="323">
        <v>0</v>
      </c>
      <c r="EZ55" s="323">
        <v>0</v>
      </c>
      <c r="FA55" s="323">
        <v>0</v>
      </c>
      <c r="FB55" s="323">
        <v>0</v>
      </c>
      <c r="FC55" s="323">
        <v>0</v>
      </c>
      <c r="FD55" s="323">
        <v>0</v>
      </c>
      <c r="FE55" s="323">
        <v>0</v>
      </c>
      <c r="FF55" s="323">
        <v>0</v>
      </c>
      <c r="FG55" s="323">
        <v>0</v>
      </c>
      <c r="FH55" s="323">
        <v>0</v>
      </c>
      <c r="FI55" s="323">
        <v>0</v>
      </c>
      <c r="FJ55" s="4"/>
      <c r="FK55" s="323">
        <v>18</v>
      </c>
      <c r="FL55" s="323">
        <v>1</v>
      </c>
      <c r="FM55" s="2"/>
      <c r="FN55" s="323">
        <v>0</v>
      </c>
      <c r="FO55" s="323">
        <v>0</v>
      </c>
      <c r="FP55" s="323">
        <v>0</v>
      </c>
      <c r="FR55" s="418" t="s">
        <v>205</v>
      </c>
      <c r="FS55" s="419" t="s">
        <v>396</v>
      </c>
      <c r="FT55" s="340">
        <v>0.13207410623823998</v>
      </c>
      <c r="FU55" s="340">
        <v>5.3191489361702128E-2</v>
      </c>
      <c r="FV55" s="340">
        <v>0</v>
      </c>
      <c r="FW55" s="323">
        <v>1</v>
      </c>
      <c r="FX55" s="420"/>
      <c r="FY55" s="420">
        <v>2.4829931972789114</v>
      </c>
      <c r="FZ55" s="421"/>
      <c r="GA55" s="323">
        <v>19</v>
      </c>
      <c r="GB55" s="323">
        <v>19</v>
      </c>
      <c r="GC55" s="323">
        <v>18</v>
      </c>
      <c r="GD55" s="323">
        <v>19</v>
      </c>
      <c r="GE55" s="323">
        <v>19</v>
      </c>
      <c r="GF55" s="323">
        <v>0</v>
      </c>
      <c r="GG55" s="323">
        <v>0</v>
      </c>
      <c r="GH55" s="323">
        <v>0</v>
      </c>
      <c r="GI55" s="323">
        <v>0</v>
      </c>
      <c r="GJ55" s="323">
        <v>0</v>
      </c>
      <c r="GK55" s="323">
        <v>0</v>
      </c>
      <c r="GL55" s="323">
        <v>0</v>
      </c>
      <c r="GM55" s="347">
        <v>18.8</v>
      </c>
      <c r="GN55" s="341">
        <v>19</v>
      </c>
      <c r="GO55" s="323">
        <v>0</v>
      </c>
      <c r="GP55" s="323">
        <v>0</v>
      </c>
      <c r="GQ55" s="323">
        <v>0</v>
      </c>
      <c r="GR55" s="323">
        <v>0</v>
      </c>
      <c r="GS55" s="323">
        <v>0</v>
      </c>
      <c r="GT55" s="323">
        <v>0</v>
      </c>
      <c r="GU55" s="323">
        <v>1</v>
      </c>
      <c r="GV55" s="323">
        <v>0</v>
      </c>
      <c r="GW55" s="323">
        <v>0</v>
      </c>
      <c r="GX55" s="323">
        <v>1</v>
      </c>
      <c r="GY55" s="323">
        <v>0</v>
      </c>
      <c r="GZ55" s="4"/>
      <c r="HA55" s="323">
        <v>19</v>
      </c>
      <c r="HB55" s="323">
        <v>0</v>
      </c>
      <c r="HC55" s="2"/>
      <c r="HD55" s="323">
        <v>1</v>
      </c>
      <c r="HE55" s="323">
        <v>0</v>
      </c>
      <c r="HF55" s="323">
        <v>0</v>
      </c>
      <c r="HH55">
        <v>0</v>
      </c>
      <c r="HI55">
        <v>0</v>
      </c>
      <c r="HJ55">
        <v>0</v>
      </c>
      <c r="HK55">
        <v>0</v>
      </c>
      <c r="HL55">
        <v>1</v>
      </c>
      <c r="HM55">
        <v>2.8571428571428571E-2</v>
      </c>
      <c r="HN55">
        <v>1</v>
      </c>
      <c r="HO55">
        <v>2.8571428571428571E-2</v>
      </c>
      <c r="HP55">
        <v>4</v>
      </c>
      <c r="HQ55">
        <v>0.11428571428571428</v>
      </c>
      <c r="HR55">
        <v>4</v>
      </c>
      <c r="HS55">
        <v>0.11428571428571428</v>
      </c>
      <c r="HT55">
        <v>31</v>
      </c>
      <c r="HU55">
        <v>0.88571428571428568</v>
      </c>
      <c r="HV55">
        <v>35</v>
      </c>
    </row>
    <row r="56" spans="1:230" x14ac:dyDescent="0.25">
      <c r="A56" t="s">
        <v>541</v>
      </c>
      <c r="B56" s="4">
        <v>6888</v>
      </c>
      <c r="C56" s="444" t="s">
        <v>274</v>
      </c>
      <c r="D56" s="418" t="s">
        <v>205</v>
      </c>
      <c r="E56" s="419" t="s">
        <v>541</v>
      </c>
      <c r="F56" s="340">
        <v>0</v>
      </c>
      <c r="G56" s="340">
        <v>0</v>
      </c>
      <c r="H56" s="340">
        <v>0</v>
      </c>
      <c r="I56" s="323">
        <v>0</v>
      </c>
      <c r="J56" s="420"/>
      <c r="K56" s="478">
        <v>0</v>
      </c>
      <c r="L56" s="421"/>
      <c r="M56" s="323">
        <v>11</v>
      </c>
      <c r="N56" s="323">
        <v>11</v>
      </c>
      <c r="O56" s="323">
        <v>11</v>
      </c>
      <c r="P56" s="323">
        <v>11</v>
      </c>
      <c r="Q56" s="323">
        <v>11</v>
      </c>
      <c r="R56" s="323">
        <v>0</v>
      </c>
      <c r="S56" s="323">
        <v>0</v>
      </c>
      <c r="T56" s="323">
        <v>0</v>
      </c>
      <c r="U56" s="323">
        <v>0</v>
      </c>
      <c r="V56" s="323">
        <v>0</v>
      </c>
      <c r="W56" s="323">
        <v>0</v>
      </c>
      <c r="X56" s="323">
        <v>0</v>
      </c>
      <c r="Y56" s="347">
        <v>11</v>
      </c>
      <c r="Z56" s="323">
        <v>11</v>
      </c>
      <c r="AA56" s="323">
        <v>0</v>
      </c>
      <c r="AB56" s="323">
        <v>0</v>
      </c>
      <c r="AC56" s="323">
        <v>0</v>
      </c>
      <c r="AD56" s="323">
        <v>0</v>
      </c>
      <c r="AE56" s="323">
        <v>0</v>
      </c>
      <c r="AF56" s="323">
        <v>0</v>
      </c>
      <c r="AG56" s="323">
        <v>0</v>
      </c>
      <c r="AH56" s="323">
        <v>0</v>
      </c>
      <c r="AI56" s="323">
        <v>0</v>
      </c>
      <c r="AJ56" s="323">
        <v>0</v>
      </c>
      <c r="AK56" s="328">
        <v>0</v>
      </c>
      <c r="AL56" s="4" t="s">
        <v>205</v>
      </c>
      <c r="AM56" s="327">
        <v>11</v>
      </c>
      <c r="AN56" s="328">
        <v>0</v>
      </c>
      <c r="AO56" s="2"/>
      <c r="AP56" s="323">
        <v>0</v>
      </c>
      <c r="AQ56" s="323">
        <v>0</v>
      </c>
      <c r="AR56" s="323">
        <v>0</v>
      </c>
      <c r="AS56" s="2"/>
      <c r="AT56" s="323">
        <v>0</v>
      </c>
      <c r="AU56" s="323">
        <v>0</v>
      </c>
      <c r="AV56" s="323">
        <v>0</v>
      </c>
      <c r="AW56" s="323">
        <v>0</v>
      </c>
      <c r="AX56" s="323">
        <v>0</v>
      </c>
      <c r="AY56" s="323">
        <v>0</v>
      </c>
      <c r="AZ56" s="323">
        <v>0</v>
      </c>
      <c r="BA56" s="323">
        <v>0</v>
      </c>
      <c r="BB56" s="323">
        <v>0</v>
      </c>
      <c r="BC56" s="323">
        <v>0</v>
      </c>
      <c r="BD56" s="323">
        <v>0</v>
      </c>
      <c r="BE56" s="323">
        <v>0</v>
      </c>
      <c r="BF56" s="2" t="s">
        <v>541</v>
      </c>
      <c r="BG56" s="327">
        <v>1</v>
      </c>
      <c r="BH56" s="323">
        <v>0</v>
      </c>
      <c r="BI56" s="323">
        <v>0</v>
      </c>
      <c r="BJ56" s="323">
        <v>0</v>
      </c>
      <c r="BK56" s="323">
        <v>0</v>
      </c>
      <c r="BL56" s="323">
        <v>0</v>
      </c>
      <c r="BM56" s="323">
        <v>0</v>
      </c>
      <c r="BN56" s="323">
        <v>0</v>
      </c>
      <c r="BO56" s="323">
        <v>0</v>
      </c>
      <c r="BP56" s="323">
        <v>0</v>
      </c>
      <c r="BQ56" s="323">
        <v>0</v>
      </c>
      <c r="BR56" s="328">
        <v>0</v>
      </c>
      <c r="BS56" s="323">
        <v>1</v>
      </c>
      <c r="BT56" s="329">
        <v>0</v>
      </c>
      <c r="BU56" s="330">
        <v>0</v>
      </c>
      <c r="BV56" s="330">
        <v>0</v>
      </c>
      <c r="BW56" s="330">
        <v>0</v>
      </c>
      <c r="BX56" s="330">
        <v>0</v>
      </c>
      <c r="BY56" s="330">
        <v>0</v>
      </c>
      <c r="BZ56" s="330">
        <v>0</v>
      </c>
      <c r="CA56" s="330">
        <v>0</v>
      </c>
      <c r="CB56" s="330">
        <v>0</v>
      </c>
      <c r="CC56" s="330">
        <v>0</v>
      </c>
      <c r="CD56" s="330">
        <v>0</v>
      </c>
      <c r="CE56" s="331">
        <v>0</v>
      </c>
      <c r="CF56" s="2"/>
      <c r="CG56" s="327">
        <v>1</v>
      </c>
      <c r="CH56" s="323">
        <v>1</v>
      </c>
      <c r="CI56" s="323">
        <v>1</v>
      </c>
      <c r="CJ56" s="323">
        <v>1</v>
      </c>
      <c r="CK56" s="323">
        <v>0</v>
      </c>
      <c r="CL56" s="323">
        <v>0</v>
      </c>
      <c r="CM56" s="323">
        <v>0</v>
      </c>
      <c r="CN56" s="323">
        <v>0</v>
      </c>
      <c r="CO56" s="323">
        <v>0</v>
      </c>
      <c r="CP56" s="323">
        <v>0</v>
      </c>
      <c r="CQ56" s="323">
        <v>0</v>
      </c>
      <c r="CR56" s="332">
        <v>0</v>
      </c>
      <c r="CS56" s="327">
        <v>0</v>
      </c>
      <c r="CT56" s="323">
        <v>0</v>
      </c>
      <c r="CU56" s="323">
        <v>0</v>
      </c>
      <c r="CV56" s="323">
        <v>0</v>
      </c>
      <c r="CW56" s="323">
        <v>0</v>
      </c>
      <c r="CX56" s="323">
        <v>0</v>
      </c>
      <c r="CY56" s="323">
        <v>0</v>
      </c>
      <c r="CZ56" s="323">
        <v>0</v>
      </c>
      <c r="DA56" s="323">
        <v>0</v>
      </c>
      <c r="DB56" s="323">
        <v>0</v>
      </c>
      <c r="DC56" s="323">
        <v>0</v>
      </c>
      <c r="DD56" s="328">
        <v>0</v>
      </c>
      <c r="DE56" s="4"/>
      <c r="DF56" s="416">
        <v>0</v>
      </c>
      <c r="DG56" s="417">
        <v>0</v>
      </c>
      <c r="DH56" s="417">
        <v>0</v>
      </c>
      <c r="DI56" s="417">
        <v>0</v>
      </c>
      <c r="DJ56" s="417">
        <v>0</v>
      </c>
      <c r="DK56" s="417">
        <v>0</v>
      </c>
      <c r="DL56" s="417">
        <v>0</v>
      </c>
      <c r="DM56" s="417">
        <v>0</v>
      </c>
      <c r="DN56" s="417">
        <v>0</v>
      </c>
      <c r="DO56" s="417">
        <v>0</v>
      </c>
      <c r="DP56" s="417">
        <v>0</v>
      </c>
      <c r="DQ56" s="417">
        <v>0</v>
      </c>
      <c r="DS56" s="327">
        <v>0</v>
      </c>
      <c r="DT56" s="323">
        <v>0</v>
      </c>
      <c r="DU56" s="323">
        <v>0</v>
      </c>
      <c r="DV56" s="323">
        <v>0</v>
      </c>
      <c r="DW56" s="323">
        <v>0</v>
      </c>
      <c r="DX56" s="323">
        <v>0</v>
      </c>
      <c r="DY56" s="323">
        <v>1</v>
      </c>
      <c r="DZ56" s="328">
        <v>1</v>
      </c>
      <c r="EA56" s="4"/>
      <c r="EB56" s="418" t="s">
        <v>205</v>
      </c>
      <c r="EC56" s="419" t="s">
        <v>398</v>
      </c>
      <c r="ED56" s="340">
        <v>0</v>
      </c>
      <c r="EE56" s="340">
        <v>0</v>
      </c>
      <c r="EF56" s="340">
        <v>0</v>
      </c>
      <c r="EG56" s="323">
        <v>0</v>
      </c>
      <c r="EH56" s="420"/>
      <c r="EI56" s="420">
        <v>0</v>
      </c>
      <c r="EJ56" s="421"/>
      <c r="EK56" s="323">
        <v>5</v>
      </c>
      <c r="EL56" s="323">
        <v>5</v>
      </c>
      <c r="EM56" s="323">
        <v>5</v>
      </c>
      <c r="EN56" s="323">
        <v>5</v>
      </c>
      <c r="EO56" s="323">
        <v>5</v>
      </c>
      <c r="EP56" s="323">
        <v>0</v>
      </c>
      <c r="EQ56" s="323">
        <v>0</v>
      </c>
      <c r="ER56" s="323">
        <v>0</v>
      </c>
      <c r="ES56" s="323">
        <v>0</v>
      </c>
      <c r="ET56" s="323">
        <v>0</v>
      </c>
      <c r="EU56" s="323">
        <v>0</v>
      </c>
      <c r="EV56" s="323">
        <v>0</v>
      </c>
      <c r="EW56" s="347">
        <v>5</v>
      </c>
      <c r="EX56" s="323">
        <v>5</v>
      </c>
      <c r="EY56" s="323">
        <v>0</v>
      </c>
      <c r="EZ56" s="323">
        <v>0</v>
      </c>
      <c r="FA56" s="323">
        <v>0</v>
      </c>
      <c r="FB56" s="323">
        <v>0</v>
      </c>
      <c r="FC56" s="323">
        <v>0</v>
      </c>
      <c r="FD56" s="323">
        <v>0</v>
      </c>
      <c r="FE56" s="323">
        <v>0</v>
      </c>
      <c r="FF56" s="323">
        <v>0</v>
      </c>
      <c r="FG56" s="323">
        <v>0</v>
      </c>
      <c r="FH56" s="323">
        <v>0</v>
      </c>
      <c r="FI56" s="323">
        <v>0</v>
      </c>
      <c r="FJ56" s="4"/>
      <c r="FK56" s="323">
        <v>5</v>
      </c>
      <c r="FL56" s="323">
        <v>0</v>
      </c>
      <c r="FM56" s="2"/>
      <c r="FN56" s="323">
        <v>0</v>
      </c>
      <c r="FO56" s="323">
        <v>0</v>
      </c>
      <c r="FP56" s="323">
        <v>0</v>
      </c>
      <c r="FR56" s="418" t="s">
        <v>205</v>
      </c>
      <c r="FS56" s="419" t="s">
        <v>398</v>
      </c>
      <c r="FT56" s="340">
        <v>0</v>
      </c>
      <c r="FU56" s="340">
        <v>0</v>
      </c>
      <c r="FV56" s="340">
        <v>0</v>
      </c>
      <c r="FW56" s="323">
        <v>0</v>
      </c>
      <c r="FX56" s="420"/>
      <c r="FY56" s="420">
        <v>0</v>
      </c>
      <c r="FZ56" s="421"/>
      <c r="GA56" s="323">
        <v>6</v>
      </c>
      <c r="GB56" s="323">
        <v>6</v>
      </c>
      <c r="GC56" s="323">
        <v>6</v>
      </c>
      <c r="GD56" s="323">
        <v>6</v>
      </c>
      <c r="GE56" s="323">
        <v>6</v>
      </c>
      <c r="GF56" s="323">
        <v>0</v>
      </c>
      <c r="GG56" s="323">
        <v>0</v>
      </c>
      <c r="GH56" s="323">
        <v>0</v>
      </c>
      <c r="GI56" s="323">
        <v>0</v>
      </c>
      <c r="GJ56" s="323">
        <v>0</v>
      </c>
      <c r="GK56" s="323">
        <v>0</v>
      </c>
      <c r="GL56" s="323">
        <v>0</v>
      </c>
      <c r="GM56" s="347">
        <v>6</v>
      </c>
      <c r="GN56" s="341">
        <v>6</v>
      </c>
      <c r="GO56" s="323">
        <v>0</v>
      </c>
      <c r="GP56" s="323">
        <v>0</v>
      </c>
      <c r="GQ56" s="323">
        <v>0</v>
      </c>
      <c r="GR56" s="323">
        <v>0</v>
      </c>
      <c r="GS56" s="323">
        <v>0</v>
      </c>
      <c r="GT56" s="323">
        <v>0</v>
      </c>
      <c r="GU56" s="323">
        <v>0</v>
      </c>
      <c r="GV56" s="323">
        <v>0</v>
      </c>
      <c r="GW56" s="323">
        <v>0</v>
      </c>
      <c r="GX56" s="323">
        <v>0</v>
      </c>
      <c r="GY56" s="323">
        <v>0</v>
      </c>
      <c r="GZ56" s="4"/>
      <c r="HA56" s="323">
        <v>6</v>
      </c>
      <c r="HB56" s="323">
        <v>0</v>
      </c>
      <c r="HC56" s="2"/>
      <c r="HD56" s="323">
        <v>0</v>
      </c>
      <c r="HE56" s="323">
        <v>0</v>
      </c>
      <c r="HF56" s="323">
        <v>0</v>
      </c>
      <c r="HH56">
        <v>0</v>
      </c>
      <c r="HI56">
        <v>0</v>
      </c>
      <c r="HJ56">
        <v>1</v>
      </c>
      <c r="HK56">
        <v>9.0909090909090912E-2</v>
      </c>
      <c r="HL56">
        <v>1</v>
      </c>
      <c r="HM56">
        <v>9.0909090909090912E-2</v>
      </c>
      <c r="HN56">
        <v>1</v>
      </c>
      <c r="HO56">
        <v>9.0909090909090912E-2</v>
      </c>
      <c r="HP56">
        <v>1</v>
      </c>
      <c r="HQ56">
        <v>9.0909090909090912E-2</v>
      </c>
      <c r="HR56">
        <v>1</v>
      </c>
      <c r="HS56">
        <v>9.0909090909090912E-2</v>
      </c>
      <c r="HT56">
        <v>10</v>
      </c>
      <c r="HU56">
        <v>0.90909090909090906</v>
      </c>
      <c r="HV56">
        <v>11</v>
      </c>
    </row>
    <row r="57" spans="1:230" x14ac:dyDescent="0.25">
      <c r="A57" t="s">
        <v>542</v>
      </c>
      <c r="B57" s="4">
        <v>6889</v>
      </c>
      <c r="C57" s="444" t="s">
        <v>257</v>
      </c>
      <c r="D57" s="418" t="s">
        <v>205</v>
      </c>
      <c r="E57" s="419" t="s">
        <v>542</v>
      </c>
      <c r="F57" s="340">
        <v>0</v>
      </c>
      <c r="G57" s="340">
        <v>0</v>
      </c>
      <c r="H57" s="340">
        <v>0</v>
      </c>
      <c r="I57" s="323">
        <v>0</v>
      </c>
      <c r="J57" s="420"/>
      <c r="K57" s="478">
        <v>0</v>
      </c>
      <c r="L57" s="421"/>
      <c r="M57" s="323">
        <v>9</v>
      </c>
      <c r="N57" s="323">
        <v>9</v>
      </c>
      <c r="O57" s="323">
        <v>9</v>
      </c>
      <c r="P57" s="323">
        <v>9</v>
      </c>
      <c r="Q57" s="323">
        <v>9</v>
      </c>
      <c r="R57" s="323">
        <v>0</v>
      </c>
      <c r="S57" s="323">
        <v>0</v>
      </c>
      <c r="T57" s="323">
        <v>0</v>
      </c>
      <c r="U57" s="323">
        <v>0</v>
      </c>
      <c r="V57" s="323">
        <v>0</v>
      </c>
      <c r="W57" s="323">
        <v>0</v>
      </c>
      <c r="X57" s="323">
        <v>0</v>
      </c>
      <c r="Y57" s="347">
        <v>9</v>
      </c>
      <c r="Z57" s="323">
        <v>9</v>
      </c>
      <c r="AA57" s="323">
        <v>0</v>
      </c>
      <c r="AB57" s="323">
        <v>0</v>
      </c>
      <c r="AC57" s="323">
        <v>0</v>
      </c>
      <c r="AD57" s="323">
        <v>0</v>
      </c>
      <c r="AE57" s="323">
        <v>0</v>
      </c>
      <c r="AF57" s="323">
        <v>0</v>
      </c>
      <c r="AG57" s="323">
        <v>0</v>
      </c>
      <c r="AH57" s="323">
        <v>0</v>
      </c>
      <c r="AI57" s="323">
        <v>0</v>
      </c>
      <c r="AJ57" s="323">
        <v>0</v>
      </c>
      <c r="AK57" s="328">
        <v>0</v>
      </c>
      <c r="AL57" s="4" t="s">
        <v>205</v>
      </c>
      <c r="AM57" s="327">
        <v>9</v>
      </c>
      <c r="AN57" s="328">
        <v>0</v>
      </c>
      <c r="AO57" s="2"/>
      <c r="AP57" s="323">
        <v>0</v>
      </c>
      <c r="AQ57" s="323">
        <v>0</v>
      </c>
      <c r="AR57" s="323">
        <v>0</v>
      </c>
      <c r="AS57" s="2"/>
      <c r="AT57" s="323">
        <v>0</v>
      </c>
      <c r="AU57" s="323">
        <v>0</v>
      </c>
      <c r="AV57" s="323">
        <v>0</v>
      </c>
      <c r="AW57" s="323">
        <v>0</v>
      </c>
      <c r="AX57" s="323">
        <v>0</v>
      </c>
      <c r="AY57" s="323">
        <v>0</v>
      </c>
      <c r="AZ57" s="323">
        <v>0</v>
      </c>
      <c r="BA57" s="323">
        <v>0</v>
      </c>
      <c r="BB57" s="323">
        <v>0</v>
      </c>
      <c r="BC57" s="323">
        <v>0</v>
      </c>
      <c r="BD57" s="323">
        <v>0</v>
      </c>
      <c r="BE57" s="323">
        <v>0</v>
      </c>
      <c r="BF57" s="2" t="s">
        <v>542</v>
      </c>
      <c r="BG57" s="327">
        <v>0</v>
      </c>
      <c r="BH57" s="323">
        <v>0</v>
      </c>
      <c r="BI57" s="323">
        <v>0</v>
      </c>
      <c r="BJ57" s="323">
        <v>0</v>
      </c>
      <c r="BK57" s="323">
        <v>0</v>
      </c>
      <c r="BL57" s="323">
        <v>0</v>
      </c>
      <c r="BM57" s="323">
        <v>0</v>
      </c>
      <c r="BN57" s="323">
        <v>0</v>
      </c>
      <c r="BO57" s="323">
        <v>0</v>
      </c>
      <c r="BP57" s="323">
        <v>0</v>
      </c>
      <c r="BQ57" s="323">
        <v>0</v>
      </c>
      <c r="BR57" s="328">
        <v>0</v>
      </c>
      <c r="BS57" s="323">
        <v>0</v>
      </c>
      <c r="BT57" s="329">
        <v>0</v>
      </c>
      <c r="BU57" s="330">
        <v>0</v>
      </c>
      <c r="BV57" s="330">
        <v>0</v>
      </c>
      <c r="BW57" s="330">
        <v>0</v>
      </c>
      <c r="BX57" s="330">
        <v>0</v>
      </c>
      <c r="BY57" s="330">
        <v>0</v>
      </c>
      <c r="BZ57" s="330">
        <v>0</v>
      </c>
      <c r="CA57" s="330">
        <v>0</v>
      </c>
      <c r="CB57" s="330">
        <v>0</v>
      </c>
      <c r="CC57" s="330">
        <v>0</v>
      </c>
      <c r="CD57" s="330">
        <v>0</v>
      </c>
      <c r="CE57" s="331">
        <v>0</v>
      </c>
      <c r="CF57" s="2"/>
      <c r="CG57" s="327">
        <v>3</v>
      </c>
      <c r="CH57" s="323">
        <v>2</v>
      </c>
      <c r="CI57" s="323">
        <v>4</v>
      </c>
      <c r="CJ57" s="323">
        <v>4</v>
      </c>
      <c r="CK57" s="323">
        <v>0</v>
      </c>
      <c r="CL57" s="323">
        <v>0</v>
      </c>
      <c r="CM57" s="323">
        <v>0</v>
      </c>
      <c r="CN57" s="323">
        <v>0</v>
      </c>
      <c r="CO57" s="323">
        <v>0</v>
      </c>
      <c r="CP57" s="323">
        <v>0</v>
      </c>
      <c r="CQ57" s="323">
        <v>0</v>
      </c>
      <c r="CR57" s="332">
        <v>0</v>
      </c>
      <c r="CS57" s="327">
        <v>0</v>
      </c>
      <c r="CT57" s="323">
        <v>0</v>
      </c>
      <c r="CU57" s="323">
        <v>0</v>
      </c>
      <c r="CV57" s="323">
        <v>0</v>
      </c>
      <c r="CW57" s="323">
        <v>0</v>
      </c>
      <c r="CX57" s="323">
        <v>0</v>
      </c>
      <c r="CY57" s="323">
        <v>0</v>
      </c>
      <c r="CZ57" s="323">
        <v>0</v>
      </c>
      <c r="DA57" s="323">
        <v>0</v>
      </c>
      <c r="DB57" s="323">
        <v>0</v>
      </c>
      <c r="DC57" s="323">
        <v>0</v>
      </c>
      <c r="DD57" s="328">
        <v>0</v>
      </c>
      <c r="DE57" s="4"/>
      <c r="DF57" s="416">
        <v>0</v>
      </c>
      <c r="DG57" s="417">
        <v>0</v>
      </c>
      <c r="DH57" s="417">
        <v>0</v>
      </c>
      <c r="DI57" s="417">
        <v>0</v>
      </c>
      <c r="DJ57" s="417">
        <v>0</v>
      </c>
      <c r="DK57" s="417">
        <v>0</v>
      </c>
      <c r="DL57" s="417">
        <v>0</v>
      </c>
      <c r="DM57" s="417">
        <v>0</v>
      </c>
      <c r="DN57" s="417">
        <v>0</v>
      </c>
      <c r="DO57" s="417">
        <v>0</v>
      </c>
      <c r="DP57" s="417">
        <v>0</v>
      </c>
      <c r="DQ57" s="417">
        <v>0</v>
      </c>
      <c r="DS57" s="327">
        <v>0</v>
      </c>
      <c r="DT57" s="323">
        <v>0</v>
      </c>
      <c r="DU57" s="323">
        <v>0</v>
      </c>
      <c r="DV57" s="323">
        <v>0</v>
      </c>
      <c r="DW57" s="323">
        <v>0</v>
      </c>
      <c r="DX57" s="323">
        <v>0</v>
      </c>
      <c r="DY57" s="323">
        <v>0</v>
      </c>
      <c r="DZ57" s="328">
        <v>0</v>
      </c>
      <c r="EA57" s="4"/>
      <c r="EB57" s="418" t="s">
        <v>205</v>
      </c>
      <c r="EC57" s="419" t="s">
        <v>400</v>
      </c>
      <c r="ED57" s="340">
        <v>0</v>
      </c>
      <c r="EE57" s="340">
        <v>0</v>
      </c>
      <c r="EF57" s="340">
        <v>0</v>
      </c>
      <c r="EG57" s="323">
        <v>0</v>
      </c>
      <c r="EH57" s="420"/>
      <c r="EI57" s="420">
        <v>0</v>
      </c>
      <c r="EJ57" s="421"/>
      <c r="EK57" s="323">
        <v>5</v>
      </c>
      <c r="EL57" s="323">
        <v>5</v>
      </c>
      <c r="EM57" s="323">
        <v>5</v>
      </c>
      <c r="EN57" s="323">
        <v>5</v>
      </c>
      <c r="EO57" s="323">
        <v>5</v>
      </c>
      <c r="EP57" s="323">
        <v>0</v>
      </c>
      <c r="EQ57" s="323">
        <v>0</v>
      </c>
      <c r="ER57" s="323">
        <v>0</v>
      </c>
      <c r="ES57" s="323">
        <v>0</v>
      </c>
      <c r="ET57" s="323">
        <v>0</v>
      </c>
      <c r="EU57" s="323">
        <v>0</v>
      </c>
      <c r="EV57" s="323">
        <v>0</v>
      </c>
      <c r="EW57" s="347">
        <v>5</v>
      </c>
      <c r="EX57" s="323">
        <v>5</v>
      </c>
      <c r="EY57" s="323">
        <v>0</v>
      </c>
      <c r="EZ57" s="323">
        <v>0</v>
      </c>
      <c r="FA57" s="323">
        <v>0</v>
      </c>
      <c r="FB57" s="323">
        <v>0</v>
      </c>
      <c r="FC57" s="323">
        <v>0</v>
      </c>
      <c r="FD57" s="323">
        <v>0</v>
      </c>
      <c r="FE57" s="323">
        <v>0</v>
      </c>
      <c r="FF57" s="323">
        <v>0</v>
      </c>
      <c r="FG57" s="323">
        <v>0</v>
      </c>
      <c r="FH57" s="323">
        <v>0</v>
      </c>
      <c r="FI57" s="323">
        <v>0</v>
      </c>
      <c r="FJ57" s="4"/>
      <c r="FK57" s="323">
        <v>5</v>
      </c>
      <c r="FL57" s="323">
        <v>0</v>
      </c>
      <c r="FM57" s="2"/>
      <c r="FN57" s="323">
        <v>0</v>
      </c>
      <c r="FO57" s="323">
        <v>0</v>
      </c>
      <c r="FP57" s="323">
        <v>0</v>
      </c>
      <c r="FR57" s="418" t="s">
        <v>205</v>
      </c>
      <c r="FS57" s="419" t="s">
        <v>400</v>
      </c>
      <c r="FT57" s="340">
        <v>0</v>
      </c>
      <c r="FU57" s="340">
        <v>0</v>
      </c>
      <c r="FV57" s="340">
        <v>0</v>
      </c>
      <c r="FW57" s="323">
        <v>0</v>
      </c>
      <c r="FX57" s="420"/>
      <c r="FY57" s="420">
        <v>0</v>
      </c>
      <c r="FZ57" s="421"/>
      <c r="GA57" s="323">
        <v>4</v>
      </c>
      <c r="GB57" s="323">
        <v>4</v>
      </c>
      <c r="GC57" s="323">
        <v>4</v>
      </c>
      <c r="GD57" s="323">
        <v>4</v>
      </c>
      <c r="GE57" s="323">
        <v>4</v>
      </c>
      <c r="GF57" s="323">
        <v>0</v>
      </c>
      <c r="GG57" s="323">
        <v>0</v>
      </c>
      <c r="GH57" s="323">
        <v>0</v>
      </c>
      <c r="GI57" s="323">
        <v>0</v>
      </c>
      <c r="GJ57" s="323">
        <v>0</v>
      </c>
      <c r="GK57" s="323">
        <v>0</v>
      </c>
      <c r="GL57" s="323">
        <v>0</v>
      </c>
      <c r="GM57" s="347">
        <v>4</v>
      </c>
      <c r="GN57" s="341">
        <v>4</v>
      </c>
      <c r="GO57" s="323">
        <v>0</v>
      </c>
      <c r="GP57" s="323">
        <v>0</v>
      </c>
      <c r="GQ57" s="323">
        <v>0</v>
      </c>
      <c r="GR57" s="323">
        <v>0</v>
      </c>
      <c r="GS57" s="323">
        <v>0</v>
      </c>
      <c r="GT57" s="323">
        <v>0</v>
      </c>
      <c r="GU57" s="323">
        <v>0</v>
      </c>
      <c r="GV57" s="323">
        <v>0</v>
      </c>
      <c r="GW57" s="323">
        <v>0</v>
      </c>
      <c r="GX57" s="323">
        <v>0</v>
      </c>
      <c r="GY57" s="323">
        <v>0</v>
      </c>
      <c r="GZ57" s="4"/>
      <c r="HA57" s="323">
        <v>4</v>
      </c>
      <c r="HB57" s="323">
        <v>0</v>
      </c>
      <c r="HC57" s="2"/>
      <c r="HD57" s="323">
        <v>0</v>
      </c>
      <c r="HE57" s="323">
        <v>0</v>
      </c>
      <c r="HF57" s="323">
        <v>0</v>
      </c>
      <c r="HH57">
        <v>0</v>
      </c>
      <c r="HI57">
        <v>0</v>
      </c>
      <c r="HJ57">
        <v>0</v>
      </c>
      <c r="HK57">
        <v>0</v>
      </c>
      <c r="HL57">
        <v>1</v>
      </c>
      <c r="HM57">
        <v>9.0909090909090912E-2</v>
      </c>
      <c r="HN57">
        <v>2</v>
      </c>
      <c r="HO57">
        <v>0.18181818181818182</v>
      </c>
      <c r="HP57">
        <v>2</v>
      </c>
      <c r="HQ57">
        <v>0.18181818181818182</v>
      </c>
      <c r="HR57">
        <v>3</v>
      </c>
      <c r="HS57">
        <v>0.27272727272727271</v>
      </c>
      <c r="HT57">
        <v>8</v>
      </c>
      <c r="HU57">
        <v>0.72727272727272729</v>
      </c>
      <c r="HV57">
        <v>11</v>
      </c>
    </row>
    <row r="58" spans="1:230" x14ac:dyDescent="0.25">
      <c r="A58" t="s">
        <v>543</v>
      </c>
      <c r="B58" s="4">
        <v>6890</v>
      </c>
      <c r="C58" s="444" t="s">
        <v>251</v>
      </c>
      <c r="D58" s="418" t="s">
        <v>205</v>
      </c>
      <c r="E58" s="419" t="s">
        <v>543</v>
      </c>
      <c r="F58" s="340">
        <v>0</v>
      </c>
      <c r="G58" s="340">
        <v>0</v>
      </c>
      <c r="H58" s="340">
        <v>0</v>
      </c>
      <c r="I58" s="323">
        <v>0</v>
      </c>
      <c r="J58" s="420"/>
      <c r="K58" s="478">
        <v>0</v>
      </c>
      <c r="L58" s="421"/>
      <c r="M58" s="323">
        <v>9</v>
      </c>
      <c r="N58" s="323">
        <v>9</v>
      </c>
      <c r="O58" s="323">
        <v>9</v>
      </c>
      <c r="P58" s="323">
        <v>9</v>
      </c>
      <c r="Q58" s="323">
        <v>9</v>
      </c>
      <c r="R58" s="323">
        <v>0</v>
      </c>
      <c r="S58" s="323">
        <v>0</v>
      </c>
      <c r="T58" s="323">
        <v>0</v>
      </c>
      <c r="U58" s="323">
        <v>0</v>
      </c>
      <c r="V58" s="323">
        <v>0</v>
      </c>
      <c r="W58" s="323">
        <v>0</v>
      </c>
      <c r="X58" s="323">
        <v>0</v>
      </c>
      <c r="Y58" s="347">
        <v>9</v>
      </c>
      <c r="Z58" s="323">
        <v>9</v>
      </c>
      <c r="AA58" s="323">
        <v>0</v>
      </c>
      <c r="AB58" s="323">
        <v>0</v>
      </c>
      <c r="AC58" s="323">
        <v>0</v>
      </c>
      <c r="AD58" s="323">
        <v>0</v>
      </c>
      <c r="AE58" s="323">
        <v>0</v>
      </c>
      <c r="AF58" s="323">
        <v>0</v>
      </c>
      <c r="AG58" s="323">
        <v>0</v>
      </c>
      <c r="AH58" s="323">
        <v>0</v>
      </c>
      <c r="AI58" s="323">
        <v>0</v>
      </c>
      <c r="AJ58" s="323">
        <v>0</v>
      </c>
      <c r="AK58" s="328">
        <v>0</v>
      </c>
      <c r="AL58" s="4" t="s">
        <v>205</v>
      </c>
      <c r="AM58" s="327">
        <v>9</v>
      </c>
      <c r="AN58" s="328">
        <v>0</v>
      </c>
      <c r="AO58" s="2"/>
      <c r="AP58" s="323">
        <v>0</v>
      </c>
      <c r="AQ58" s="323">
        <v>0</v>
      </c>
      <c r="AR58" s="323">
        <v>0</v>
      </c>
      <c r="AS58" s="2"/>
      <c r="AT58" s="323">
        <v>0</v>
      </c>
      <c r="AU58" s="323">
        <v>0</v>
      </c>
      <c r="AV58" s="323">
        <v>0</v>
      </c>
      <c r="AW58" s="323">
        <v>0</v>
      </c>
      <c r="AX58" s="323">
        <v>0</v>
      </c>
      <c r="AY58" s="323">
        <v>0</v>
      </c>
      <c r="AZ58" s="323">
        <v>0</v>
      </c>
      <c r="BA58" s="323">
        <v>0</v>
      </c>
      <c r="BB58" s="323">
        <v>0</v>
      </c>
      <c r="BC58" s="323">
        <v>0</v>
      </c>
      <c r="BD58" s="323">
        <v>0</v>
      </c>
      <c r="BE58" s="323">
        <v>0</v>
      </c>
      <c r="BF58" s="2" t="s">
        <v>543</v>
      </c>
      <c r="BG58" s="327">
        <v>0</v>
      </c>
      <c r="BH58" s="323">
        <v>0</v>
      </c>
      <c r="BI58" s="323">
        <v>0</v>
      </c>
      <c r="BJ58" s="323">
        <v>0</v>
      </c>
      <c r="BK58" s="323">
        <v>0</v>
      </c>
      <c r="BL58" s="323">
        <v>0</v>
      </c>
      <c r="BM58" s="323">
        <v>0</v>
      </c>
      <c r="BN58" s="323">
        <v>0</v>
      </c>
      <c r="BO58" s="323">
        <v>0</v>
      </c>
      <c r="BP58" s="323">
        <v>0</v>
      </c>
      <c r="BQ58" s="323">
        <v>0</v>
      </c>
      <c r="BR58" s="328">
        <v>0</v>
      </c>
      <c r="BS58" s="323">
        <v>0</v>
      </c>
      <c r="BT58" s="329">
        <v>0</v>
      </c>
      <c r="BU58" s="330">
        <v>0</v>
      </c>
      <c r="BV58" s="330">
        <v>0</v>
      </c>
      <c r="BW58" s="330">
        <v>0</v>
      </c>
      <c r="BX58" s="330">
        <v>0</v>
      </c>
      <c r="BY58" s="330">
        <v>0</v>
      </c>
      <c r="BZ58" s="330">
        <v>0</v>
      </c>
      <c r="CA58" s="330">
        <v>0</v>
      </c>
      <c r="CB58" s="330">
        <v>0</v>
      </c>
      <c r="CC58" s="330">
        <v>0</v>
      </c>
      <c r="CD58" s="330">
        <v>0</v>
      </c>
      <c r="CE58" s="331">
        <v>0</v>
      </c>
      <c r="CF58" s="2"/>
      <c r="CG58" s="327">
        <v>1</v>
      </c>
      <c r="CH58" s="323">
        <v>2</v>
      </c>
      <c r="CI58" s="323">
        <v>2</v>
      </c>
      <c r="CJ58" s="323">
        <v>2</v>
      </c>
      <c r="CK58" s="323">
        <v>0</v>
      </c>
      <c r="CL58" s="323">
        <v>0</v>
      </c>
      <c r="CM58" s="323">
        <v>0</v>
      </c>
      <c r="CN58" s="323">
        <v>0</v>
      </c>
      <c r="CO58" s="323">
        <v>0</v>
      </c>
      <c r="CP58" s="323">
        <v>0</v>
      </c>
      <c r="CQ58" s="323">
        <v>0</v>
      </c>
      <c r="CR58" s="332">
        <v>0</v>
      </c>
      <c r="CS58" s="327">
        <v>0</v>
      </c>
      <c r="CT58" s="323">
        <v>0</v>
      </c>
      <c r="CU58" s="323">
        <v>0</v>
      </c>
      <c r="CV58" s="323">
        <v>0</v>
      </c>
      <c r="CW58" s="323">
        <v>0</v>
      </c>
      <c r="CX58" s="323">
        <v>0</v>
      </c>
      <c r="CY58" s="323">
        <v>0</v>
      </c>
      <c r="CZ58" s="323">
        <v>0</v>
      </c>
      <c r="DA58" s="323">
        <v>0</v>
      </c>
      <c r="DB58" s="323">
        <v>0</v>
      </c>
      <c r="DC58" s="323">
        <v>0</v>
      </c>
      <c r="DD58" s="328">
        <v>0</v>
      </c>
      <c r="DE58" s="4"/>
      <c r="DF58" s="416">
        <v>0</v>
      </c>
      <c r="DG58" s="417">
        <v>0</v>
      </c>
      <c r="DH58" s="417">
        <v>0</v>
      </c>
      <c r="DI58" s="417">
        <v>0</v>
      </c>
      <c r="DJ58" s="417">
        <v>0</v>
      </c>
      <c r="DK58" s="417">
        <v>0</v>
      </c>
      <c r="DL58" s="417">
        <v>0</v>
      </c>
      <c r="DM58" s="417">
        <v>0</v>
      </c>
      <c r="DN58" s="417">
        <v>0</v>
      </c>
      <c r="DO58" s="417">
        <v>0</v>
      </c>
      <c r="DP58" s="417">
        <v>0</v>
      </c>
      <c r="DQ58" s="417">
        <v>0</v>
      </c>
      <c r="DS58" s="327">
        <v>0</v>
      </c>
      <c r="DT58" s="323">
        <v>0</v>
      </c>
      <c r="DU58" s="323">
        <v>0</v>
      </c>
      <c r="DV58" s="323">
        <v>0</v>
      </c>
      <c r="DW58" s="323">
        <v>0</v>
      </c>
      <c r="DX58" s="323">
        <v>0</v>
      </c>
      <c r="DY58" s="323">
        <v>0</v>
      </c>
      <c r="DZ58" s="328">
        <v>0</v>
      </c>
      <c r="EA58" s="4"/>
      <c r="EB58" s="418" t="s">
        <v>205</v>
      </c>
      <c r="EC58" s="419" t="s">
        <v>402</v>
      </c>
      <c r="ED58" s="340">
        <v>0</v>
      </c>
      <c r="EE58" s="340">
        <v>0</v>
      </c>
      <c r="EF58" s="340">
        <v>0</v>
      </c>
      <c r="EG58" s="323">
        <v>0</v>
      </c>
      <c r="EH58" s="420"/>
      <c r="EI58" s="420">
        <v>0</v>
      </c>
      <c r="EJ58" s="421"/>
      <c r="EK58" s="323">
        <v>3</v>
      </c>
      <c r="EL58" s="323">
        <v>3</v>
      </c>
      <c r="EM58" s="323">
        <v>3</v>
      </c>
      <c r="EN58" s="323">
        <v>3</v>
      </c>
      <c r="EO58" s="323">
        <v>3</v>
      </c>
      <c r="EP58" s="323">
        <v>0</v>
      </c>
      <c r="EQ58" s="323">
        <v>0</v>
      </c>
      <c r="ER58" s="323">
        <v>0</v>
      </c>
      <c r="ES58" s="323">
        <v>0</v>
      </c>
      <c r="ET58" s="323">
        <v>0</v>
      </c>
      <c r="EU58" s="323">
        <v>0</v>
      </c>
      <c r="EV58" s="323">
        <v>0</v>
      </c>
      <c r="EW58" s="347">
        <v>3</v>
      </c>
      <c r="EX58" s="323">
        <v>3</v>
      </c>
      <c r="EY58" s="323">
        <v>0</v>
      </c>
      <c r="EZ58" s="323">
        <v>0</v>
      </c>
      <c r="FA58" s="323">
        <v>0</v>
      </c>
      <c r="FB58" s="323">
        <v>0</v>
      </c>
      <c r="FC58" s="323">
        <v>0</v>
      </c>
      <c r="FD58" s="323">
        <v>0</v>
      </c>
      <c r="FE58" s="323">
        <v>0</v>
      </c>
      <c r="FF58" s="323">
        <v>0</v>
      </c>
      <c r="FG58" s="323">
        <v>0</v>
      </c>
      <c r="FH58" s="323">
        <v>0</v>
      </c>
      <c r="FI58" s="323">
        <v>0</v>
      </c>
      <c r="FJ58" s="4"/>
      <c r="FK58" s="323">
        <v>3</v>
      </c>
      <c r="FL58" s="323">
        <v>0</v>
      </c>
      <c r="FM58" s="2"/>
      <c r="FN58" s="323">
        <v>0</v>
      </c>
      <c r="FO58" s="323">
        <v>0</v>
      </c>
      <c r="FP58" s="323">
        <v>0</v>
      </c>
      <c r="FR58" s="418" t="s">
        <v>205</v>
      </c>
      <c r="FS58" s="419" t="s">
        <v>402</v>
      </c>
      <c r="FT58" s="340">
        <v>0</v>
      </c>
      <c r="FU58" s="340">
        <v>0</v>
      </c>
      <c r="FV58" s="340">
        <v>0</v>
      </c>
      <c r="FW58" s="323">
        <v>0</v>
      </c>
      <c r="FX58" s="420"/>
      <c r="FY58" s="420">
        <v>0</v>
      </c>
      <c r="FZ58" s="421"/>
      <c r="GA58" s="323">
        <v>6</v>
      </c>
      <c r="GB58" s="323">
        <v>6</v>
      </c>
      <c r="GC58" s="323">
        <v>6</v>
      </c>
      <c r="GD58" s="323">
        <v>6</v>
      </c>
      <c r="GE58" s="323">
        <v>6</v>
      </c>
      <c r="GF58" s="323">
        <v>0</v>
      </c>
      <c r="GG58" s="323">
        <v>0</v>
      </c>
      <c r="GH58" s="323">
        <v>0</v>
      </c>
      <c r="GI58" s="323">
        <v>0</v>
      </c>
      <c r="GJ58" s="323">
        <v>0</v>
      </c>
      <c r="GK58" s="323">
        <v>0</v>
      </c>
      <c r="GL58" s="323">
        <v>0</v>
      </c>
      <c r="GM58" s="347">
        <v>6</v>
      </c>
      <c r="GN58" s="341">
        <v>6</v>
      </c>
      <c r="GO58" s="323">
        <v>0</v>
      </c>
      <c r="GP58" s="323">
        <v>0</v>
      </c>
      <c r="GQ58" s="323">
        <v>0</v>
      </c>
      <c r="GR58" s="323">
        <v>0</v>
      </c>
      <c r="GS58" s="323">
        <v>0</v>
      </c>
      <c r="GT58" s="323">
        <v>0</v>
      </c>
      <c r="GU58" s="323">
        <v>0</v>
      </c>
      <c r="GV58" s="323">
        <v>0</v>
      </c>
      <c r="GW58" s="323">
        <v>0</v>
      </c>
      <c r="GX58" s="323">
        <v>0</v>
      </c>
      <c r="GY58" s="323">
        <v>0</v>
      </c>
      <c r="GZ58" s="4"/>
      <c r="HA58" s="323">
        <v>6</v>
      </c>
      <c r="HB58" s="323">
        <v>0</v>
      </c>
      <c r="HC58" s="2"/>
      <c r="HD58" s="323">
        <v>0</v>
      </c>
      <c r="HE58" s="323">
        <v>0</v>
      </c>
      <c r="HF58" s="323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1</v>
      </c>
      <c r="HQ58">
        <v>0.1111111111111111</v>
      </c>
      <c r="HR58">
        <v>1</v>
      </c>
      <c r="HS58">
        <v>0.1111111111111111</v>
      </c>
      <c r="HT58">
        <v>8</v>
      </c>
      <c r="HU58">
        <v>0.88888888888888884</v>
      </c>
      <c r="HV58">
        <v>9</v>
      </c>
    </row>
    <row r="59" spans="1:230" x14ac:dyDescent="0.25">
      <c r="A59" t="s">
        <v>544</v>
      </c>
      <c r="B59" s="4">
        <v>6891</v>
      </c>
      <c r="C59" s="444" t="s">
        <v>234</v>
      </c>
      <c r="D59" s="418" t="s">
        <v>208</v>
      </c>
      <c r="E59" s="419" t="s">
        <v>544</v>
      </c>
      <c r="F59" s="340">
        <v>0</v>
      </c>
      <c r="G59" s="340">
        <v>0</v>
      </c>
      <c r="H59" s="340">
        <v>0</v>
      </c>
      <c r="I59" s="323">
        <v>0</v>
      </c>
      <c r="J59" s="420"/>
      <c r="K59" s="478">
        <v>0</v>
      </c>
      <c r="L59" s="421"/>
      <c r="M59" s="323">
        <v>0</v>
      </c>
      <c r="N59" s="323">
        <v>12</v>
      </c>
      <c r="O59" s="323">
        <v>13</v>
      </c>
      <c r="P59" s="323">
        <v>13</v>
      </c>
      <c r="Q59" s="323">
        <v>12</v>
      </c>
      <c r="R59" s="323">
        <v>0</v>
      </c>
      <c r="S59" s="323">
        <v>0</v>
      </c>
      <c r="T59" s="323">
        <v>0</v>
      </c>
      <c r="U59" s="323">
        <v>0</v>
      </c>
      <c r="V59" s="323">
        <v>0</v>
      </c>
      <c r="W59" s="323">
        <v>0</v>
      </c>
      <c r="X59" s="323">
        <v>0</v>
      </c>
      <c r="Y59" s="347">
        <v>12.5</v>
      </c>
      <c r="Z59" s="323">
        <v>12</v>
      </c>
      <c r="AA59" s="323">
        <v>0</v>
      </c>
      <c r="AB59" s="323">
        <v>0</v>
      </c>
      <c r="AC59" s="323">
        <v>0</v>
      </c>
      <c r="AD59" s="323">
        <v>0</v>
      </c>
      <c r="AE59" s="323">
        <v>0</v>
      </c>
      <c r="AF59" s="323">
        <v>0</v>
      </c>
      <c r="AG59" s="323">
        <v>0</v>
      </c>
      <c r="AH59" s="323">
        <v>0</v>
      </c>
      <c r="AI59" s="323">
        <v>0</v>
      </c>
      <c r="AJ59" s="323">
        <v>0</v>
      </c>
      <c r="AK59" s="328">
        <v>0</v>
      </c>
      <c r="AL59" s="4" t="s">
        <v>208</v>
      </c>
      <c r="AM59" s="327">
        <v>9</v>
      </c>
      <c r="AN59" s="328">
        <v>3</v>
      </c>
      <c r="AO59" s="2"/>
      <c r="AP59" s="323">
        <v>0</v>
      </c>
      <c r="AQ59" s="323">
        <v>0</v>
      </c>
      <c r="AR59" s="323">
        <v>0</v>
      </c>
      <c r="AS59" s="2"/>
      <c r="AT59" s="323">
        <v>0</v>
      </c>
      <c r="AU59" s="323">
        <v>0</v>
      </c>
      <c r="AV59" s="323">
        <v>0</v>
      </c>
      <c r="AW59" s="323">
        <v>0</v>
      </c>
      <c r="AX59" s="323">
        <v>0</v>
      </c>
      <c r="AY59" s="323">
        <v>0</v>
      </c>
      <c r="AZ59" s="323">
        <v>0</v>
      </c>
      <c r="BA59" s="323">
        <v>0</v>
      </c>
      <c r="BB59" s="323">
        <v>0</v>
      </c>
      <c r="BC59" s="323">
        <v>0</v>
      </c>
      <c r="BD59" s="323">
        <v>0</v>
      </c>
      <c r="BE59" s="323">
        <v>0</v>
      </c>
      <c r="BF59" s="2" t="s">
        <v>544</v>
      </c>
      <c r="BG59" s="327">
        <v>0</v>
      </c>
      <c r="BH59" s="323">
        <v>0</v>
      </c>
      <c r="BI59" s="323">
        <v>1</v>
      </c>
      <c r="BJ59" s="323">
        <v>0</v>
      </c>
      <c r="BK59" s="323">
        <v>0</v>
      </c>
      <c r="BL59" s="323">
        <v>0</v>
      </c>
      <c r="BM59" s="323">
        <v>0</v>
      </c>
      <c r="BN59" s="323">
        <v>0</v>
      </c>
      <c r="BO59" s="323">
        <v>0</v>
      </c>
      <c r="BP59" s="323">
        <v>0</v>
      </c>
      <c r="BQ59" s="323">
        <v>0</v>
      </c>
      <c r="BR59" s="328">
        <v>0</v>
      </c>
      <c r="BS59" s="323">
        <v>1</v>
      </c>
      <c r="BT59" s="329">
        <v>0</v>
      </c>
      <c r="BU59" s="330">
        <v>0</v>
      </c>
      <c r="BV59" s="330">
        <v>0</v>
      </c>
      <c r="BW59" s="330">
        <v>0</v>
      </c>
      <c r="BX59" s="330">
        <v>0</v>
      </c>
      <c r="BY59" s="330">
        <v>0</v>
      </c>
      <c r="BZ59" s="330">
        <v>0</v>
      </c>
      <c r="CA59" s="330">
        <v>0</v>
      </c>
      <c r="CB59" s="330">
        <v>0</v>
      </c>
      <c r="CC59" s="330">
        <v>0</v>
      </c>
      <c r="CD59" s="330">
        <v>0</v>
      </c>
      <c r="CE59" s="331">
        <v>0</v>
      </c>
      <c r="CF59" s="2"/>
      <c r="CG59" s="327">
        <v>1</v>
      </c>
      <c r="CH59" s="323">
        <v>1</v>
      </c>
      <c r="CI59" s="323">
        <v>1</v>
      </c>
      <c r="CJ59" s="323">
        <v>1</v>
      </c>
      <c r="CK59" s="323">
        <v>0</v>
      </c>
      <c r="CL59" s="323">
        <v>0</v>
      </c>
      <c r="CM59" s="323">
        <v>0</v>
      </c>
      <c r="CN59" s="323">
        <v>0</v>
      </c>
      <c r="CO59" s="323">
        <v>0</v>
      </c>
      <c r="CP59" s="323">
        <v>0</v>
      </c>
      <c r="CQ59" s="323">
        <v>0</v>
      </c>
      <c r="CR59" s="332">
        <v>0</v>
      </c>
      <c r="CS59" s="327">
        <v>0</v>
      </c>
      <c r="CT59" s="323">
        <v>0</v>
      </c>
      <c r="CU59" s="323">
        <v>0</v>
      </c>
      <c r="CV59" s="323">
        <v>0</v>
      </c>
      <c r="CW59" s="323">
        <v>0</v>
      </c>
      <c r="CX59" s="323">
        <v>0</v>
      </c>
      <c r="CY59" s="323">
        <v>0</v>
      </c>
      <c r="CZ59" s="323">
        <v>0</v>
      </c>
      <c r="DA59" s="323">
        <v>0</v>
      </c>
      <c r="DB59" s="323">
        <v>0</v>
      </c>
      <c r="DC59" s="323">
        <v>0</v>
      </c>
      <c r="DD59" s="328">
        <v>0</v>
      </c>
      <c r="DE59" s="4"/>
      <c r="DF59" s="416">
        <v>0</v>
      </c>
      <c r="DG59" s="417">
        <v>0</v>
      </c>
      <c r="DH59" s="417">
        <v>0</v>
      </c>
      <c r="DI59" s="417">
        <v>0</v>
      </c>
      <c r="DJ59" s="417">
        <v>0</v>
      </c>
      <c r="DK59" s="417">
        <v>0</v>
      </c>
      <c r="DL59" s="417">
        <v>0</v>
      </c>
      <c r="DM59" s="417">
        <v>0</v>
      </c>
      <c r="DN59" s="417">
        <v>0</v>
      </c>
      <c r="DO59" s="417">
        <v>0</v>
      </c>
      <c r="DP59" s="417">
        <v>0</v>
      </c>
      <c r="DQ59" s="417">
        <v>0</v>
      </c>
      <c r="DS59" s="327">
        <v>1</v>
      </c>
      <c r="DT59" s="323">
        <v>0</v>
      </c>
      <c r="DU59" s="323">
        <v>0</v>
      </c>
      <c r="DV59" s="323">
        <v>0</v>
      </c>
      <c r="DW59" s="323">
        <v>0</v>
      </c>
      <c r="DX59" s="323">
        <v>0</v>
      </c>
      <c r="DY59" s="323">
        <v>0</v>
      </c>
      <c r="DZ59" s="328">
        <v>1</v>
      </c>
      <c r="EA59" s="4"/>
      <c r="EB59" s="418" t="s">
        <v>208</v>
      </c>
      <c r="EC59" s="419" t="s">
        <v>404</v>
      </c>
      <c r="ED59" s="340">
        <v>0</v>
      </c>
      <c r="EE59" s="340">
        <v>0</v>
      </c>
      <c r="EF59" s="340">
        <v>0</v>
      </c>
      <c r="EG59" s="323">
        <v>0</v>
      </c>
      <c r="EH59" s="420"/>
      <c r="EI59" s="420">
        <v>0</v>
      </c>
      <c r="EJ59" s="421"/>
      <c r="EK59" s="323">
        <v>0</v>
      </c>
      <c r="EL59" s="323">
        <v>8</v>
      </c>
      <c r="EM59" s="323">
        <v>9</v>
      </c>
      <c r="EN59" s="323">
        <v>9</v>
      </c>
      <c r="EO59" s="323">
        <v>8</v>
      </c>
      <c r="EP59" s="323">
        <v>0</v>
      </c>
      <c r="EQ59" s="323">
        <v>0</v>
      </c>
      <c r="ER59" s="323">
        <v>0</v>
      </c>
      <c r="ES59" s="323">
        <v>0</v>
      </c>
      <c r="ET59" s="323">
        <v>0</v>
      </c>
      <c r="EU59" s="323">
        <v>0</v>
      </c>
      <c r="EV59" s="323">
        <v>0</v>
      </c>
      <c r="EW59" s="347">
        <v>8.5</v>
      </c>
      <c r="EX59" s="323">
        <v>8</v>
      </c>
      <c r="EY59" s="323">
        <v>0</v>
      </c>
      <c r="EZ59" s="323">
        <v>0</v>
      </c>
      <c r="FA59" s="323">
        <v>0</v>
      </c>
      <c r="FB59" s="323">
        <v>0</v>
      </c>
      <c r="FC59" s="323">
        <v>0</v>
      </c>
      <c r="FD59" s="323">
        <v>0</v>
      </c>
      <c r="FE59" s="323">
        <v>0</v>
      </c>
      <c r="FF59" s="323">
        <v>0</v>
      </c>
      <c r="FG59" s="323">
        <v>0</v>
      </c>
      <c r="FH59" s="323">
        <v>0</v>
      </c>
      <c r="FI59" s="323">
        <v>0</v>
      </c>
      <c r="FJ59" s="4"/>
      <c r="FK59" s="323">
        <v>5</v>
      </c>
      <c r="FL59" s="323">
        <v>3</v>
      </c>
      <c r="FM59" s="2"/>
      <c r="FN59" s="323">
        <v>0</v>
      </c>
      <c r="FO59" s="323">
        <v>0</v>
      </c>
      <c r="FP59" s="323">
        <v>0</v>
      </c>
      <c r="FR59" s="418" t="s">
        <v>208</v>
      </c>
      <c r="FS59" s="419" t="s">
        <v>404</v>
      </c>
      <c r="FT59" s="340">
        <v>0</v>
      </c>
      <c r="FU59" s="340">
        <v>0</v>
      </c>
      <c r="FV59" s="340">
        <v>0</v>
      </c>
      <c r="FW59" s="323">
        <v>0</v>
      </c>
      <c r="FX59" s="420"/>
      <c r="FY59" s="420">
        <v>0</v>
      </c>
      <c r="FZ59" s="421"/>
      <c r="GA59" s="323">
        <v>0</v>
      </c>
      <c r="GB59" s="323">
        <v>4</v>
      </c>
      <c r="GC59" s="323">
        <v>4</v>
      </c>
      <c r="GD59" s="323">
        <v>4</v>
      </c>
      <c r="GE59" s="323">
        <v>4</v>
      </c>
      <c r="GF59" s="323">
        <v>0</v>
      </c>
      <c r="GG59" s="323">
        <v>0</v>
      </c>
      <c r="GH59" s="323">
        <v>0</v>
      </c>
      <c r="GI59" s="323">
        <v>0</v>
      </c>
      <c r="GJ59" s="323">
        <v>0</v>
      </c>
      <c r="GK59" s="323">
        <v>0</v>
      </c>
      <c r="GL59" s="323">
        <v>0</v>
      </c>
      <c r="GM59" s="347">
        <v>4</v>
      </c>
      <c r="GN59" s="341">
        <v>4</v>
      </c>
      <c r="GO59" s="323">
        <v>0</v>
      </c>
      <c r="GP59" s="323">
        <v>0</v>
      </c>
      <c r="GQ59" s="323">
        <v>0</v>
      </c>
      <c r="GR59" s="323">
        <v>0</v>
      </c>
      <c r="GS59" s="323">
        <v>0</v>
      </c>
      <c r="GT59" s="323">
        <v>0</v>
      </c>
      <c r="GU59" s="323">
        <v>0</v>
      </c>
      <c r="GV59" s="323">
        <v>0</v>
      </c>
      <c r="GW59" s="323">
        <v>0</v>
      </c>
      <c r="GX59" s="323">
        <v>0</v>
      </c>
      <c r="GY59" s="323">
        <v>0</v>
      </c>
      <c r="GZ59" s="4"/>
      <c r="HA59" s="323">
        <v>4</v>
      </c>
      <c r="HB59" s="323">
        <v>0</v>
      </c>
      <c r="HC59" s="2"/>
      <c r="HD59" s="323">
        <v>0</v>
      </c>
      <c r="HE59" s="323">
        <v>0</v>
      </c>
      <c r="HF59" s="323">
        <v>0</v>
      </c>
      <c r="HH59">
        <v>0</v>
      </c>
      <c r="HI59">
        <v>0</v>
      </c>
      <c r="HJ59">
        <v>0</v>
      </c>
      <c r="HK59">
        <v>0</v>
      </c>
      <c r="HL59">
        <v>1</v>
      </c>
      <c r="HM59">
        <v>5.5555555555555552E-2</v>
      </c>
      <c r="HN59">
        <v>1</v>
      </c>
      <c r="HO59">
        <v>5.5555555555555552E-2</v>
      </c>
      <c r="HP59">
        <v>1</v>
      </c>
      <c r="HQ59">
        <v>5.5555555555555552E-2</v>
      </c>
      <c r="HR59">
        <v>1</v>
      </c>
      <c r="HS59">
        <v>5.5555555555555552E-2</v>
      </c>
      <c r="HT59">
        <v>17</v>
      </c>
      <c r="HU59">
        <v>0.94444444444444442</v>
      </c>
      <c r="HV59">
        <v>18</v>
      </c>
    </row>
    <row r="60" spans="1:230" x14ac:dyDescent="0.25">
      <c r="A60" t="s">
        <v>545</v>
      </c>
      <c r="B60" s="4">
        <v>6896</v>
      </c>
      <c r="C60" s="444" t="s">
        <v>248</v>
      </c>
      <c r="D60" s="418" t="s">
        <v>207</v>
      </c>
      <c r="E60" s="419" t="s">
        <v>545</v>
      </c>
      <c r="F60" s="340">
        <v>0</v>
      </c>
      <c r="G60" s="340">
        <v>0</v>
      </c>
      <c r="H60" s="340">
        <v>0</v>
      </c>
      <c r="I60" s="323">
        <v>0</v>
      </c>
      <c r="J60" s="420"/>
      <c r="K60" s="478">
        <v>0</v>
      </c>
      <c r="L60" s="421"/>
      <c r="M60" s="323">
        <v>29</v>
      </c>
      <c r="N60" s="323">
        <v>29</v>
      </c>
      <c r="O60" s="323">
        <v>30</v>
      </c>
      <c r="P60" s="323">
        <v>29</v>
      </c>
      <c r="Q60" s="323">
        <v>30</v>
      </c>
      <c r="R60" s="323">
        <v>0</v>
      </c>
      <c r="S60" s="323">
        <v>0</v>
      </c>
      <c r="T60" s="323">
        <v>0</v>
      </c>
      <c r="U60" s="323">
        <v>0</v>
      </c>
      <c r="V60" s="323">
        <v>0</v>
      </c>
      <c r="W60" s="323">
        <v>0</v>
      </c>
      <c r="X60" s="323">
        <v>0</v>
      </c>
      <c r="Y60" s="347">
        <v>29.4</v>
      </c>
      <c r="Z60" s="323">
        <v>30</v>
      </c>
      <c r="AA60" s="323">
        <v>0</v>
      </c>
      <c r="AB60" s="323">
        <v>0</v>
      </c>
      <c r="AC60" s="323">
        <v>0</v>
      </c>
      <c r="AD60" s="323">
        <v>0</v>
      </c>
      <c r="AE60" s="323">
        <v>0</v>
      </c>
      <c r="AF60" s="323">
        <v>0</v>
      </c>
      <c r="AG60" s="323">
        <v>0</v>
      </c>
      <c r="AH60" s="323">
        <v>0</v>
      </c>
      <c r="AI60" s="323">
        <v>0</v>
      </c>
      <c r="AJ60" s="323">
        <v>0</v>
      </c>
      <c r="AK60" s="328">
        <v>0</v>
      </c>
      <c r="AL60" s="4" t="s">
        <v>207</v>
      </c>
      <c r="AM60" s="327">
        <v>30</v>
      </c>
      <c r="AN60" s="328">
        <v>0</v>
      </c>
      <c r="AO60" s="2"/>
      <c r="AP60" s="323">
        <v>0</v>
      </c>
      <c r="AQ60" s="323">
        <v>0</v>
      </c>
      <c r="AR60" s="323">
        <v>0</v>
      </c>
      <c r="AS60" s="2"/>
      <c r="AT60" s="323">
        <v>0</v>
      </c>
      <c r="AU60" s="323">
        <v>0</v>
      </c>
      <c r="AV60" s="323">
        <v>0</v>
      </c>
      <c r="AW60" s="323">
        <v>0</v>
      </c>
      <c r="AX60" s="323">
        <v>0</v>
      </c>
      <c r="AY60" s="323">
        <v>0</v>
      </c>
      <c r="AZ60" s="323">
        <v>0</v>
      </c>
      <c r="BA60" s="323">
        <v>0</v>
      </c>
      <c r="BB60" s="323">
        <v>0</v>
      </c>
      <c r="BC60" s="323">
        <v>0</v>
      </c>
      <c r="BD60" s="323">
        <v>0</v>
      </c>
      <c r="BE60" s="323">
        <v>0</v>
      </c>
      <c r="BF60" s="2" t="s">
        <v>545</v>
      </c>
      <c r="BG60" s="327">
        <v>1</v>
      </c>
      <c r="BH60" s="323">
        <v>3</v>
      </c>
      <c r="BI60" s="323">
        <v>3</v>
      </c>
      <c r="BJ60" s="323">
        <v>1</v>
      </c>
      <c r="BK60" s="323">
        <v>3</v>
      </c>
      <c r="BL60" s="323">
        <v>0</v>
      </c>
      <c r="BM60" s="323">
        <v>0</v>
      </c>
      <c r="BN60" s="323">
        <v>0</v>
      </c>
      <c r="BO60" s="323">
        <v>0</v>
      </c>
      <c r="BP60" s="323">
        <v>0</v>
      </c>
      <c r="BQ60" s="323">
        <v>0</v>
      </c>
      <c r="BR60" s="328">
        <v>0</v>
      </c>
      <c r="BS60" s="323">
        <v>11</v>
      </c>
      <c r="BT60" s="329">
        <v>0</v>
      </c>
      <c r="BU60" s="330">
        <v>0</v>
      </c>
      <c r="BV60" s="330">
        <v>0</v>
      </c>
      <c r="BW60" s="330">
        <v>0</v>
      </c>
      <c r="BX60" s="330">
        <v>0</v>
      </c>
      <c r="BY60" s="330">
        <v>0</v>
      </c>
      <c r="BZ60" s="330">
        <v>0</v>
      </c>
      <c r="CA60" s="330">
        <v>0</v>
      </c>
      <c r="CB60" s="330">
        <v>0</v>
      </c>
      <c r="CC60" s="330">
        <v>0</v>
      </c>
      <c r="CD60" s="330">
        <v>0</v>
      </c>
      <c r="CE60" s="331">
        <v>0</v>
      </c>
      <c r="CF60" s="2"/>
      <c r="CG60" s="327">
        <v>8</v>
      </c>
      <c r="CH60" s="323">
        <v>8</v>
      </c>
      <c r="CI60" s="323">
        <v>7</v>
      </c>
      <c r="CJ60" s="323">
        <v>7</v>
      </c>
      <c r="CK60" s="323">
        <v>0</v>
      </c>
      <c r="CL60" s="323">
        <v>0</v>
      </c>
      <c r="CM60" s="323">
        <v>0</v>
      </c>
      <c r="CN60" s="323">
        <v>0</v>
      </c>
      <c r="CO60" s="323">
        <v>0</v>
      </c>
      <c r="CP60" s="323">
        <v>0</v>
      </c>
      <c r="CQ60" s="323">
        <v>0</v>
      </c>
      <c r="CR60" s="332">
        <v>0</v>
      </c>
      <c r="CS60" s="327">
        <v>0</v>
      </c>
      <c r="CT60" s="323">
        <v>0</v>
      </c>
      <c r="CU60" s="323">
        <v>0</v>
      </c>
      <c r="CV60" s="323">
        <v>0</v>
      </c>
      <c r="CW60" s="323">
        <v>0</v>
      </c>
      <c r="CX60" s="323">
        <v>0</v>
      </c>
      <c r="CY60" s="323">
        <v>0</v>
      </c>
      <c r="CZ60" s="323">
        <v>0</v>
      </c>
      <c r="DA60" s="323">
        <v>0</v>
      </c>
      <c r="DB60" s="323">
        <v>0</v>
      </c>
      <c r="DC60" s="323">
        <v>0</v>
      </c>
      <c r="DD60" s="328">
        <v>0</v>
      </c>
      <c r="DE60" s="4"/>
      <c r="DF60" s="416">
        <v>0</v>
      </c>
      <c r="DG60" s="417">
        <v>0</v>
      </c>
      <c r="DH60" s="417">
        <v>0</v>
      </c>
      <c r="DI60" s="417">
        <v>0</v>
      </c>
      <c r="DJ60" s="417">
        <v>0</v>
      </c>
      <c r="DK60" s="417">
        <v>0</v>
      </c>
      <c r="DL60" s="417">
        <v>0</v>
      </c>
      <c r="DM60" s="417">
        <v>0</v>
      </c>
      <c r="DN60" s="417">
        <v>0</v>
      </c>
      <c r="DO60" s="417">
        <v>0</v>
      </c>
      <c r="DP60" s="417">
        <v>0</v>
      </c>
      <c r="DQ60" s="417">
        <v>0</v>
      </c>
      <c r="DS60" s="327">
        <v>5</v>
      </c>
      <c r="DT60" s="323">
        <v>0</v>
      </c>
      <c r="DU60" s="323">
        <v>0</v>
      </c>
      <c r="DV60" s="323">
        <v>0</v>
      </c>
      <c r="DW60" s="323">
        <v>0</v>
      </c>
      <c r="DX60" s="323">
        <v>0</v>
      </c>
      <c r="DY60" s="323">
        <v>6</v>
      </c>
      <c r="DZ60" s="328">
        <v>11</v>
      </c>
      <c r="EA60" s="4"/>
      <c r="EB60" s="418" t="s">
        <v>207</v>
      </c>
      <c r="EC60" s="419" t="s">
        <v>406</v>
      </c>
      <c r="ED60" s="340" t="e">
        <v>#DIV/0!</v>
      </c>
      <c r="EE60" s="340" t="e">
        <v>#DIV/0!</v>
      </c>
      <c r="EF60" s="340" t="e">
        <v>#DIV/0!</v>
      </c>
      <c r="EG60" s="323">
        <v>0</v>
      </c>
      <c r="EH60" s="420"/>
      <c r="EI60" s="420">
        <v>0</v>
      </c>
      <c r="EJ60" s="421"/>
      <c r="EK60" s="323">
        <v>0</v>
      </c>
      <c r="EL60" s="323">
        <v>0</v>
      </c>
      <c r="EM60" s="323">
        <v>0</v>
      </c>
      <c r="EN60" s="323">
        <v>0</v>
      </c>
      <c r="EO60" s="323">
        <v>0</v>
      </c>
      <c r="EP60" s="323">
        <v>0</v>
      </c>
      <c r="EQ60" s="323">
        <v>0</v>
      </c>
      <c r="ER60" s="323">
        <v>0</v>
      </c>
      <c r="ES60" s="323">
        <v>0</v>
      </c>
      <c r="ET60" s="323">
        <v>0</v>
      </c>
      <c r="EU60" s="323">
        <v>0</v>
      </c>
      <c r="EV60" s="323">
        <v>0</v>
      </c>
      <c r="EW60" s="347" t="e">
        <v>#DIV/0!</v>
      </c>
      <c r="EX60" s="323">
        <v>0</v>
      </c>
      <c r="EY60" s="323">
        <v>0</v>
      </c>
      <c r="EZ60" s="323">
        <v>0</v>
      </c>
      <c r="FA60" s="323">
        <v>0</v>
      </c>
      <c r="FB60" s="323">
        <v>0</v>
      </c>
      <c r="FC60" s="323">
        <v>0</v>
      </c>
      <c r="FD60" s="323">
        <v>0</v>
      </c>
      <c r="FE60" s="323">
        <v>0</v>
      </c>
      <c r="FF60" s="323">
        <v>0</v>
      </c>
      <c r="FG60" s="323">
        <v>0</v>
      </c>
      <c r="FH60" s="323">
        <v>0</v>
      </c>
      <c r="FI60" s="323">
        <v>0</v>
      </c>
      <c r="FJ60" s="4"/>
      <c r="FK60" s="323">
        <v>0</v>
      </c>
      <c r="FL60" s="323">
        <v>0</v>
      </c>
      <c r="FM60" s="2"/>
      <c r="FN60" s="323">
        <v>0</v>
      </c>
      <c r="FO60" s="323">
        <v>0</v>
      </c>
      <c r="FP60" s="323">
        <v>0</v>
      </c>
      <c r="FR60" s="418" t="s">
        <v>207</v>
      </c>
      <c r="FS60" s="419" t="s">
        <v>406</v>
      </c>
      <c r="FT60" s="340">
        <v>0</v>
      </c>
      <c r="FU60" s="340">
        <v>0</v>
      </c>
      <c r="FV60" s="340">
        <v>0</v>
      </c>
      <c r="FW60" s="323">
        <v>0</v>
      </c>
      <c r="FX60" s="420"/>
      <c r="FY60" s="420">
        <v>0</v>
      </c>
      <c r="FZ60" s="421"/>
      <c r="GA60" s="323">
        <v>29</v>
      </c>
      <c r="GB60" s="323">
        <v>29</v>
      </c>
      <c r="GC60" s="323">
        <v>30</v>
      </c>
      <c r="GD60" s="323">
        <v>29</v>
      </c>
      <c r="GE60" s="323">
        <v>30</v>
      </c>
      <c r="GF60" s="323">
        <v>0</v>
      </c>
      <c r="GG60" s="323">
        <v>0</v>
      </c>
      <c r="GH60" s="323">
        <v>0</v>
      </c>
      <c r="GI60" s="323">
        <v>0</v>
      </c>
      <c r="GJ60" s="323">
        <v>0</v>
      </c>
      <c r="GK60" s="323">
        <v>0</v>
      </c>
      <c r="GL60" s="323">
        <v>0</v>
      </c>
      <c r="GM60" s="347">
        <v>29.4</v>
      </c>
      <c r="GN60" s="341">
        <v>30</v>
      </c>
      <c r="GO60" s="323">
        <v>0</v>
      </c>
      <c r="GP60" s="323">
        <v>0</v>
      </c>
      <c r="GQ60" s="323">
        <v>0</v>
      </c>
      <c r="GR60" s="323">
        <v>0</v>
      </c>
      <c r="GS60" s="323">
        <v>0</v>
      </c>
      <c r="GT60" s="323">
        <v>0</v>
      </c>
      <c r="GU60" s="323">
        <v>0</v>
      </c>
      <c r="GV60" s="323">
        <v>0</v>
      </c>
      <c r="GW60" s="323">
        <v>0</v>
      </c>
      <c r="GX60" s="323">
        <v>0</v>
      </c>
      <c r="GY60" s="323">
        <v>0</v>
      </c>
      <c r="GZ60" s="4"/>
      <c r="HA60" s="323">
        <v>30</v>
      </c>
      <c r="HB60" s="323">
        <v>0</v>
      </c>
      <c r="HC60" s="2"/>
      <c r="HD60" s="323">
        <v>0</v>
      </c>
      <c r="HE60" s="323">
        <v>0</v>
      </c>
      <c r="HF60" s="323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1</v>
      </c>
      <c r="HO60">
        <v>3.125E-2</v>
      </c>
      <c r="HP60">
        <v>3</v>
      </c>
      <c r="HQ60">
        <v>9.375E-2</v>
      </c>
      <c r="HR60">
        <v>8</v>
      </c>
      <c r="HS60">
        <v>0.25</v>
      </c>
      <c r="HT60">
        <v>24</v>
      </c>
      <c r="HU60">
        <v>0.75</v>
      </c>
      <c r="HV60">
        <v>32</v>
      </c>
    </row>
    <row r="61" spans="1:230" x14ac:dyDescent="0.25">
      <c r="A61" t="s">
        <v>406</v>
      </c>
      <c r="B61" s="4">
        <v>6897</v>
      </c>
      <c r="C61" s="444" t="s">
        <v>256</v>
      </c>
      <c r="D61" s="418" t="s">
        <v>207</v>
      </c>
      <c r="E61" s="419" t="s">
        <v>406</v>
      </c>
      <c r="F61" s="340">
        <v>0</v>
      </c>
      <c r="G61" s="340">
        <v>0</v>
      </c>
      <c r="H61" s="340">
        <v>0</v>
      </c>
      <c r="I61" s="323">
        <v>0</v>
      </c>
      <c r="J61" s="420"/>
      <c r="K61" s="478">
        <v>0</v>
      </c>
      <c r="L61" s="421"/>
      <c r="M61" s="323">
        <v>7</v>
      </c>
      <c r="N61" s="323">
        <v>7</v>
      </c>
      <c r="O61" s="323">
        <v>7</v>
      </c>
      <c r="P61" s="323">
        <v>8</v>
      </c>
      <c r="Q61" s="323">
        <v>8</v>
      </c>
      <c r="R61" s="323">
        <v>0</v>
      </c>
      <c r="S61" s="323">
        <v>0</v>
      </c>
      <c r="T61" s="323">
        <v>0</v>
      </c>
      <c r="U61" s="323">
        <v>0</v>
      </c>
      <c r="V61" s="323">
        <v>0</v>
      </c>
      <c r="W61" s="323">
        <v>0</v>
      </c>
      <c r="X61" s="323">
        <v>0</v>
      </c>
      <c r="Y61" s="347">
        <v>7.4</v>
      </c>
      <c r="Z61" s="323">
        <v>8</v>
      </c>
      <c r="AA61" s="323">
        <v>0</v>
      </c>
      <c r="AB61" s="323">
        <v>0</v>
      </c>
      <c r="AC61" s="323">
        <v>0</v>
      </c>
      <c r="AD61" s="323">
        <v>0</v>
      </c>
      <c r="AE61" s="323">
        <v>0</v>
      </c>
      <c r="AF61" s="323">
        <v>0</v>
      </c>
      <c r="AG61" s="323">
        <v>0</v>
      </c>
      <c r="AH61" s="323">
        <v>0</v>
      </c>
      <c r="AI61" s="323">
        <v>0</v>
      </c>
      <c r="AJ61" s="323">
        <v>0</v>
      </c>
      <c r="AK61" s="328">
        <v>0</v>
      </c>
      <c r="AL61" s="4" t="s">
        <v>207</v>
      </c>
      <c r="AM61" s="327">
        <v>8</v>
      </c>
      <c r="AN61" s="328">
        <v>0</v>
      </c>
      <c r="AO61" s="2"/>
      <c r="AP61" s="323">
        <v>0</v>
      </c>
      <c r="AQ61" s="323">
        <v>0</v>
      </c>
      <c r="AR61" s="323">
        <v>0</v>
      </c>
      <c r="AS61" s="2"/>
      <c r="AT61" s="323">
        <v>0</v>
      </c>
      <c r="AU61" s="323">
        <v>0</v>
      </c>
      <c r="AV61" s="323">
        <v>0</v>
      </c>
      <c r="AW61" s="323">
        <v>0</v>
      </c>
      <c r="AX61" s="323">
        <v>0</v>
      </c>
      <c r="AY61" s="323">
        <v>0</v>
      </c>
      <c r="AZ61" s="323">
        <v>0</v>
      </c>
      <c r="BA61" s="323">
        <v>0</v>
      </c>
      <c r="BB61" s="323">
        <v>0</v>
      </c>
      <c r="BC61" s="323">
        <v>0</v>
      </c>
      <c r="BD61" s="323">
        <v>0</v>
      </c>
      <c r="BE61" s="323">
        <v>0</v>
      </c>
      <c r="BF61" s="2" t="s">
        <v>406</v>
      </c>
      <c r="BG61" s="327">
        <v>0</v>
      </c>
      <c r="BH61" s="323">
        <v>0</v>
      </c>
      <c r="BI61" s="323">
        <v>0</v>
      </c>
      <c r="BJ61" s="323">
        <v>1</v>
      </c>
      <c r="BK61" s="323">
        <v>0</v>
      </c>
      <c r="BL61" s="323">
        <v>0</v>
      </c>
      <c r="BM61" s="323">
        <v>0</v>
      </c>
      <c r="BN61" s="323">
        <v>0</v>
      </c>
      <c r="BO61" s="323">
        <v>0</v>
      </c>
      <c r="BP61" s="323">
        <v>0</v>
      </c>
      <c r="BQ61" s="323">
        <v>0</v>
      </c>
      <c r="BR61" s="328">
        <v>0</v>
      </c>
      <c r="BS61" s="323">
        <v>1</v>
      </c>
      <c r="BT61" s="329">
        <v>0</v>
      </c>
      <c r="BU61" s="330">
        <v>0</v>
      </c>
      <c r="BV61" s="330">
        <v>0</v>
      </c>
      <c r="BW61" s="330">
        <v>0</v>
      </c>
      <c r="BX61" s="330">
        <v>0</v>
      </c>
      <c r="BY61" s="330">
        <v>0</v>
      </c>
      <c r="BZ61" s="330">
        <v>0</v>
      </c>
      <c r="CA61" s="330">
        <v>0</v>
      </c>
      <c r="CB61" s="330">
        <v>0</v>
      </c>
      <c r="CC61" s="330">
        <v>0</v>
      </c>
      <c r="CD61" s="330">
        <v>0</v>
      </c>
      <c r="CE61" s="331">
        <v>0</v>
      </c>
      <c r="CF61" s="2"/>
      <c r="CG61" s="327">
        <v>0</v>
      </c>
      <c r="CH61" s="323">
        <v>1</v>
      </c>
      <c r="CI61" s="323">
        <v>1</v>
      </c>
      <c r="CJ61" s="323">
        <v>1</v>
      </c>
      <c r="CK61" s="323">
        <v>0</v>
      </c>
      <c r="CL61" s="323">
        <v>0</v>
      </c>
      <c r="CM61" s="323">
        <v>0</v>
      </c>
      <c r="CN61" s="323">
        <v>0</v>
      </c>
      <c r="CO61" s="323">
        <v>0</v>
      </c>
      <c r="CP61" s="323">
        <v>0</v>
      </c>
      <c r="CQ61" s="323">
        <v>0</v>
      </c>
      <c r="CR61" s="332">
        <v>0</v>
      </c>
      <c r="CS61" s="327">
        <v>0</v>
      </c>
      <c r="CT61" s="323">
        <v>0</v>
      </c>
      <c r="CU61" s="323">
        <v>0</v>
      </c>
      <c r="CV61" s="323">
        <v>0</v>
      </c>
      <c r="CW61" s="323">
        <v>0</v>
      </c>
      <c r="CX61" s="323">
        <v>0</v>
      </c>
      <c r="CY61" s="323">
        <v>0</v>
      </c>
      <c r="CZ61" s="323">
        <v>0</v>
      </c>
      <c r="DA61" s="323">
        <v>0</v>
      </c>
      <c r="DB61" s="323">
        <v>0</v>
      </c>
      <c r="DC61" s="323">
        <v>0</v>
      </c>
      <c r="DD61" s="328">
        <v>0</v>
      </c>
      <c r="DE61" s="4"/>
      <c r="DF61" s="416" t="s">
        <v>130</v>
      </c>
      <c r="DG61" s="417">
        <v>0</v>
      </c>
      <c r="DH61" s="417">
        <v>0</v>
      </c>
      <c r="DI61" s="417">
        <v>0</v>
      </c>
      <c r="DJ61" s="417">
        <v>0</v>
      </c>
      <c r="DK61" s="417">
        <v>0</v>
      </c>
      <c r="DL61" s="417">
        <v>0</v>
      </c>
      <c r="DM61" s="417">
        <v>0</v>
      </c>
      <c r="DN61" s="417">
        <v>0</v>
      </c>
      <c r="DO61" s="417">
        <v>0</v>
      </c>
      <c r="DP61" s="417">
        <v>0</v>
      </c>
      <c r="DQ61" s="417">
        <v>0</v>
      </c>
      <c r="DS61" s="327">
        <v>0</v>
      </c>
      <c r="DT61" s="323">
        <v>0</v>
      </c>
      <c r="DU61" s="323">
        <v>0</v>
      </c>
      <c r="DV61" s="323">
        <v>0</v>
      </c>
      <c r="DW61" s="323">
        <v>0</v>
      </c>
      <c r="DX61" s="323">
        <v>0</v>
      </c>
      <c r="DY61" s="323">
        <v>1</v>
      </c>
      <c r="DZ61" s="328">
        <v>1</v>
      </c>
      <c r="EA61" s="4"/>
      <c r="EB61" s="418" t="s">
        <v>207</v>
      </c>
      <c r="EC61" s="419" t="s">
        <v>408</v>
      </c>
      <c r="ED61" s="340" t="e">
        <v>#DIV/0!</v>
      </c>
      <c r="EE61" s="340" t="e">
        <v>#DIV/0!</v>
      </c>
      <c r="EF61" s="340" t="e">
        <v>#DIV/0!</v>
      </c>
      <c r="EG61" s="323">
        <v>0</v>
      </c>
      <c r="EH61" s="420"/>
      <c r="EI61" s="420">
        <v>0</v>
      </c>
      <c r="EJ61" s="421"/>
      <c r="EK61" s="323">
        <v>0</v>
      </c>
      <c r="EL61" s="323">
        <v>0</v>
      </c>
      <c r="EM61" s="323">
        <v>0</v>
      </c>
      <c r="EN61" s="323">
        <v>0</v>
      </c>
      <c r="EO61" s="323">
        <v>0</v>
      </c>
      <c r="EP61" s="323">
        <v>0</v>
      </c>
      <c r="EQ61" s="323">
        <v>0</v>
      </c>
      <c r="ER61" s="323">
        <v>0</v>
      </c>
      <c r="ES61" s="323">
        <v>0</v>
      </c>
      <c r="ET61" s="323">
        <v>0</v>
      </c>
      <c r="EU61" s="323">
        <v>0</v>
      </c>
      <c r="EV61" s="323">
        <v>0</v>
      </c>
      <c r="EW61" s="347" t="e">
        <v>#DIV/0!</v>
      </c>
      <c r="EX61" s="323">
        <v>0</v>
      </c>
      <c r="EY61" s="323">
        <v>0</v>
      </c>
      <c r="EZ61" s="323">
        <v>0</v>
      </c>
      <c r="FA61" s="323">
        <v>0</v>
      </c>
      <c r="FB61" s="323">
        <v>0</v>
      </c>
      <c r="FC61" s="323">
        <v>0</v>
      </c>
      <c r="FD61" s="323">
        <v>0</v>
      </c>
      <c r="FE61" s="323">
        <v>0</v>
      </c>
      <c r="FF61" s="323">
        <v>0</v>
      </c>
      <c r="FG61" s="323">
        <v>0</v>
      </c>
      <c r="FH61" s="323">
        <v>0</v>
      </c>
      <c r="FI61" s="323">
        <v>0</v>
      </c>
      <c r="FJ61" s="4"/>
      <c r="FK61" s="323">
        <v>0</v>
      </c>
      <c r="FL61" s="323">
        <v>0</v>
      </c>
      <c r="FM61" s="2"/>
      <c r="FN61" s="323">
        <v>0</v>
      </c>
      <c r="FO61" s="323">
        <v>0</v>
      </c>
      <c r="FP61" s="323">
        <v>0</v>
      </c>
      <c r="FR61" s="418" t="s">
        <v>207</v>
      </c>
      <c r="FS61" s="419" t="s">
        <v>408</v>
      </c>
      <c r="FT61" s="340">
        <v>0</v>
      </c>
      <c r="FU61" s="340">
        <v>0</v>
      </c>
      <c r="FV61" s="340">
        <v>0</v>
      </c>
      <c r="FW61" s="323">
        <v>0</v>
      </c>
      <c r="FX61" s="420"/>
      <c r="FY61" s="420">
        <v>0</v>
      </c>
      <c r="FZ61" s="421"/>
      <c r="GA61" s="323">
        <v>7</v>
      </c>
      <c r="GB61" s="323">
        <v>7</v>
      </c>
      <c r="GC61" s="323">
        <v>7</v>
      </c>
      <c r="GD61" s="323">
        <v>8</v>
      </c>
      <c r="GE61" s="323">
        <v>8</v>
      </c>
      <c r="GF61" s="323">
        <v>0</v>
      </c>
      <c r="GG61" s="323">
        <v>0</v>
      </c>
      <c r="GH61" s="323">
        <v>0</v>
      </c>
      <c r="GI61" s="323">
        <v>0</v>
      </c>
      <c r="GJ61" s="323">
        <v>0</v>
      </c>
      <c r="GK61" s="323">
        <v>0</v>
      </c>
      <c r="GL61" s="323">
        <v>0</v>
      </c>
      <c r="GM61" s="347">
        <v>7.4</v>
      </c>
      <c r="GN61" s="341">
        <v>8</v>
      </c>
      <c r="GO61" s="323">
        <v>0</v>
      </c>
      <c r="GP61" s="323">
        <v>0</v>
      </c>
      <c r="GQ61" s="323">
        <v>0</v>
      </c>
      <c r="GR61" s="323">
        <v>0</v>
      </c>
      <c r="GS61" s="323">
        <v>0</v>
      </c>
      <c r="GT61" s="323">
        <v>0</v>
      </c>
      <c r="GU61" s="323">
        <v>0</v>
      </c>
      <c r="GV61" s="323">
        <v>0</v>
      </c>
      <c r="GW61" s="323">
        <v>0</v>
      </c>
      <c r="GX61" s="323">
        <v>0</v>
      </c>
      <c r="GY61" s="323">
        <v>0</v>
      </c>
      <c r="GZ61" s="4"/>
      <c r="HA61" s="323">
        <v>8</v>
      </c>
      <c r="HB61" s="323">
        <v>0</v>
      </c>
      <c r="HC61" s="2"/>
      <c r="HD61" s="323">
        <v>0</v>
      </c>
      <c r="HE61" s="323">
        <v>0</v>
      </c>
      <c r="HF61" s="323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8</v>
      </c>
      <c r="HU61">
        <v>1</v>
      </c>
      <c r="HV61">
        <v>8</v>
      </c>
    </row>
    <row r="62" spans="1:230" x14ac:dyDescent="0.25">
      <c r="A62" t="s">
        <v>546</v>
      </c>
      <c r="B62" s="4">
        <v>3085</v>
      </c>
      <c r="C62" s="444" t="s">
        <v>325</v>
      </c>
      <c r="D62" s="418" t="s">
        <v>208</v>
      </c>
      <c r="E62" s="419" t="s">
        <v>546</v>
      </c>
      <c r="F62" s="340">
        <v>1.7735665694849367</v>
      </c>
      <c r="G62" s="340">
        <v>0.7142857142857143</v>
      </c>
      <c r="H62" s="340">
        <v>0.35714285714285715</v>
      </c>
      <c r="I62" s="323">
        <v>2</v>
      </c>
      <c r="J62" s="420"/>
      <c r="K62" s="478">
        <v>4.9659863945578229</v>
      </c>
      <c r="L62" s="421"/>
      <c r="M62" s="323">
        <v>3</v>
      </c>
      <c r="N62" s="323">
        <v>2</v>
      </c>
      <c r="O62" s="323">
        <v>2</v>
      </c>
      <c r="P62" s="323">
        <v>3</v>
      </c>
      <c r="Q62" s="323">
        <v>4</v>
      </c>
      <c r="R62" s="323">
        <v>0</v>
      </c>
      <c r="S62" s="323">
        <v>0</v>
      </c>
      <c r="T62" s="323">
        <v>0</v>
      </c>
      <c r="U62" s="323">
        <v>0</v>
      </c>
      <c r="V62" s="323">
        <v>0</v>
      </c>
      <c r="W62" s="323">
        <v>0</v>
      </c>
      <c r="X62" s="323">
        <v>0</v>
      </c>
      <c r="Y62" s="347">
        <v>2.8</v>
      </c>
      <c r="Z62" s="323">
        <v>4</v>
      </c>
      <c r="AA62" s="323">
        <v>0</v>
      </c>
      <c r="AB62" s="323">
        <v>2</v>
      </c>
      <c r="AC62" s="323">
        <v>0</v>
      </c>
      <c r="AD62" s="323">
        <v>0</v>
      </c>
      <c r="AE62" s="323">
        <v>0</v>
      </c>
      <c r="AF62" s="323">
        <v>0</v>
      </c>
      <c r="AG62" s="323">
        <v>0</v>
      </c>
      <c r="AH62" s="323">
        <v>0</v>
      </c>
      <c r="AI62" s="323">
        <v>0</v>
      </c>
      <c r="AJ62" s="323">
        <v>2</v>
      </c>
      <c r="AK62" s="328">
        <v>1</v>
      </c>
      <c r="AL62" s="4" t="s">
        <v>207</v>
      </c>
      <c r="AM62" s="327">
        <v>4</v>
      </c>
      <c r="AN62" s="328">
        <v>0</v>
      </c>
      <c r="AO62" s="2"/>
      <c r="AP62" s="323">
        <v>2</v>
      </c>
      <c r="AQ62" s="323">
        <v>0</v>
      </c>
      <c r="AR62" s="323">
        <v>0</v>
      </c>
      <c r="AS62" s="2"/>
      <c r="AT62" s="323">
        <v>0</v>
      </c>
      <c r="AU62" s="323">
        <v>1</v>
      </c>
      <c r="AV62" s="323">
        <v>0</v>
      </c>
      <c r="AW62" s="323">
        <v>0</v>
      </c>
      <c r="AX62" s="323">
        <v>1</v>
      </c>
      <c r="AY62" s="323">
        <v>0</v>
      </c>
      <c r="AZ62" s="323">
        <v>0</v>
      </c>
      <c r="BA62" s="323">
        <v>0</v>
      </c>
      <c r="BB62" s="323">
        <v>0</v>
      </c>
      <c r="BC62" s="323">
        <v>0</v>
      </c>
      <c r="BD62" s="323">
        <v>0</v>
      </c>
      <c r="BE62" s="323">
        <v>0</v>
      </c>
      <c r="BF62" s="2" t="s">
        <v>546</v>
      </c>
      <c r="BG62" s="327">
        <v>0</v>
      </c>
      <c r="BH62" s="323">
        <v>0</v>
      </c>
      <c r="BI62" s="323">
        <v>0</v>
      </c>
      <c r="BJ62" s="323">
        <v>0</v>
      </c>
      <c r="BK62" s="323">
        <v>0</v>
      </c>
      <c r="BL62" s="323">
        <v>0</v>
      </c>
      <c r="BM62" s="323">
        <v>0</v>
      </c>
      <c r="BN62" s="323">
        <v>0</v>
      </c>
      <c r="BO62" s="323">
        <v>0</v>
      </c>
      <c r="BP62" s="323">
        <v>0</v>
      </c>
      <c r="BQ62" s="323">
        <v>0</v>
      </c>
      <c r="BR62" s="328">
        <v>0</v>
      </c>
      <c r="BS62" s="323">
        <v>0</v>
      </c>
      <c r="BT62" s="329">
        <v>0</v>
      </c>
      <c r="BU62" s="330">
        <v>2.6071428571428572</v>
      </c>
      <c r="BV62" s="330">
        <v>1.7189952904238617</v>
      </c>
      <c r="BW62" s="330">
        <v>1.2268907563025211</v>
      </c>
      <c r="BX62" s="330">
        <v>1.773566569484937</v>
      </c>
      <c r="BY62" s="330">
        <v>1.7189952904238617</v>
      </c>
      <c r="BZ62" s="330">
        <v>1.7380952380952381</v>
      </c>
      <c r="CA62" s="330">
        <v>1.752701080432173</v>
      </c>
      <c r="CB62" s="330">
        <v>1.7472527472527473</v>
      </c>
      <c r="CC62" s="330">
        <v>1.760797342192691</v>
      </c>
      <c r="CD62" s="330">
        <v>1.7720364741641337</v>
      </c>
      <c r="CE62" s="331">
        <v>1.7142857142857142</v>
      </c>
      <c r="CF62" s="2"/>
      <c r="CG62" s="327">
        <v>5</v>
      </c>
      <c r="CH62" s="323">
        <v>5</v>
      </c>
      <c r="CI62" s="323">
        <v>2</v>
      </c>
      <c r="CJ62" s="323">
        <v>2</v>
      </c>
      <c r="CK62" s="323">
        <v>0</v>
      </c>
      <c r="CL62" s="323">
        <v>0</v>
      </c>
      <c r="CM62" s="323">
        <v>0</v>
      </c>
      <c r="CN62" s="323">
        <v>0</v>
      </c>
      <c r="CO62" s="323">
        <v>0</v>
      </c>
      <c r="CP62" s="323">
        <v>0</v>
      </c>
      <c r="CQ62" s="323">
        <v>0</v>
      </c>
      <c r="CR62" s="332">
        <v>0</v>
      </c>
      <c r="CS62" s="327">
        <v>0</v>
      </c>
      <c r="CT62" s="323">
        <v>0</v>
      </c>
      <c r="CU62" s="323">
        <v>0</v>
      </c>
      <c r="CV62" s="323">
        <v>0</v>
      </c>
      <c r="CW62" s="323">
        <v>0</v>
      </c>
      <c r="CX62" s="323">
        <v>0</v>
      </c>
      <c r="CY62" s="323">
        <v>0</v>
      </c>
      <c r="CZ62" s="323">
        <v>0</v>
      </c>
      <c r="DA62" s="323">
        <v>0</v>
      </c>
      <c r="DB62" s="323">
        <v>0</v>
      </c>
      <c r="DC62" s="323">
        <v>0</v>
      </c>
      <c r="DD62" s="328">
        <v>0</v>
      </c>
      <c r="DE62" s="4"/>
      <c r="DF62" s="416">
        <v>0</v>
      </c>
      <c r="DG62" s="417">
        <v>0</v>
      </c>
      <c r="DH62" s="417">
        <v>0</v>
      </c>
      <c r="DI62" s="417">
        <v>0</v>
      </c>
      <c r="DJ62" s="417">
        <v>0</v>
      </c>
      <c r="DK62" s="417">
        <v>0</v>
      </c>
      <c r="DL62" s="417">
        <v>0</v>
      </c>
      <c r="DM62" s="417">
        <v>0</v>
      </c>
      <c r="DN62" s="417">
        <v>0</v>
      </c>
      <c r="DO62" s="417">
        <v>0</v>
      </c>
      <c r="DP62" s="417">
        <v>0</v>
      </c>
      <c r="DQ62" s="417">
        <v>0</v>
      </c>
      <c r="DS62" s="327">
        <v>0</v>
      </c>
      <c r="DT62" s="323">
        <v>0</v>
      </c>
      <c r="DU62" s="323">
        <v>0</v>
      </c>
      <c r="DV62" s="323">
        <v>0</v>
      </c>
      <c r="DW62" s="323">
        <v>0</v>
      </c>
      <c r="DX62" s="323">
        <v>0</v>
      </c>
      <c r="DY62" s="323">
        <v>0</v>
      </c>
      <c r="DZ62" s="328">
        <v>0</v>
      </c>
      <c r="EA62" s="4"/>
      <c r="EB62" s="418" t="s">
        <v>207</v>
      </c>
      <c r="EC62" s="419" t="s">
        <v>439</v>
      </c>
      <c r="ED62" s="340">
        <v>1.7735665694849367</v>
      </c>
      <c r="EE62" s="340">
        <v>0.7142857142857143</v>
      </c>
      <c r="EF62" s="340">
        <v>0.35714285714285715</v>
      </c>
      <c r="EG62" s="323">
        <v>2</v>
      </c>
      <c r="EH62" s="420"/>
      <c r="EI62" s="420">
        <v>4.9659863945578229</v>
      </c>
      <c r="EJ62" s="421"/>
      <c r="EK62" s="323">
        <v>3</v>
      </c>
      <c r="EL62" s="323">
        <v>2</v>
      </c>
      <c r="EM62" s="323">
        <v>2</v>
      </c>
      <c r="EN62" s="323">
        <v>3</v>
      </c>
      <c r="EO62" s="323">
        <v>4</v>
      </c>
      <c r="EP62" s="323">
        <v>0</v>
      </c>
      <c r="EQ62" s="323">
        <v>0</v>
      </c>
      <c r="ER62" s="323">
        <v>0</v>
      </c>
      <c r="ES62" s="323">
        <v>0</v>
      </c>
      <c r="ET62" s="323">
        <v>0</v>
      </c>
      <c r="EU62" s="323">
        <v>0</v>
      </c>
      <c r="EV62" s="323">
        <v>0</v>
      </c>
      <c r="EW62" s="347">
        <v>2.8</v>
      </c>
      <c r="EX62" s="323">
        <v>4</v>
      </c>
      <c r="EY62" s="323">
        <v>0</v>
      </c>
      <c r="EZ62" s="323">
        <v>2</v>
      </c>
      <c r="FA62" s="323">
        <v>0</v>
      </c>
      <c r="FB62" s="323">
        <v>0</v>
      </c>
      <c r="FC62" s="323">
        <v>0</v>
      </c>
      <c r="FD62" s="323">
        <v>0</v>
      </c>
      <c r="FE62" s="323">
        <v>0</v>
      </c>
      <c r="FF62" s="323">
        <v>0</v>
      </c>
      <c r="FG62" s="323">
        <v>0</v>
      </c>
      <c r="FH62" s="323">
        <v>2</v>
      </c>
      <c r="FI62" s="323">
        <v>1</v>
      </c>
      <c r="FJ62" s="4"/>
      <c r="FK62" s="323">
        <v>4</v>
      </c>
      <c r="FL62" s="323">
        <v>0</v>
      </c>
      <c r="FM62" s="2"/>
      <c r="FN62" s="323">
        <v>2</v>
      </c>
      <c r="FO62" s="323">
        <v>0</v>
      </c>
      <c r="FP62" s="323">
        <v>0</v>
      </c>
      <c r="FR62" s="418" t="s">
        <v>207</v>
      </c>
      <c r="FS62" s="419" t="s">
        <v>439</v>
      </c>
      <c r="FT62" s="340" t="e">
        <v>#DIV/0!</v>
      </c>
      <c r="FU62" s="340" t="e">
        <v>#DIV/0!</v>
      </c>
      <c r="FV62" s="340" t="e">
        <v>#DIV/0!</v>
      </c>
      <c r="FW62" s="323">
        <v>0</v>
      </c>
      <c r="FX62" s="420"/>
      <c r="FY62" s="420">
        <v>0</v>
      </c>
      <c r="FZ62" s="421"/>
      <c r="GA62" s="323">
        <v>0</v>
      </c>
      <c r="GB62" s="323">
        <v>0</v>
      </c>
      <c r="GC62" s="323">
        <v>0</v>
      </c>
      <c r="GD62" s="323">
        <v>0</v>
      </c>
      <c r="GE62" s="323">
        <v>0</v>
      </c>
      <c r="GF62" s="323">
        <v>0</v>
      </c>
      <c r="GG62" s="323">
        <v>0</v>
      </c>
      <c r="GH62" s="323">
        <v>0</v>
      </c>
      <c r="GI62" s="323">
        <v>0</v>
      </c>
      <c r="GJ62" s="323">
        <v>0</v>
      </c>
      <c r="GK62" s="323">
        <v>0</v>
      </c>
      <c r="GL62" s="323">
        <v>0</v>
      </c>
      <c r="GM62" s="347" t="e">
        <v>#DIV/0!</v>
      </c>
      <c r="GN62" s="341">
        <v>0</v>
      </c>
      <c r="GO62" s="323">
        <v>0</v>
      </c>
      <c r="GP62" s="323">
        <v>0</v>
      </c>
      <c r="GQ62" s="323">
        <v>0</v>
      </c>
      <c r="GR62" s="323">
        <v>0</v>
      </c>
      <c r="GS62" s="323">
        <v>0</v>
      </c>
      <c r="GT62" s="323">
        <v>0</v>
      </c>
      <c r="GU62" s="323">
        <v>0</v>
      </c>
      <c r="GV62" s="323">
        <v>0</v>
      </c>
      <c r="GW62" s="323">
        <v>0</v>
      </c>
      <c r="GX62" s="323">
        <v>0</v>
      </c>
      <c r="GY62" s="323">
        <v>0</v>
      </c>
      <c r="GZ62" s="4"/>
      <c r="HA62" s="323">
        <v>0</v>
      </c>
      <c r="HB62" s="323">
        <v>0</v>
      </c>
      <c r="HC62" s="2"/>
      <c r="HD62" s="323">
        <v>0</v>
      </c>
      <c r="HE62" s="323">
        <v>0</v>
      </c>
      <c r="HF62" s="323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5</v>
      </c>
      <c r="HS62">
        <v>0.26315789473684209</v>
      </c>
      <c r="HT62">
        <v>14</v>
      </c>
      <c r="HU62">
        <v>0.73684210526315785</v>
      </c>
      <c r="HV62">
        <v>19</v>
      </c>
    </row>
    <row r="63" spans="1:230" x14ac:dyDescent="0.25">
      <c r="A63" t="s">
        <v>547</v>
      </c>
      <c r="B63" s="4">
        <v>6907</v>
      </c>
      <c r="C63" s="444" t="s">
        <v>252</v>
      </c>
      <c r="D63" s="418" t="s">
        <v>207</v>
      </c>
      <c r="E63" s="419" t="s">
        <v>547</v>
      </c>
      <c r="F63" s="340">
        <v>0</v>
      </c>
      <c r="G63" s="340">
        <v>0</v>
      </c>
      <c r="H63" s="340">
        <v>0</v>
      </c>
      <c r="I63" s="323">
        <v>0</v>
      </c>
      <c r="J63" s="420"/>
      <c r="K63" s="478">
        <v>0</v>
      </c>
      <c r="L63" s="421"/>
      <c r="M63" s="323">
        <v>9</v>
      </c>
      <c r="N63" s="323">
        <v>9</v>
      </c>
      <c r="O63" s="323">
        <v>9</v>
      </c>
      <c r="P63" s="323">
        <v>8</v>
      </c>
      <c r="Q63" s="323">
        <v>8</v>
      </c>
      <c r="R63" s="323">
        <v>0</v>
      </c>
      <c r="S63" s="323">
        <v>0</v>
      </c>
      <c r="T63" s="323">
        <v>0</v>
      </c>
      <c r="U63" s="323">
        <v>0</v>
      </c>
      <c r="V63" s="323">
        <v>0</v>
      </c>
      <c r="W63" s="323">
        <v>0</v>
      </c>
      <c r="X63" s="323">
        <v>0</v>
      </c>
      <c r="Y63" s="347">
        <v>8.6</v>
      </c>
      <c r="Z63" s="323">
        <v>8</v>
      </c>
      <c r="AA63" s="323">
        <v>0</v>
      </c>
      <c r="AB63" s="323">
        <v>0</v>
      </c>
      <c r="AC63" s="323">
        <v>0</v>
      </c>
      <c r="AD63" s="323">
        <v>0</v>
      </c>
      <c r="AE63" s="323">
        <v>0</v>
      </c>
      <c r="AF63" s="323">
        <v>0</v>
      </c>
      <c r="AG63" s="323">
        <v>0</v>
      </c>
      <c r="AH63" s="323">
        <v>0</v>
      </c>
      <c r="AI63" s="323">
        <v>0</v>
      </c>
      <c r="AJ63" s="323">
        <v>0</v>
      </c>
      <c r="AK63" s="328">
        <v>0</v>
      </c>
      <c r="AL63" s="4" t="s">
        <v>207</v>
      </c>
      <c r="AM63" s="327">
        <v>8</v>
      </c>
      <c r="AN63" s="328">
        <v>0</v>
      </c>
      <c r="AO63" s="2"/>
      <c r="AP63" s="323">
        <v>0</v>
      </c>
      <c r="AQ63" s="323">
        <v>0</v>
      </c>
      <c r="AR63" s="323">
        <v>0</v>
      </c>
      <c r="AS63" s="2"/>
      <c r="AT63" s="323">
        <v>0</v>
      </c>
      <c r="AU63" s="323">
        <v>0</v>
      </c>
      <c r="AV63" s="323">
        <v>0</v>
      </c>
      <c r="AW63" s="323">
        <v>0</v>
      </c>
      <c r="AX63" s="323">
        <v>0</v>
      </c>
      <c r="AY63" s="323">
        <v>0</v>
      </c>
      <c r="AZ63" s="323">
        <v>0</v>
      </c>
      <c r="BA63" s="323">
        <v>0</v>
      </c>
      <c r="BB63" s="323">
        <v>0</v>
      </c>
      <c r="BC63" s="323">
        <v>0</v>
      </c>
      <c r="BD63" s="323">
        <v>0</v>
      </c>
      <c r="BE63" s="323">
        <v>0</v>
      </c>
      <c r="BF63" s="2" t="s">
        <v>547</v>
      </c>
      <c r="BG63" s="327">
        <v>0</v>
      </c>
      <c r="BH63" s="323">
        <v>0</v>
      </c>
      <c r="BI63" s="323">
        <v>0</v>
      </c>
      <c r="BJ63" s="323">
        <v>0</v>
      </c>
      <c r="BK63" s="323">
        <v>1</v>
      </c>
      <c r="BL63" s="323">
        <v>0</v>
      </c>
      <c r="BM63" s="323">
        <v>0</v>
      </c>
      <c r="BN63" s="323">
        <v>0</v>
      </c>
      <c r="BO63" s="323">
        <v>0</v>
      </c>
      <c r="BP63" s="323">
        <v>0</v>
      </c>
      <c r="BQ63" s="323">
        <v>0</v>
      </c>
      <c r="BR63" s="328">
        <v>0</v>
      </c>
      <c r="BS63" s="323">
        <v>1</v>
      </c>
      <c r="BT63" s="329">
        <v>0</v>
      </c>
      <c r="BU63" s="330">
        <v>0</v>
      </c>
      <c r="BV63" s="330">
        <v>0</v>
      </c>
      <c r="BW63" s="330">
        <v>0</v>
      </c>
      <c r="BX63" s="330">
        <v>0</v>
      </c>
      <c r="BY63" s="330">
        <v>0</v>
      </c>
      <c r="BZ63" s="330">
        <v>0</v>
      </c>
      <c r="CA63" s="330">
        <v>0</v>
      </c>
      <c r="CB63" s="330">
        <v>0</v>
      </c>
      <c r="CC63" s="330">
        <v>0</v>
      </c>
      <c r="CD63" s="330">
        <v>0</v>
      </c>
      <c r="CE63" s="331">
        <v>0</v>
      </c>
      <c r="CF63" s="2"/>
      <c r="CG63" s="327">
        <v>1</v>
      </c>
      <c r="CH63" s="323">
        <v>1</v>
      </c>
      <c r="CI63" s="323">
        <v>1</v>
      </c>
      <c r="CJ63" s="323">
        <v>1</v>
      </c>
      <c r="CK63" s="323">
        <v>0</v>
      </c>
      <c r="CL63" s="323">
        <v>0</v>
      </c>
      <c r="CM63" s="323">
        <v>0</v>
      </c>
      <c r="CN63" s="323">
        <v>0</v>
      </c>
      <c r="CO63" s="323">
        <v>0</v>
      </c>
      <c r="CP63" s="323">
        <v>0</v>
      </c>
      <c r="CQ63" s="323">
        <v>0</v>
      </c>
      <c r="CR63" s="332">
        <v>0</v>
      </c>
      <c r="CS63" s="327">
        <v>0</v>
      </c>
      <c r="CT63" s="323">
        <v>0</v>
      </c>
      <c r="CU63" s="323">
        <v>0</v>
      </c>
      <c r="CV63" s="323">
        <v>0</v>
      </c>
      <c r="CW63" s="323">
        <v>0</v>
      </c>
      <c r="CX63" s="323">
        <v>0</v>
      </c>
      <c r="CY63" s="323">
        <v>0</v>
      </c>
      <c r="CZ63" s="323">
        <v>0</v>
      </c>
      <c r="DA63" s="323">
        <v>0</v>
      </c>
      <c r="DB63" s="323">
        <v>0</v>
      </c>
      <c r="DC63" s="323">
        <v>0</v>
      </c>
      <c r="DD63" s="328">
        <v>0</v>
      </c>
      <c r="DE63" s="4"/>
      <c r="DF63" s="416">
        <v>0</v>
      </c>
      <c r="DG63" s="417">
        <v>0</v>
      </c>
      <c r="DH63" s="417">
        <v>0</v>
      </c>
      <c r="DI63" s="417">
        <v>0</v>
      </c>
      <c r="DJ63" s="417">
        <v>0</v>
      </c>
      <c r="DK63" s="417">
        <v>0</v>
      </c>
      <c r="DL63" s="417">
        <v>0</v>
      </c>
      <c r="DM63" s="417">
        <v>0</v>
      </c>
      <c r="DN63" s="417">
        <v>0</v>
      </c>
      <c r="DO63" s="417">
        <v>0</v>
      </c>
      <c r="DP63" s="417">
        <v>0</v>
      </c>
      <c r="DQ63" s="417">
        <v>0</v>
      </c>
      <c r="DS63" s="327">
        <v>1</v>
      </c>
      <c r="DT63" s="323">
        <v>0</v>
      </c>
      <c r="DU63" s="323">
        <v>0</v>
      </c>
      <c r="DV63" s="323">
        <v>0</v>
      </c>
      <c r="DW63" s="323">
        <v>0</v>
      </c>
      <c r="DX63" s="323">
        <v>0</v>
      </c>
      <c r="DY63" s="323">
        <v>0</v>
      </c>
      <c r="DZ63" s="328">
        <v>1</v>
      </c>
      <c r="EA63" s="4"/>
      <c r="EB63" s="418" t="s">
        <v>207</v>
      </c>
      <c r="EC63" s="419" t="s">
        <v>410</v>
      </c>
      <c r="ED63" s="340" t="e">
        <v>#DIV/0!</v>
      </c>
      <c r="EE63" s="340" t="e">
        <v>#DIV/0!</v>
      </c>
      <c r="EF63" s="340" t="e">
        <v>#DIV/0!</v>
      </c>
      <c r="EG63" s="323">
        <v>0</v>
      </c>
      <c r="EH63" s="420"/>
      <c r="EI63" s="420">
        <v>0</v>
      </c>
      <c r="EJ63" s="421"/>
      <c r="EK63" s="323">
        <v>0</v>
      </c>
      <c r="EL63" s="323">
        <v>0</v>
      </c>
      <c r="EM63" s="323">
        <v>0</v>
      </c>
      <c r="EN63" s="323">
        <v>0</v>
      </c>
      <c r="EO63" s="323">
        <v>0</v>
      </c>
      <c r="EP63" s="323">
        <v>0</v>
      </c>
      <c r="EQ63" s="323">
        <v>0</v>
      </c>
      <c r="ER63" s="323">
        <v>0</v>
      </c>
      <c r="ES63" s="323">
        <v>0</v>
      </c>
      <c r="ET63" s="323">
        <v>0</v>
      </c>
      <c r="EU63" s="323">
        <v>0</v>
      </c>
      <c r="EV63" s="323">
        <v>0</v>
      </c>
      <c r="EW63" s="347" t="e">
        <v>#DIV/0!</v>
      </c>
      <c r="EX63" s="323">
        <v>0</v>
      </c>
      <c r="EY63" s="323">
        <v>0</v>
      </c>
      <c r="EZ63" s="323">
        <v>0</v>
      </c>
      <c r="FA63" s="323">
        <v>0</v>
      </c>
      <c r="FB63" s="323">
        <v>0</v>
      </c>
      <c r="FC63" s="323">
        <v>0</v>
      </c>
      <c r="FD63" s="323">
        <v>0</v>
      </c>
      <c r="FE63" s="323">
        <v>0</v>
      </c>
      <c r="FF63" s="323">
        <v>0</v>
      </c>
      <c r="FG63" s="323">
        <v>0</v>
      </c>
      <c r="FH63" s="323">
        <v>0</v>
      </c>
      <c r="FI63" s="323">
        <v>0</v>
      </c>
      <c r="FJ63" s="4"/>
      <c r="FK63" s="323">
        <v>0</v>
      </c>
      <c r="FL63" s="323">
        <v>0</v>
      </c>
      <c r="FM63" s="2"/>
      <c r="FN63" s="323">
        <v>0</v>
      </c>
      <c r="FO63" s="323">
        <v>0</v>
      </c>
      <c r="FP63" s="323">
        <v>0</v>
      </c>
      <c r="FR63" s="418" t="s">
        <v>207</v>
      </c>
      <c r="FS63" s="419" t="s">
        <v>410</v>
      </c>
      <c r="FT63" s="340">
        <v>0</v>
      </c>
      <c r="FU63" s="340">
        <v>0</v>
      </c>
      <c r="FV63" s="340">
        <v>0</v>
      </c>
      <c r="FW63" s="323">
        <v>0</v>
      </c>
      <c r="FX63" s="420"/>
      <c r="FY63" s="420">
        <v>0</v>
      </c>
      <c r="FZ63" s="421"/>
      <c r="GA63" s="323">
        <v>9</v>
      </c>
      <c r="GB63" s="323">
        <v>9</v>
      </c>
      <c r="GC63" s="323">
        <v>9</v>
      </c>
      <c r="GD63" s="323">
        <v>8</v>
      </c>
      <c r="GE63" s="323">
        <v>8</v>
      </c>
      <c r="GF63" s="323">
        <v>0</v>
      </c>
      <c r="GG63" s="323">
        <v>0</v>
      </c>
      <c r="GH63" s="323">
        <v>0</v>
      </c>
      <c r="GI63" s="323">
        <v>0</v>
      </c>
      <c r="GJ63" s="323">
        <v>0</v>
      </c>
      <c r="GK63" s="323">
        <v>0</v>
      </c>
      <c r="GL63" s="323">
        <v>0</v>
      </c>
      <c r="GM63" s="347">
        <v>8.6</v>
      </c>
      <c r="GN63" s="341">
        <v>8</v>
      </c>
      <c r="GO63" s="323">
        <v>0</v>
      </c>
      <c r="GP63" s="323">
        <v>0</v>
      </c>
      <c r="GQ63" s="323">
        <v>0</v>
      </c>
      <c r="GR63" s="323">
        <v>0</v>
      </c>
      <c r="GS63" s="323">
        <v>0</v>
      </c>
      <c r="GT63" s="323">
        <v>0</v>
      </c>
      <c r="GU63" s="323">
        <v>0</v>
      </c>
      <c r="GV63" s="323">
        <v>0</v>
      </c>
      <c r="GW63" s="323">
        <v>0</v>
      </c>
      <c r="GX63" s="323">
        <v>0</v>
      </c>
      <c r="GY63" s="323">
        <v>0</v>
      </c>
      <c r="GZ63" s="4"/>
      <c r="HA63" s="323">
        <v>8</v>
      </c>
      <c r="HB63" s="323">
        <v>0</v>
      </c>
      <c r="HC63" s="2"/>
      <c r="HD63" s="323">
        <v>0</v>
      </c>
      <c r="HE63" s="323">
        <v>0</v>
      </c>
      <c r="HF63" s="323">
        <v>0</v>
      </c>
      <c r="HH63">
        <v>0</v>
      </c>
      <c r="HI63">
        <v>0</v>
      </c>
      <c r="HJ63">
        <v>0</v>
      </c>
      <c r="HK63">
        <v>0</v>
      </c>
      <c r="HL63">
        <v>1</v>
      </c>
      <c r="HM63">
        <v>0.1</v>
      </c>
      <c r="HN63">
        <v>1</v>
      </c>
      <c r="HO63">
        <v>0.1</v>
      </c>
      <c r="HP63">
        <v>1</v>
      </c>
      <c r="HQ63">
        <v>0.1</v>
      </c>
      <c r="HR63">
        <v>1</v>
      </c>
      <c r="HS63">
        <v>0.1</v>
      </c>
      <c r="HT63">
        <v>9</v>
      </c>
      <c r="HU63">
        <v>0.9</v>
      </c>
      <c r="HV63">
        <v>10</v>
      </c>
    </row>
    <row r="64" spans="1:230" x14ac:dyDescent="0.25">
      <c r="A64" t="s">
        <v>548</v>
      </c>
      <c r="B64" s="4">
        <v>6908</v>
      </c>
      <c r="C64" s="444" t="s">
        <v>271</v>
      </c>
      <c r="D64" s="418" t="s">
        <v>207</v>
      </c>
      <c r="E64" s="419" t="s">
        <v>548</v>
      </c>
      <c r="F64" s="340">
        <v>0</v>
      </c>
      <c r="G64" s="340">
        <v>0</v>
      </c>
      <c r="H64" s="340">
        <v>0</v>
      </c>
      <c r="I64" s="323">
        <v>0</v>
      </c>
      <c r="J64" s="420"/>
      <c r="K64" s="478">
        <v>0</v>
      </c>
      <c r="L64" s="421"/>
      <c r="M64" s="323">
        <v>10</v>
      </c>
      <c r="N64" s="323">
        <v>10</v>
      </c>
      <c r="O64" s="323">
        <v>10</v>
      </c>
      <c r="P64" s="323">
        <v>10</v>
      </c>
      <c r="Q64" s="323">
        <v>10</v>
      </c>
      <c r="R64" s="323">
        <v>0</v>
      </c>
      <c r="S64" s="323">
        <v>0</v>
      </c>
      <c r="T64" s="323">
        <v>0</v>
      </c>
      <c r="U64" s="323">
        <v>0</v>
      </c>
      <c r="V64" s="323">
        <v>0</v>
      </c>
      <c r="W64" s="323">
        <v>0</v>
      </c>
      <c r="X64" s="323">
        <v>0</v>
      </c>
      <c r="Y64" s="347">
        <v>10</v>
      </c>
      <c r="Z64" s="323">
        <v>10</v>
      </c>
      <c r="AA64" s="323">
        <v>0</v>
      </c>
      <c r="AB64" s="323">
        <v>0</v>
      </c>
      <c r="AC64" s="323">
        <v>0</v>
      </c>
      <c r="AD64" s="323">
        <v>0</v>
      </c>
      <c r="AE64" s="323">
        <v>0</v>
      </c>
      <c r="AF64" s="323">
        <v>0</v>
      </c>
      <c r="AG64" s="323">
        <v>0</v>
      </c>
      <c r="AH64" s="323">
        <v>0</v>
      </c>
      <c r="AI64" s="323">
        <v>0</v>
      </c>
      <c r="AJ64" s="323">
        <v>0</v>
      </c>
      <c r="AK64" s="328">
        <v>0</v>
      </c>
      <c r="AL64" s="4" t="s">
        <v>207</v>
      </c>
      <c r="AM64" s="327">
        <v>9</v>
      </c>
      <c r="AN64" s="328">
        <v>1</v>
      </c>
      <c r="AO64" s="2"/>
      <c r="AP64" s="323">
        <v>0</v>
      </c>
      <c r="AQ64" s="323">
        <v>0</v>
      </c>
      <c r="AR64" s="323">
        <v>0</v>
      </c>
      <c r="AS64" s="2"/>
      <c r="AT64" s="323">
        <v>0</v>
      </c>
      <c r="AU64" s="323">
        <v>0</v>
      </c>
      <c r="AV64" s="323">
        <v>0</v>
      </c>
      <c r="AW64" s="323">
        <v>0</v>
      </c>
      <c r="AX64" s="323">
        <v>0</v>
      </c>
      <c r="AY64" s="323">
        <v>0</v>
      </c>
      <c r="AZ64" s="323">
        <v>0</v>
      </c>
      <c r="BA64" s="323">
        <v>0</v>
      </c>
      <c r="BB64" s="323">
        <v>0</v>
      </c>
      <c r="BC64" s="323">
        <v>0</v>
      </c>
      <c r="BD64" s="323">
        <v>0</v>
      </c>
      <c r="BE64" s="323">
        <v>0</v>
      </c>
      <c r="BF64" s="2" t="s">
        <v>548</v>
      </c>
      <c r="BG64" s="327">
        <v>0</v>
      </c>
      <c r="BH64" s="323">
        <v>0</v>
      </c>
      <c r="BI64" s="323">
        <v>0</v>
      </c>
      <c r="BJ64" s="323">
        <v>0</v>
      </c>
      <c r="BK64" s="323">
        <v>0</v>
      </c>
      <c r="BL64" s="323">
        <v>0</v>
      </c>
      <c r="BM64" s="323">
        <v>0</v>
      </c>
      <c r="BN64" s="323">
        <v>0</v>
      </c>
      <c r="BO64" s="323">
        <v>0</v>
      </c>
      <c r="BP64" s="323">
        <v>0</v>
      </c>
      <c r="BQ64" s="323">
        <v>0</v>
      </c>
      <c r="BR64" s="328">
        <v>0</v>
      </c>
      <c r="BS64" s="323">
        <v>0</v>
      </c>
      <c r="BT64" s="329">
        <v>0</v>
      </c>
      <c r="BU64" s="330">
        <v>0</v>
      </c>
      <c r="BV64" s="330">
        <v>0</v>
      </c>
      <c r="BW64" s="330">
        <v>0</v>
      </c>
      <c r="BX64" s="330">
        <v>0</v>
      </c>
      <c r="BY64" s="330">
        <v>0</v>
      </c>
      <c r="BZ64" s="330">
        <v>0</v>
      </c>
      <c r="CA64" s="330">
        <v>0</v>
      </c>
      <c r="CB64" s="330">
        <v>0</v>
      </c>
      <c r="CC64" s="330">
        <v>0</v>
      </c>
      <c r="CD64" s="330">
        <v>0</v>
      </c>
      <c r="CE64" s="331">
        <v>0</v>
      </c>
      <c r="CF64" s="2"/>
      <c r="CG64" s="327">
        <v>0</v>
      </c>
      <c r="CH64" s="323">
        <v>0</v>
      </c>
      <c r="CI64" s="323">
        <v>0</v>
      </c>
      <c r="CJ64" s="323">
        <v>0</v>
      </c>
      <c r="CK64" s="323">
        <v>0</v>
      </c>
      <c r="CL64" s="323">
        <v>0</v>
      </c>
      <c r="CM64" s="323">
        <v>0</v>
      </c>
      <c r="CN64" s="323">
        <v>0</v>
      </c>
      <c r="CO64" s="323">
        <v>0</v>
      </c>
      <c r="CP64" s="323">
        <v>0</v>
      </c>
      <c r="CQ64" s="323">
        <v>0</v>
      </c>
      <c r="CR64" s="332">
        <v>0</v>
      </c>
      <c r="CS64" s="327">
        <v>0</v>
      </c>
      <c r="CT64" s="323">
        <v>0</v>
      </c>
      <c r="CU64" s="323">
        <v>0</v>
      </c>
      <c r="CV64" s="323">
        <v>0</v>
      </c>
      <c r="CW64" s="323">
        <v>0</v>
      </c>
      <c r="CX64" s="323">
        <v>0</v>
      </c>
      <c r="CY64" s="323">
        <v>0</v>
      </c>
      <c r="CZ64" s="323">
        <v>0</v>
      </c>
      <c r="DA64" s="323">
        <v>0</v>
      </c>
      <c r="DB64" s="323">
        <v>0</v>
      </c>
      <c r="DC64" s="323">
        <v>0</v>
      </c>
      <c r="DD64" s="328">
        <v>0</v>
      </c>
      <c r="DE64" s="4"/>
      <c r="DF64" s="416" t="s">
        <v>130</v>
      </c>
      <c r="DG64" s="417" t="s">
        <v>130</v>
      </c>
      <c r="DH64" s="417" t="s">
        <v>130</v>
      </c>
      <c r="DI64" s="417" t="s">
        <v>130</v>
      </c>
      <c r="DJ64" s="417" t="s">
        <v>130</v>
      </c>
      <c r="DK64" s="417" t="s">
        <v>130</v>
      </c>
      <c r="DL64" s="417" t="s">
        <v>130</v>
      </c>
      <c r="DM64" s="417" t="s">
        <v>130</v>
      </c>
      <c r="DN64" s="417" t="s">
        <v>130</v>
      </c>
      <c r="DO64" s="417" t="s">
        <v>130</v>
      </c>
      <c r="DP64" s="417" t="s">
        <v>130</v>
      </c>
      <c r="DQ64" s="417" t="s">
        <v>130</v>
      </c>
      <c r="DS64" s="327">
        <v>0</v>
      </c>
      <c r="DT64" s="323">
        <v>0</v>
      </c>
      <c r="DU64" s="323">
        <v>0</v>
      </c>
      <c r="DV64" s="323">
        <v>0</v>
      </c>
      <c r="DW64" s="323">
        <v>0</v>
      </c>
      <c r="DX64" s="323">
        <v>0</v>
      </c>
      <c r="DY64" s="323">
        <v>0</v>
      </c>
      <c r="DZ64" s="328">
        <v>0</v>
      </c>
      <c r="EA64" s="4"/>
      <c r="EB64" s="418" t="s">
        <v>207</v>
      </c>
      <c r="EC64" s="419" t="s">
        <v>412</v>
      </c>
      <c r="ED64" s="340" t="e">
        <v>#DIV/0!</v>
      </c>
      <c r="EE64" s="340" t="e">
        <v>#DIV/0!</v>
      </c>
      <c r="EF64" s="340" t="e">
        <v>#DIV/0!</v>
      </c>
      <c r="EG64" s="323">
        <v>0</v>
      </c>
      <c r="EH64" s="420"/>
      <c r="EI64" s="420">
        <v>0</v>
      </c>
      <c r="EJ64" s="421"/>
      <c r="EK64" s="323">
        <v>0</v>
      </c>
      <c r="EL64" s="323">
        <v>0</v>
      </c>
      <c r="EM64" s="323">
        <v>0</v>
      </c>
      <c r="EN64" s="323">
        <v>0</v>
      </c>
      <c r="EO64" s="323">
        <v>0</v>
      </c>
      <c r="EP64" s="323">
        <v>0</v>
      </c>
      <c r="EQ64" s="323">
        <v>0</v>
      </c>
      <c r="ER64" s="323">
        <v>0</v>
      </c>
      <c r="ES64" s="323">
        <v>0</v>
      </c>
      <c r="ET64" s="323">
        <v>0</v>
      </c>
      <c r="EU64" s="323">
        <v>0</v>
      </c>
      <c r="EV64" s="323">
        <v>0</v>
      </c>
      <c r="EW64" s="347" t="e">
        <v>#DIV/0!</v>
      </c>
      <c r="EX64" s="323">
        <v>0</v>
      </c>
      <c r="EY64" s="323">
        <v>0</v>
      </c>
      <c r="EZ64" s="323">
        <v>0</v>
      </c>
      <c r="FA64" s="323">
        <v>0</v>
      </c>
      <c r="FB64" s="323">
        <v>0</v>
      </c>
      <c r="FC64" s="323">
        <v>0</v>
      </c>
      <c r="FD64" s="323">
        <v>0</v>
      </c>
      <c r="FE64" s="323">
        <v>0</v>
      </c>
      <c r="FF64" s="323">
        <v>0</v>
      </c>
      <c r="FG64" s="323">
        <v>0</v>
      </c>
      <c r="FH64" s="323">
        <v>0</v>
      </c>
      <c r="FI64" s="323">
        <v>0</v>
      </c>
      <c r="FJ64" s="4"/>
      <c r="FK64" s="323">
        <v>0</v>
      </c>
      <c r="FL64" s="323">
        <v>0</v>
      </c>
      <c r="FM64" s="2"/>
      <c r="FN64" s="323">
        <v>0</v>
      </c>
      <c r="FO64" s="323">
        <v>0</v>
      </c>
      <c r="FP64" s="323">
        <v>0</v>
      </c>
      <c r="FR64" s="418" t="s">
        <v>207</v>
      </c>
      <c r="FS64" s="419" t="s">
        <v>412</v>
      </c>
      <c r="FT64" s="340">
        <v>0</v>
      </c>
      <c r="FU64" s="340">
        <v>0</v>
      </c>
      <c r="FV64" s="340">
        <v>0</v>
      </c>
      <c r="FW64" s="323">
        <v>0</v>
      </c>
      <c r="FX64" s="420"/>
      <c r="FY64" s="420">
        <v>0</v>
      </c>
      <c r="FZ64" s="421"/>
      <c r="GA64" s="323">
        <v>10</v>
      </c>
      <c r="GB64" s="323">
        <v>10</v>
      </c>
      <c r="GC64" s="323">
        <v>10</v>
      </c>
      <c r="GD64" s="323">
        <v>10</v>
      </c>
      <c r="GE64" s="323">
        <v>10</v>
      </c>
      <c r="GF64" s="323">
        <v>0</v>
      </c>
      <c r="GG64" s="323">
        <v>0</v>
      </c>
      <c r="GH64" s="323">
        <v>0</v>
      </c>
      <c r="GI64" s="323">
        <v>0</v>
      </c>
      <c r="GJ64" s="323">
        <v>0</v>
      </c>
      <c r="GK64" s="323">
        <v>0</v>
      </c>
      <c r="GL64" s="323">
        <v>0</v>
      </c>
      <c r="GM64" s="347">
        <v>10</v>
      </c>
      <c r="GN64" s="341">
        <v>10</v>
      </c>
      <c r="GO64" s="323">
        <v>0</v>
      </c>
      <c r="GP64" s="323">
        <v>0</v>
      </c>
      <c r="GQ64" s="323">
        <v>0</v>
      </c>
      <c r="GR64" s="323">
        <v>0</v>
      </c>
      <c r="GS64" s="323">
        <v>0</v>
      </c>
      <c r="GT64" s="323">
        <v>0</v>
      </c>
      <c r="GU64" s="323">
        <v>0</v>
      </c>
      <c r="GV64" s="323">
        <v>0</v>
      </c>
      <c r="GW64" s="323">
        <v>0</v>
      </c>
      <c r="GX64" s="323">
        <v>0</v>
      </c>
      <c r="GY64" s="323">
        <v>0</v>
      </c>
      <c r="GZ64" s="4"/>
      <c r="HA64" s="323">
        <v>9</v>
      </c>
      <c r="HB64" s="323">
        <v>1</v>
      </c>
      <c r="HC64" s="2"/>
      <c r="HD64" s="323">
        <v>0</v>
      </c>
      <c r="HE64" s="323">
        <v>0</v>
      </c>
      <c r="HF64" s="323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8</v>
      </c>
      <c r="HU64">
        <v>1</v>
      </c>
      <c r="HV64">
        <v>8</v>
      </c>
    </row>
    <row r="65" spans="1:230" x14ac:dyDescent="0.25">
      <c r="A65" t="s">
        <v>549</v>
      </c>
      <c r="B65" s="4">
        <v>6911</v>
      </c>
      <c r="C65" s="444" t="s">
        <v>242</v>
      </c>
      <c r="D65" s="418" t="s">
        <v>207</v>
      </c>
      <c r="E65" s="419" t="s">
        <v>549</v>
      </c>
      <c r="F65" s="340">
        <v>0</v>
      </c>
      <c r="G65" s="340">
        <v>0</v>
      </c>
      <c r="H65" s="340">
        <v>0</v>
      </c>
      <c r="I65" s="323">
        <v>0</v>
      </c>
      <c r="J65" s="420"/>
      <c r="K65" s="478">
        <v>0</v>
      </c>
      <c r="L65" s="421"/>
      <c r="M65" s="323">
        <v>12</v>
      </c>
      <c r="N65" s="323">
        <v>12</v>
      </c>
      <c r="O65" s="323">
        <v>12</v>
      </c>
      <c r="P65" s="323">
        <v>12</v>
      </c>
      <c r="Q65" s="323">
        <v>12</v>
      </c>
      <c r="R65" s="323">
        <v>0</v>
      </c>
      <c r="S65" s="323">
        <v>0</v>
      </c>
      <c r="T65" s="323">
        <v>0</v>
      </c>
      <c r="U65" s="323">
        <v>0</v>
      </c>
      <c r="V65" s="323">
        <v>0</v>
      </c>
      <c r="W65" s="323">
        <v>0</v>
      </c>
      <c r="X65" s="323">
        <v>0</v>
      </c>
      <c r="Y65" s="347">
        <v>12</v>
      </c>
      <c r="Z65" s="323">
        <v>12</v>
      </c>
      <c r="AA65" s="323">
        <v>0</v>
      </c>
      <c r="AB65" s="323">
        <v>0</v>
      </c>
      <c r="AC65" s="323">
        <v>0</v>
      </c>
      <c r="AD65" s="323">
        <v>0</v>
      </c>
      <c r="AE65" s="323">
        <v>0</v>
      </c>
      <c r="AF65" s="323">
        <v>0</v>
      </c>
      <c r="AG65" s="323">
        <v>0</v>
      </c>
      <c r="AH65" s="323">
        <v>0</v>
      </c>
      <c r="AI65" s="323">
        <v>0</v>
      </c>
      <c r="AJ65" s="323">
        <v>0</v>
      </c>
      <c r="AK65" s="328">
        <v>0</v>
      </c>
      <c r="AL65" s="4" t="s">
        <v>207</v>
      </c>
      <c r="AM65" s="327">
        <v>12</v>
      </c>
      <c r="AN65" s="328">
        <v>0</v>
      </c>
      <c r="AO65" s="2"/>
      <c r="AP65" s="323">
        <v>0</v>
      </c>
      <c r="AQ65" s="323">
        <v>0</v>
      </c>
      <c r="AR65" s="323">
        <v>0</v>
      </c>
      <c r="AS65" s="2"/>
      <c r="AT65" s="323">
        <v>0</v>
      </c>
      <c r="AU65" s="323">
        <v>0</v>
      </c>
      <c r="AV65" s="323">
        <v>0</v>
      </c>
      <c r="AW65" s="323">
        <v>0</v>
      </c>
      <c r="AX65" s="323">
        <v>0</v>
      </c>
      <c r="AY65" s="323">
        <v>0</v>
      </c>
      <c r="AZ65" s="323">
        <v>0</v>
      </c>
      <c r="BA65" s="323">
        <v>0</v>
      </c>
      <c r="BB65" s="323">
        <v>0</v>
      </c>
      <c r="BC65" s="323">
        <v>0</v>
      </c>
      <c r="BD65" s="323">
        <v>0</v>
      </c>
      <c r="BE65" s="323">
        <v>0</v>
      </c>
      <c r="BF65" s="2" t="s">
        <v>549</v>
      </c>
      <c r="BG65" s="327">
        <v>0</v>
      </c>
      <c r="BH65" s="323">
        <v>0</v>
      </c>
      <c r="BI65" s="323">
        <v>0</v>
      </c>
      <c r="BJ65" s="323">
        <v>0</v>
      </c>
      <c r="BK65" s="323">
        <v>0</v>
      </c>
      <c r="BL65" s="323">
        <v>0</v>
      </c>
      <c r="BM65" s="323">
        <v>0</v>
      </c>
      <c r="BN65" s="323">
        <v>0</v>
      </c>
      <c r="BO65" s="323">
        <v>0</v>
      </c>
      <c r="BP65" s="323">
        <v>0</v>
      </c>
      <c r="BQ65" s="323">
        <v>0</v>
      </c>
      <c r="BR65" s="328">
        <v>0</v>
      </c>
      <c r="BS65" s="323">
        <v>0</v>
      </c>
      <c r="BT65" s="329">
        <v>0</v>
      </c>
      <c r="BU65" s="330">
        <v>0</v>
      </c>
      <c r="BV65" s="330">
        <v>0</v>
      </c>
      <c r="BW65" s="330">
        <v>0</v>
      </c>
      <c r="BX65" s="330">
        <v>0</v>
      </c>
      <c r="BY65" s="330">
        <v>0</v>
      </c>
      <c r="BZ65" s="330">
        <v>0</v>
      </c>
      <c r="CA65" s="330">
        <v>0</v>
      </c>
      <c r="CB65" s="330">
        <v>0</v>
      </c>
      <c r="CC65" s="330">
        <v>0</v>
      </c>
      <c r="CD65" s="330">
        <v>0</v>
      </c>
      <c r="CE65" s="331">
        <v>0</v>
      </c>
      <c r="CF65" s="2"/>
      <c r="CG65" s="327">
        <v>0</v>
      </c>
      <c r="CH65" s="323">
        <v>0</v>
      </c>
      <c r="CI65" s="323">
        <v>0</v>
      </c>
      <c r="CJ65" s="323">
        <v>0</v>
      </c>
      <c r="CK65" s="323">
        <v>0</v>
      </c>
      <c r="CL65" s="323">
        <v>0</v>
      </c>
      <c r="CM65" s="323">
        <v>0</v>
      </c>
      <c r="CN65" s="323">
        <v>0</v>
      </c>
      <c r="CO65" s="323">
        <v>0</v>
      </c>
      <c r="CP65" s="323">
        <v>0</v>
      </c>
      <c r="CQ65" s="323">
        <v>0</v>
      </c>
      <c r="CR65" s="332">
        <v>0</v>
      </c>
      <c r="CS65" s="327">
        <v>0</v>
      </c>
      <c r="CT65" s="323">
        <v>0</v>
      </c>
      <c r="CU65" s="323">
        <v>0</v>
      </c>
      <c r="CV65" s="323">
        <v>0</v>
      </c>
      <c r="CW65" s="323">
        <v>0</v>
      </c>
      <c r="CX65" s="323">
        <v>0</v>
      </c>
      <c r="CY65" s="323">
        <v>0</v>
      </c>
      <c r="CZ65" s="323">
        <v>0</v>
      </c>
      <c r="DA65" s="323">
        <v>0</v>
      </c>
      <c r="DB65" s="323">
        <v>0</v>
      </c>
      <c r="DC65" s="323">
        <v>0</v>
      </c>
      <c r="DD65" s="328">
        <v>0</v>
      </c>
      <c r="DE65" s="4"/>
      <c r="DF65" s="416" t="s">
        <v>130</v>
      </c>
      <c r="DG65" s="417" t="s">
        <v>130</v>
      </c>
      <c r="DH65" s="417" t="s">
        <v>130</v>
      </c>
      <c r="DI65" s="417" t="s">
        <v>130</v>
      </c>
      <c r="DJ65" s="417" t="s">
        <v>130</v>
      </c>
      <c r="DK65" s="417" t="s">
        <v>130</v>
      </c>
      <c r="DL65" s="417" t="s">
        <v>130</v>
      </c>
      <c r="DM65" s="417" t="s">
        <v>130</v>
      </c>
      <c r="DN65" s="417" t="s">
        <v>130</v>
      </c>
      <c r="DO65" s="417" t="s">
        <v>130</v>
      </c>
      <c r="DP65" s="417" t="s">
        <v>130</v>
      </c>
      <c r="DQ65" s="417" t="s">
        <v>130</v>
      </c>
      <c r="DS65" s="327">
        <v>0</v>
      </c>
      <c r="DT65" s="323">
        <v>0</v>
      </c>
      <c r="DU65" s="323">
        <v>0</v>
      </c>
      <c r="DV65" s="323">
        <v>0</v>
      </c>
      <c r="DW65" s="323">
        <v>0</v>
      </c>
      <c r="DX65" s="323">
        <v>0</v>
      </c>
      <c r="DY65" s="323">
        <v>0</v>
      </c>
      <c r="DZ65" s="328">
        <v>0</v>
      </c>
      <c r="EA65" s="4"/>
      <c r="EB65" s="418" t="s">
        <v>207</v>
      </c>
      <c r="EC65" s="419" t="s">
        <v>414</v>
      </c>
      <c r="ED65" s="340" t="e">
        <v>#DIV/0!</v>
      </c>
      <c r="EE65" s="340" t="e">
        <v>#DIV/0!</v>
      </c>
      <c r="EF65" s="340" t="e">
        <v>#DIV/0!</v>
      </c>
      <c r="EG65" s="323">
        <v>0</v>
      </c>
      <c r="EH65" s="420"/>
      <c r="EI65" s="420">
        <v>0</v>
      </c>
      <c r="EJ65" s="421"/>
      <c r="EK65" s="323">
        <v>0</v>
      </c>
      <c r="EL65" s="323">
        <v>0</v>
      </c>
      <c r="EM65" s="323">
        <v>0</v>
      </c>
      <c r="EN65" s="323">
        <v>0</v>
      </c>
      <c r="EO65" s="323">
        <v>0</v>
      </c>
      <c r="EP65" s="323">
        <v>0</v>
      </c>
      <c r="EQ65" s="323">
        <v>0</v>
      </c>
      <c r="ER65" s="323">
        <v>0</v>
      </c>
      <c r="ES65" s="323">
        <v>0</v>
      </c>
      <c r="ET65" s="323">
        <v>0</v>
      </c>
      <c r="EU65" s="323">
        <v>0</v>
      </c>
      <c r="EV65" s="323">
        <v>0</v>
      </c>
      <c r="EW65" s="347" t="e">
        <v>#DIV/0!</v>
      </c>
      <c r="EX65" s="323">
        <v>0</v>
      </c>
      <c r="EY65" s="323">
        <v>0</v>
      </c>
      <c r="EZ65" s="323">
        <v>0</v>
      </c>
      <c r="FA65" s="323">
        <v>0</v>
      </c>
      <c r="FB65" s="323">
        <v>0</v>
      </c>
      <c r="FC65" s="323">
        <v>0</v>
      </c>
      <c r="FD65" s="323">
        <v>0</v>
      </c>
      <c r="FE65" s="323">
        <v>0</v>
      </c>
      <c r="FF65" s="323">
        <v>0</v>
      </c>
      <c r="FG65" s="323">
        <v>0</v>
      </c>
      <c r="FH65" s="323">
        <v>0</v>
      </c>
      <c r="FI65" s="323">
        <v>0</v>
      </c>
      <c r="FJ65" s="4"/>
      <c r="FK65" s="323">
        <v>0</v>
      </c>
      <c r="FL65" s="323">
        <v>0</v>
      </c>
      <c r="FM65" s="2"/>
      <c r="FN65" s="323">
        <v>0</v>
      </c>
      <c r="FO65" s="323">
        <v>0</v>
      </c>
      <c r="FP65" s="323">
        <v>0</v>
      </c>
      <c r="FR65" s="418" t="s">
        <v>207</v>
      </c>
      <c r="FS65" s="419" t="s">
        <v>414</v>
      </c>
      <c r="FT65" s="340">
        <v>0</v>
      </c>
      <c r="FU65" s="340">
        <v>0</v>
      </c>
      <c r="FV65" s="340">
        <v>0</v>
      </c>
      <c r="FW65" s="323">
        <v>0</v>
      </c>
      <c r="FX65" s="420"/>
      <c r="FY65" s="420">
        <v>0</v>
      </c>
      <c r="FZ65" s="421"/>
      <c r="GA65" s="323">
        <v>12</v>
      </c>
      <c r="GB65" s="323">
        <v>12</v>
      </c>
      <c r="GC65" s="323">
        <v>12</v>
      </c>
      <c r="GD65" s="323">
        <v>12</v>
      </c>
      <c r="GE65" s="323">
        <v>12</v>
      </c>
      <c r="GF65" s="323">
        <v>0</v>
      </c>
      <c r="GG65" s="323">
        <v>0</v>
      </c>
      <c r="GH65" s="323">
        <v>0</v>
      </c>
      <c r="GI65" s="323">
        <v>0</v>
      </c>
      <c r="GJ65" s="323">
        <v>0</v>
      </c>
      <c r="GK65" s="323">
        <v>0</v>
      </c>
      <c r="GL65" s="323">
        <v>0</v>
      </c>
      <c r="GM65" s="347">
        <v>12</v>
      </c>
      <c r="GN65" s="341">
        <v>12</v>
      </c>
      <c r="GO65" s="323">
        <v>0</v>
      </c>
      <c r="GP65" s="323">
        <v>0</v>
      </c>
      <c r="GQ65" s="323">
        <v>0</v>
      </c>
      <c r="GR65" s="323">
        <v>0</v>
      </c>
      <c r="GS65" s="323">
        <v>0</v>
      </c>
      <c r="GT65" s="323">
        <v>0</v>
      </c>
      <c r="GU65" s="323">
        <v>0</v>
      </c>
      <c r="GV65" s="323">
        <v>0</v>
      </c>
      <c r="GW65" s="323">
        <v>0</v>
      </c>
      <c r="GX65" s="323">
        <v>0</v>
      </c>
      <c r="GY65" s="323">
        <v>0</v>
      </c>
      <c r="GZ65" s="4"/>
      <c r="HA65" s="323">
        <v>12</v>
      </c>
      <c r="HB65" s="323">
        <v>0</v>
      </c>
      <c r="HC65" s="2"/>
      <c r="HD65" s="323">
        <v>0</v>
      </c>
      <c r="HE65" s="323">
        <v>0</v>
      </c>
      <c r="HF65" s="323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13</v>
      </c>
      <c r="HU65">
        <v>1</v>
      </c>
      <c r="HV65">
        <v>13</v>
      </c>
    </row>
    <row r="66" spans="1:230" x14ac:dyDescent="0.25">
      <c r="A66" t="s">
        <v>550</v>
      </c>
      <c r="B66" s="4">
        <v>6913</v>
      </c>
      <c r="C66" s="444" t="s">
        <v>275</v>
      </c>
      <c r="D66" s="418" t="s">
        <v>207</v>
      </c>
      <c r="E66" s="419" t="s">
        <v>550</v>
      </c>
      <c r="F66" s="340">
        <v>0.85620455078583158</v>
      </c>
      <c r="G66" s="340">
        <v>0.34482758620689657</v>
      </c>
      <c r="H66" s="340">
        <v>0</v>
      </c>
      <c r="I66" s="323">
        <v>8</v>
      </c>
      <c r="J66" s="420"/>
      <c r="K66" s="478">
        <v>19.863945578231291</v>
      </c>
      <c r="L66" s="421"/>
      <c r="M66" s="323">
        <v>25</v>
      </c>
      <c r="N66" s="323">
        <v>23</v>
      </c>
      <c r="O66" s="323">
        <v>22</v>
      </c>
      <c r="P66" s="323">
        <v>23</v>
      </c>
      <c r="Q66" s="323">
        <v>23</v>
      </c>
      <c r="R66" s="323">
        <v>0</v>
      </c>
      <c r="S66" s="323">
        <v>0</v>
      </c>
      <c r="T66" s="323">
        <v>0</v>
      </c>
      <c r="U66" s="323">
        <v>0</v>
      </c>
      <c r="V66" s="323">
        <v>0</v>
      </c>
      <c r="W66" s="323">
        <v>0</v>
      </c>
      <c r="X66" s="323">
        <v>0</v>
      </c>
      <c r="Y66" s="347">
        <v>23.2</v>
      </c>
      <c r="Z66" s="323">
        <v>23</v>
      </c>
      <c r="AA66" s="323">
        <v>0</v>
      </c>
      <c r="AB66" s="323">
        <v>1</v>
      </c>
      <c r="AC66" s="323">
        <v>0</v>
      </c>
      <c r="AD66" s="323">
        <v>1</v>
      </c>
      <c r="AE66" s="323">
        <v>1</v>
      </c>
      <c r="AF66" s="323">
        <v>0</v>
      </c>
      <c r="AG66" s="323">
        <v>5</v>
      </c>
      <c r="AH66" s="323">
        <v>0</v>
      </c>
      <c r="AI66" s="323">
        <v>0</v>
      </c>
      <c r="AJ66" s="323">
        <v>8</v>
      </c>
      <c r="AK66" s="328">
        <v>0</v>
      </c>
      <c r="AL66" s="4" t="s">
        <v>207</v>
      </c>
      <c r="AM66" s="327">
        <v>17</v>
      </c>
      <c r="AN66" s="328">
        <v>6</v>
      </c>
      <c r="AO66" s="2"/>
      <c r="AP66" s="323">
        <v>7</v>
      </c>
      <c r="AQ66" s="323">
        <v>1</v>
      </c>
      <c r="AR66" s="323">
        <v>0</v>
      </c>
      <c r="AS66" s="2"/>
      <c r="AT66" s="323">
        <v>0</v>
      </c>
      <c r="AU66" s="323">
        <v>3</v>
      </c>
      <c r="AV66" s="323">
        <v>3</v>
      </c>
      <c r="AW66" s="323">
        <v>2</v>
      </c>
      <c r="AX66" s="323">
        <v>0</v>
      </c>
      <c r="AY66" s="323">
        <v>0</v>
      </c>
      <c r="AZ66" s="323">
        <v>0</v>
      </c>
      <c r="BA66" s="323">
        <v>0</v>
      </c>
      <c r="BB66" s="323">
        <v>0</v>
      </c>
      <c r="BC66" s="323">
        <v>0</v>
      </c>
      <c r="BD66" s="323">
        <v>0</v>
      </c>
      <c r="BE66" s="323">
        <v>0</v>
      </c>
      <c r="BF66" s="2" t="s">
        <v>550</v>
      </c>
      <c r="BG66" s="327">
        <v>1</v>
      </c>
      <c r="BH66" s="323">
        <v>1</v>
      </c>
      <c r="BI66" s="323">
        <v>3</v>
      </c>
      <c r="BJ66" s="323">
        <v>2</v>
      </c>
      <c r="BK66" s="323">
        <v>1</v>
      </c>
      <c r="BL66" s="323">
        <v>0</v>
      </c>
      <c r="BM66" s="323">
        <v>0</v>
      </c>
      <c r="BN66" s="323">
        <v>0</v>
      </c>
      <c r="BO66" s="323">
        <v>0</v>
      </c>
      <c r="BP66" s="323">
        <v>0</v>
      </c>
      <c r="BQ66" s="323">
        <v>0</v>
      </c>
      <c r="BR66" s="328">
        <v>0</v>
      </c>
      <c r="BS66" s="323">
        <v>8</v>
      </c>
      <c r="BT66" s="329">
        <v>0</v>
      </c>
      <c r="BU66" s="330">
        <v>0.8147321428571429</v>
      </c>
      <c r="BV66" s="330">
        <v>1.0313971742543171</v>
      </c>
      <c r="BW66" s="330">
        <v>1.0553898978946419</v>
      </c>
      <c r="BX66" s="330">
        <v>0.85620455078583158</v>
      </c>
      <c r="BY66" s="330">
        <v>0.8298597953770368</v>
      </c>
      <c r="BZ66" s="330">
        <v>0.83908045977011492</v>
      </c>
      <c r="CA66" s="330">
        <v>0.84613155607070423</v>
      </c>
      <c r="CB66" s="330">
        <v>0.843501326259947</v>
      </c>
      <c r="CC66" s="330">
        <v>0.85004009623095433</v>
      </c>
      <c r="CD66" s="330">
        <v>0.85546588407923696</v>
      </c>
      <c r="CE66" s="331">
        <v>0.82758620689655182</v>
      </c>
      <c r="CF66" s="2"/>
      <c r="CG66" s="327">
        <v>4</v>
      </c>
      <c r="CH66" s="323">
        <v>2</v>
      </c>
      <c r="CI66" s="323">
        <v>0</v>
      </c>
      <c r="CJ66" s="323">
        <v>1</v>
      </c>
      <c r="CK66" s="323">
        <v>0</v>
      </c>
      <c r="CL66" s="323">
        <v>0</v>
      </c>
      <c r="CM66" s="323">
        <v>0</v>
      </c>
      <c r="CN66" s="323">
        <v>0</v>
      </c>
      <c r="CO66" s="323">
        <v>0</v>
      </c>
      <c r="CP66" s="323">
        <v>0</v>
      </c>
      <c r="CQ66" s="323">
        <v>0</v>
      </c>
      <c r="CR66" s="332">
        <v>0</v>
      </c>
      <c r="CS66" s="327">
        <v>0</v>
      </c>
      <c r="CT66" s="323">
        <v>0</v>
      </c>
      <c r="CU66" s="323">
        <v>0</v>
      </c>
      <c r="CV66" s="323">
        <v>0</v>
      </c>
      <c r="CW66" s="323">
        <v>0</v>
      </c>
      <c r="CX66" s="323">
        <v>0</v>
      </c>
      <c r="CY66" s="323">
        <v>0</v>
      </c>
      <c r="CZ66" s="323">
        <v>0</v>
      </c>
      <c r="DA66" s="323">
        <v>0</v>
      </c>
      <c r="DB66" s="323">
        <v>0</v>
      </c>
      <c r="DC66" s="323">
        <v>0</v>
      </c>
      <c r="DD66" s="328">
        <v>0</v>
      </c>
      <c r="DE66" s="4"/>
      <c r="DF66" s="416">
        <v>0</v>
      </c>
      <c r="DG66" s="417">
        <v>0</v>
      </c>
      <c r="DH66" s="417">
        <v>0</v>
      </c>
      <c r="DI66" s="417">
        <v>0</v>
      </c>
      <c r="DJ66" s="417">
        <v>0</v>
      </c>
      <c r="DK66" s="417">
        <v>0</v>
      </c>
      <c r="DL66" s="417">
        <v>0</v>
      </c>
      <c r="DM66" s="417">
        <v>0</v>
      </c>
      <c r="DN66" s="417">
        <v>0</v>
      </c>
      <c r="DO66" s="417">
        <v>0</v>
      </c>
      <c r="DP66" s="417">
        <v>0</v>
      </c>
      <c r="DQ66" s="417">
        <v>0</v>
      </c>
      <c r="DS66" s="327">
        <v>4</v>
      </c>
      <c r="DT66" s="323">
        <v>0</v>
      </c>
      <c r="DU66" s="323">
        <v>0</v>
      </c>
      <c r="DV66" s="323">
        <v>0</v>
      </c>
      <c r="DW66" s="323">
        <v>0</v>
      </c>
      <c r="DX66" s="323">
        <v>0</v>
      </c>
      <c r="DY66" s="323">
        <v>4</v>
      </c>
      <c r="DZ66" s="328">
        <v>8</v>
      </c>
      <c r="EA66" s="4"/>
      <c r="EB66" s="418" t="s">
        <v>207</v>
      </c>
      <c r="EC66" s="419" t="s">
        <v>416</v>
      </c>
      <c r="ED66" s="340" t="e">
        <v>#DIV/0!</v>
      </c>
      <c r="EE66" s="340" t="e">
        <v>#DIV/0!</v>
      </c>
      <c r="EF66" s="340" t="e">
        <v>#DIV/0!</v>
      </c>
      <c r="EG66" s="323">
        <v>0</v>
      </c>
      <c r="EH66" s="420"/>
      <c r="EI66" s="420">
        <v>0</v>
      </c>
      <c r="EJ66" s="421"/>
      <c r="EK66" s="323">
        <v>0</v>
      </c>
      <c r="EL66" s="323">
        <v>0</v>
      </c>
      <c r="EM66" s="323">
        <v>0</v>
      </c>
      <c r="EN66" s="323">
        <v>0</v>
      </c>
      <c r="EO66" s="323">
        <v>0</v>
      </c>
      <c r="EP66" s="323">
        <v>0</v>
      </c>
      <c r="EQ66" s="323">
        <v>0</v>
      </c>
      <c r="ER66" s="323">
        <v>0</v>
      </c>
      <c r="ES66" s="323">
        <v>0</v>
      </c>
      <c r="ET66" s="323">
        <v>0</v>
      </c>
      <c r="EU66" s="323">
        <v>0</v>
      </c>
      <c r="EV66" s="323">
        <v>0</v>
      </c>
      <c r="EW66" s="347" t="e">
        <v>#DIV/0!</v>
      </c>
      <c r="EX66" s="323">
        <v>0</v>
      </c>
      <c r="EY66" s="323">
        <v>0</v>
      </c>
      <c r="EZ66" s="323">
        <v>0</v>
      </c>
      <c r="FA66" s="323">
        <v>0</v>
      </c>
      <c r="FB66" s="323">
        <v>0</v>
      </c>
      <c r="FC66" s="323">
        <v>0</v>
      </c>
      <c r="FD66" s="323">
        <v>0</v>
      </c>
      <c r="FE66" s="323">
        <v>0</v>
      </c>
      <c r="FF66" s="323">
        <v>0</v>
      </c>
      <c r="FG66" s="323">
        <v>0</v>
      </c>
      <c r="FH66" s="323">
        <v>0</v>
      </c>
      <c r="FI66" s="323">
        <v>0</v>
      </c>
      <c r="FJ66" s="4"/>
      <c r="FK66" s="323">
        <v>0</v>
      </c>
      <c r="FL66" s="323">
        <v>0</v>
      </c>
      <c r="FM66" s="2"/>
      <c r="FN66" s="323">
        <v>0</v>
      </c>
      <c r="FO66" s="323">
        <v>0</v>
      </c>
      <c r="FP66" s="323">
        <v>0</v>
      </c>
      <c r="FR66" s="418" t="s">
        <v>207</v>
      </c>
      <c r="FS66" s="419" t="s">
        <v>416</v>
      </c>
      <c r="FT66" s="340">
        <v>0.85620455078583158</v>
      </c>
      <c r="FU66" s="340">
        <v>0.34482758620689657</v>
      </c>
      <c r="FV66" s="340">
        <v>0</v>
      </c>
      <c r="FW66" s="323">
        <v>8</v>
      </c>
      <c r="FX66" s="420"/>
      <c r="FY66" s="420">
        <v>19.863945578231291</v>
      </c>
      <c r="FZ66" s="421"/>
      <c r="GA66" s="323">
        <v>25</v>
      </c>
      <c r="GB66" s="323">
        <v>23</v>
      </c>
      <c r="GC66" s="323">
        <v>22</v>
      </c>
      <c r="GD66" s="323">
        <v>23</v>
      </c>
      <c r="GE66" s="323">
        <v>23</v>
      </c>
      <c r="GF66" s="323">
        <v>0</v>
      </c>
      <c r="GG66" s="323">
        <v>0</v>
      </c>
      <c r="GH66" s="323">
        <v>0</v>
      </c>
      <c r="GI66" s="323">
        <v>0</v>
      </c>
      <c r="GJ66" s="323">
        <v>0</v>
      </c>
      <c r="GK66" s="323">
        <v>0</v>
      </c>
      <c r="GL66" s="323">
        <v>0</v>
      </c>
      <c r="GM66" s="347">
        <v>23.2</v>
      </c>
      <c r="GN66" s="341">
        <v>23</v>
      </c>
      <c r="GO66" s="323">
        <v>0</v>
      </c>
      <c r="GP66" s="323">
        <v>1</v>
      </c>
      <c r="GQ66" s="323">
        <v>0</v>
      </c>
      <c r="GR66" s="323">
        <v>1</v>
      </c>
      <c r="GS66" s="323">
        <v>1</v>
      </c>
      <c r="GT66" s="323">
        <v>0</v>
      </c>
      <c r="GU66" s="323">
        <v>5</v>
      </c>
      <c r="GV66" s="323">
        <v>0</v>
      </c>
      <c r="GW66" s="323">
        <v>0</v>
      </c>
      <c r="GX66" s="323">
        <v>8</v>
      </c>
      <c r="GY66" s="323">
        <v>0</v>
      </c>
      <c r="GZ66" s="4"/>
      <c r="HA66" s="323">
        <v>17</v>
      </c>
      <c r="HB66" s="323">
        <v>6</v>
      </c>
      <c r="HC66" s="2"/>
      <c r="HD66" s="323">
        <v>7</v>
      </c>
      <c r="HE66" s="323">
        <v>1</v>
      </c>
      <c r="HF66" s="323">
        <v>0</v>
      </c>
      <c r="HH66">
        <v>0</v>
      </c>
      <c r="HI66">
        <v>0</v>
      </c>
      <c r="HJ66">
        <v>0</v>
      </c>
      <c r="HK66">
        <v>0</v>
      </c>
      <c r="HL66">
        <v>1</v>
      </c>
      <c r="HM66">
        <v>0.05</v>
      </c>
      <c r="HN66">
        <v>1</v>
      </c>
      <c r="HO66">
        <v>0.05</v>
      </c>
      <c r="HP66">
        <v>1</v>
      </c>
      <c r="HQ66">
        <v>0.05</v>
      </c>
      <c r="HR66">
        <v>4</v>
      </c>
      <c r="HS66">
        <v>0.2</v>
      </c>
      <c r="HT66">
        <v>16</v>
      </c>
      <c r="HU66">
        <v>0.8</v>
      </c>
      <c r="HV66">
        <v>20</v>
      </c>
    </row>
    <row r="67" spans="1:230" x14ac:dyDescent="0.25">
      <c r="A67" t="s">
        <v>551</v>
      </c>
      <c r="B67" s="4">
        <v>6914</v>
      </c>
      <c r="C67" s="444" t="s">
        <v>246</v>
      </c>
      <c r="D67" s="418" t="s">
        <v>207</v>
      </c>
      <c r="E67" s="419" t="s">
        <v>551</v>
      </c>
      <c r="F67" s="340">
        <v>0</v>
      </c>
      <c r="G67" s="340">
        <v>0</v>
      </c>
      <c r="H67" s="340">
        <v>0</v>
      </c>
      <c r="I67" s="323">
        <v>0</v>
      </c>
      <c r="J67" s="420"/>
      <c r="K67" s="478">
        <v>0</v>
      </c>
      <c r="L67" s="421"/>
      <c r="M67" s="323">
        <v>13</v>
      </c>
      <c r="N67" s="323">
        <v>13</v>
      </c>
      <c r="O67" s="323">
        <v>13</v>
      </c>
      <c r="P67" s="323">
        <v>13</v>
      </c>
      <c r="Q67" s="323">
        <v>13</v>
      </c>
      <c r="R67" s="323">
        <v>0</v>
      </c>
      <c r="S67" s="323">
        <v>0</v>
      </c>
      <c r="T67" s="323">
        <v>0</v>
      </c>
      <c r="U67" s="323">
        <v>0</v>
      </c>
      <c r="V67" s="323">
        <v>0</v>
      </c>
      <c r="W67" s="323">
        <v>0</v>
      </c>
      <c r="X67" s="323">
        <v>0</v>
      </c>
      <c r="Y67" s="347">
        <v>13</v>
      </c>
      <c r="Z67" s="323">
        <v>13</v>
      </c>
      <c r="AA67" s="323">
        <v>0</v>
      </c>
      <c r="AB67" s="323">
        <v>0</v>
      </c>
      <c r="AC67" s="323">
        <v>0</v>
      </c>
      <c r="AD67" s="323">
        <v>0</v>
      </c>
      <c r="AE67" s="323">
        <v>0</v>
      </c>
      <c r="AF67" s="323">
        <v>0</v>
      </c>
      <c r="AG67" s="323">
        <v>0</v>
      </c>
      <c r="AH67" s="323">
        <v>0</v>
      </c>
      <c r="AI67" s="323">
        <v>0</v>
      </c>
      <c r="AJ67" s="323">
        <v>0</v>
      </c>
      <c r="AK67" s="328">
        <v>0</v>
      </c>
      <c r="AL67" s="4" t="s">
        <v>207</v>
      </c>
      <c r="AM67" s="327">
        <v>13</v>
      </c>
      <c r="AN67" s="328">
        <v>0</v>
      </c>
      <c r="AO67" s="2"/>
      <c r="AP67" s="323">
        <v>0</v>
      </c>
      <c r="AQ67" s="323">
        <v>0</v>
      </c>
      <c r="AR67" s="323">
        <v>0</v>
      </c>
      <c r="AS67" s="2"/>
      <c r="AT67" s="323">
        <v>0</v>
      </c>
      <c r="AU67" s="323">
        <v>0</v>
      </c>
      <c r="AV67" s="323">
        <v>0</v>
      </c>
      <c r="AW67" s="323">
        <v>0</v>
      </c>
      <c r="AX67" s="323">
        <v>0</v>
      </c>
      <c r="AY67" s="323">
        <v>0</v>
      </c>
      <c r="AZ67" s="323">
        <v>0</v>
      </c>
      <c r="BA67" s="323">
        <v>0</v>
      </c>
      <c r="BB67" s="323">
        <v>0</v>
      </c>
      <c r="BC67" s="323">
        <v>0</v>
      </c>
      <c r="BD67" s="323">
        <v>0</v>
      </c>
      <c r="BE67" s="323">
        <v>0</v>
      </c>
      <c r="BF67" s="2" t="s">
        <v>551</v>
      </c>
      <c r="BG67" s="327">
        <v>0</v>
      </c>
      <c r="BH67" s="323">
        <v>0</v>
      </c>
      <c r="BI67" s="323">
        <v>0</v>
      </c>
      <c r="BJ67" s="323">
        <v>0</v>
      </c>
      <c r="BK67" s="323">
        <v>0</v>
      </c>
      <c r="BL67" s="323">
        <v>0</v>
      </c>
      <c r="BM67" s="323">
        <v>0</v>
      </c>
      <c r="BN67" s="323">
        <v>0</v>
      </c>
      <c r="BO67" s="323">
        <v>0</v>
      </c>
      <c r="BP67" s="323">
        <v>0</v>
      </c>
      <c r="BQ67" s="323">
        <v>0</v>
      </c>
      <c r="BR67" s="328">
        <v>0</v>
      </c>
      <c r="BS67" s="323">
        <v>0</v>
      </c>
      <c r="BT67" s="329">
        <v>0</v>
      </c>
      <c r="BU67" s="330">
        <v>0</v>
      </c>
      <c r="BV67" s="330">
        <v>0</v>
      </c>
      <c r="BW67" s="330">
        <v>0</v>
      </c>
      <c r="BX67" s="330">
        <v>0</v>
      </c>
      <c r="BY67" s="330">
        <v>0</v>
      </c>
      <c r="BZ67" s="330">
        <v>0</v>
      </c>
      <c r="CA67" s="330">
        <v>0</v>
      </c>
      <c r="CB67" s="330">
        <v>0</v>
      </c>
      <c r="CC67" s="330">
        <v>0</v>
      </c>
      <c r="CD67" s="330">
        <v>0</v>
      </c>
      <c r="CE67" s="331">
        <v>0</v>
      </c>
      <c r="CF67" s="2"/>
      <c r="CG67" s="327">
        <v>2</v>
      </c>
      <c r="CH67" s="323">
        <v>2</v>
      </c>
      <c r="CI67" s="323">
        <v>1</v>
      </c>
      <c r="CJ67" s="323">
        <v>1</v>
      </c>
      <c r="CK67" s="323">
        <v>0</v>
      </c>
      <c r="CL67" s="323">
        <v>0</v>
      </c>
      <c r="CM67" s="323">
        <v>0</v>
      </c>
      <c r="CN67" s="323">
        <v>0</v>
      </c>
      <c r="CO67" s="323">
        <v>0</v>
      </c>
      <c r="CP67" s="323">
        <v>0</v>
      </c>
      <c r="CQ67" s="323">
        <v>0</v>
      </c>
      <c r="CR67" s="332">
        <v>0</v>
      </c>
      <c r="CS67" s="327">
        <v>0</v>
      </c>
      <c r="CT67" s="323">
        <v>0</v>
      </c>
      <c r="CU67" s="323">
        <v>0</v>
      </c>
      <c r="CV67" s="323">
        <v>0</v>
      </c>
      <c r="CW67" s="323">
        <v>0</v>
      </c>
      <c r="CX67" s="323">
        <v>0</v>
      </c>
      <c r="CY67" s="323">
        <v>0</v>
      </c>
      <c r="CZ67" s="323">
        <v>0</v>
      </c>
      <c r="DA67" s="323">
        <v>0</v>
      </c>
      <c r="DB67" s="323">
        <v>0</v>
      </c>
      <c r="DC67" s="323">
        <v>0</v>
      </c>
      <c r="DD67" s="328">
        <v>0</v>
      </c>
      <c r="DE67" s="4"/>
      <c r="DF67" s="416">
        <v>0</v>
      </c>
      <c r="DG67" s="417">
        <v>0</v>
      </c>
      <c r="DH67" s="417">
        <v>0</v>
      </c>
      <c r="DI67" s="417">
        <v>0</v>
      </c>
      <c r="DJ67" s="417">
        <v>0</v>
      </c>
      <c r="DK67" s="417">
        <v>0</v>
      </c>
      <c r="DL67" s="417">
        <v>0</v>
      </c>
      <c r="DM67" s="417">
        <v>0</v>
      </c>
      <c r="DN67" s="417">
        <v>0</v>
      </c>
      <c r="DO67" s="417">
        <v>0</v>
      </c>
      <c r="DP67" s="417">
        <v>0</v>
      </c>
      <c r="DQ67" s="417">
        <v>0</v>
      </c>
      <c r="DS67" s="327">
        <v>0</v>
      </c>
      <c r="DT67" s="323">
        <v>0</v>
      </c>
      <c r="DU67" s="323">
        <v>0</v>
      </c>
      <c r="DV67" s="323">
        <v>0</v>
      </c>
      <c r="DW67" s="323">
        <v>0</v>
      </c>
      <c r="DX67" s="323">
        <v>0</v>
      </c>
      <c r="DY67" s="323">
        <v>0</v>
      </c>
      <c r="DZ67" s="328">
        <v>0</v>
      </c>
      <c r="EA67" s="4"/>
      <c r="EB67" s="418" t="s">
        <v>207</v>
      </c>
      <c r="EC67" s="419" t="s">
        <v>418</v>
      </c>
      <c r="ED67" s="340" t="e">
        <v>#DIV/0!</v>
      </c>
      <c r="EE67" s="340" t="e">
        <v>#DIV/0!</v>
      </c>
      <c r="EF67" s="340" t="e">
        <v>#DIV/0!</v>
      </c>
      <c r="EG67" s="323">
        <v>0</v>
      </c>
      <c r="EH67" s="420"/>
      <c r="EI67" s="420">
        <v>0</v>
      </c>
      <c r="EJ67" s="421"/>
      <c r="EK67" s="323">
        <v>0</v>
      </c>
      <c r="EL67" s="323">
        <v>0</v>
      </c>
      <c r="EM67" s="323">
        <v>0</v>
      </c>
      <c r="EN67" s="323">
        <v>0</v>
      </c>
      <c r="EO67" s="323">
        <v>0</v>
      </c>
      <c r="EP67" s="323">
        <v>0</v>
      </c>
      <c r="EQ67" s="323">
        <v>0</v>
      </c>
      <c r="ER67" s="323">
        <v>0</v>
      </c>
      <c r="ES67" s="323">
        <v>0</v>
      </c>
      <c r="ET67" s="323">
        <v>0</v>
      </c>
      <c r="EU67" s="323">
        <v>0</v>
      </c>
      <c r="EV67" s="323">
        <v>0</v>
      </c>
      <c r="EW67" s="347" t="e">
        <v>#DIV/0!</v>
      </c>
      <c r="EX67" s="323">
        <v>0</v>
      </c>
      <c r="EY67" s="323">
        <v>0</v>
      </c>
      <c r="EZ67" s="323">
        <v>0</v>
      </c>
      <c r="FA67" s="323">
        <v>0</v>
      </c>
      <c r="FB67" s="323">
        <v>0</v>
      </c>
      <c r="FC67" s="323">
        <v>0</v>
      </c>
      <c r="FD67" s="323">
        <v>0</v>
      </c>
      <c r="FE67" s="323">
        <v>0</v>
      </c>
      <c r="FF67" s="323">
        <v>0</v>
      </c>
      <c r="FG67" s="323">
        <v>0</v>
      </c>
      <c r="FH67" s="323">
        <v>0</v>
      </c>
      <c r="FI67" s="323">
        <v>0</v>
      </c>
      <c r="FJ67" s="4"/>
      <c r="FK67" s="323">
        <v>0</v>
      </c>
      <c r="FL67" s="323">
        <v>0</v>
      </c>
      <c r="FM67" s="2"/>
      <c r="FN67" s="323">
        <v>0</v>
      </c>
      <c r="FO67" s="323">
        <v>0</v>
      </c>
      <c r="FP67" s="323">
        <v>0</v>
      </c>
      <c r="FR67" s="418" t="s">
        <v>207</v>
      </c>
      <c r="FS67" s="419" t="s">
        <v>418</v>
      </c>
      <c r="FT67" s="340">
        <v>0</v>
      </c>
      <c r="FU67" s="340">
        <v>0</v>
      </c>
      <c r="FV67" s="340">
        <v>0</v>
      </c>
      <c r="FW67" s="323">
        <v>0</v>
      </c>
      <c r="FX67" s="420"/>
      <c r="FY67" s="420">
        <v>0</v>
      </c>
      <c r="FZ67" s="421"/>
      <c r="GA67" s="323">
        <v>13</v>
      </c>
      <c r="GB67" s="323">
        <v>13</v>
      </c>
      <c r="GC67" s="323">
        <v>13</v>
      </c>
      <c r="GD67" s="323">
        <v>13</v>
      </c>
      <c r="GE67" s="323">
        <v>13</v>
      </c>
      <c r="GF67" s="323">
        <v>0</v>
      </c>
      <c r="GG67" s="323">
        <v>0</v>
      </c>
      <c r="GH67" s="323">
        <v>0</v>
      </c>
      <c r="GI67" s="323">
        <v>0</v>
      </c>
      <c r="GJ67" s="323">
        <v>0</v>
      </c>
      <c r="GK67" s="323">
        <v>0</v>
      </c>
      <c r="GL67" s="323">
        <v>0</v>
      </c>
      <c r="GM67" s="347">
        <v>13</v>
      </c>
      <c r="GN67" s="341">
        <v>13</v>
      </c>
      <c r="GO67" s="323">
        <v>0</v>
      </c>
      <c r="GP67" s="323">
        <v>0</v>
      </c>
      <c r="GQ67" s="323">
        <v>0</v>
      </c>
      <c r="GR67" s="323">
        <v>0</v>
      </c>
      <c r="GS67" s="323">
        <v>0</v>
      </c>
      <c r="GT67" s="323">
        <v>0</v>
      </c>
      <c r="GU67" s="323">
        <v>0</v>
      </c>
      <c r="GV67" s="323">
        <v>0</v>
      </c>
      <c r="GW67" s="323">
        <v>0</v>
      </c>
      <c r="GX67" s="323">
        <v>0</v>
      </c>
      <c r="GY67" s="323">
        <v>0</v>
      </c>
      <c r="GZ67" s="4"/>
      <c r="HA67" s="323">
        <v>13</v>
      </c>
      <c r="HB67" s="323">
        <v>0</v>
      </c>
      <c r="HC67" s="2"/>
      <c r="HD67" s="323">
        <v>0</v>
      </c>
      <c r="HE67" s="323">
        <v>0</v>
      </c>
      <c r="HF67" s="323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2</v>
      </c>
      <c r="HS67">
        <v>0.14285714285714285</v>
      </c>
      <c r="HT67">
        <v>12</v>
      </c>
      <c r="HU67">
        <v>0.8571428571428571</v>
      </c>
      <c r="HV67">
        <v>14</v>
      </c>
    </row>
    <row r="68" spans="1:230" x14ac:dyDescent="0.25">
      <c r="A68" t="s">
        <v>552</v>
      </c>
      <c r="B68" s="4">
        <v>6917</v>
      </c>
      <c r="C68" s="444" t="s">
        <v>241</v>
      </c>
      <c r="D68" s="418" t="s">
        <v>204</v>
      </c>
      <c r="E68" s="419" t="s">
        <v>552</v>
      </c>
      <c r="F68" s="340">
        <v>1.0041516606642658</v>
      </c>
      <c r="G68" s="340">
        <v>0.40441176470588236</v>
      </c>
      <c r="H68" s="340">
        <v>3.6764705882352942E-2</v>
      </c>
      <c r="I68" s="323">
        <v>11</v>
      </c>
      <c r="J68" s="420"/>
      <c r="K68" s="478">
        <v>27.312925170068027</v>
      </c>
      <c r="L68" s="421"/>
      <c r="M68" s="323">
        <v>25</v>
      </c>
      <c r="N68" s="323">
        <v>27</v>
      </c>
      <c r="O68" s="323">
        <v>24</v>
      </c>
      <c r="P68" s="323">
        <v>29</v>
      </c>
      <c r="Q68" s="323">
        <v>31</v>
      </c>
      <c r="R68" s="323">
        <v>0</v>
      </c>
      <c r="S68" s="323">
        <v>0</v>
      </c>
      <c r="T68" s="323">
        <v>0</v>
      </c>
      <c r="U68" s="323">
        <v>0</v>
      </c>
      <c r="V68" s="323">
        <v>0</v>
      </c>
      <c r="W68" s="323">
        <v>0</v>
      </c>
      <c r="X68" s="323">
        <v>0</v>
      </c>
      <c r="Y68" s="347">
        <v>27.2</v>
      </c>
      <c r="Z68" s="323">
        <v>31</v>
      </c>
      <c r="AA68" s="323">
        <v>0</v>
      </c>
      <c r="AB68" s="323">
        <v>4</v>
      </c>
      <c r="AC68" s="323">
        <v>1</v>
      </c>
      <c r="AD68" s="323">
        <v>0</v>
      </c>
      <c r="AE68" s="323">
        <v>0</v>
      </c>
      <c r="AF68" s="323">
        <v>0</v>
      </c>
      <c r="AG68" s="323">
        <v>6</v>
      </c>
      <c r="AH68" s="323">
        <v>0</v>
      </c>
      <c r="AI68" s="323">
        <v>0</v>
      </c>
      <c r="AJ68" s="323">
        <v>11</v>
      </c>
      <c r="AK68" s="328">
        <v>1</v>
      </c>
      <c r="AL68" s="4" t="s">
        <v>204</v>
      </c>
      <c r="AM68" s="327">
        <v>23</v>
      </c>
      <c r="AN68" s="328">
        <v>8</v>
      </c>
      <c r="AO68" s="2"/>
      <c r="AP68" s="323">
        <v>10</v>
      </c>
      <c r="AQ68" s="323">
        <v>1</v>
      </c>
      <c r="AR68" s="323">
        <v>0</v>
      </c>
      <c r="AS68" s="2"/>
      <c r="AT68" s="323">
        <v>4</v>
      </c>
      <c r="AU68" s="323">
        <v>2</v>
      </c>
      <c r="AV68" s="323">
        <v>4</v>
      </c>
      <c r="AW68" s="323">
        <v>0</v>
      </c>
      <c r="AX68" s="323">
        <v>1</v>
      </c>
      <c r="AY68" s="323">
        <v>0</v>
      </c>
      <c r="AZ68" s="323">
        <v>0</v>
      </c>
      <c r="BA68" s="323">
        <v>0</v>
      </c>
      <c r="BB68" s="323">
        <v>0</v>
      </c>
      <c r="BC68" s="323">
        <v>0</v>
      </c>
      <c r="BD68" s="323">
        <v>0</v>
      </c>
      <c r="BE68" s="323">
        <v>0</v>
      </c>
      <c r="BF68" s="2" t="s">
        <v>552</v>
      </c>
      <c r="BG68" s="327">
        <v>2</v>
      </c>
      <c r="BH68" s="323">
        <v>5</v>
      </c>
      <c r="BI68" s="323">
        <v>2</v>
      </c>
      <c r="BJ68" s="323">
        <v>5</v>
      </c>
      <c r="BK68" s="323">
        <v>4</v>
      </c>
      <c r="BL68" s="323">
        <v>0</v>
      </c>
      <c r="BM68" s="323">
        <v>0</v>
      </c>
      <c r="BN68" s="323">
        <v>0</v>
      </c>
      <c r="BO68" s="323">
        <v>0</v>
      </c>
      <c r="BP68" s="323">
        <v>0</v>
      </c>
      <c r="BQ68" s="323">
        <v>0</v>
      </c>
      <c r="BR68" s="328">
        <v>0</v>
      </c>
      <c r="BS68" s="323">
        <v>18</v>
      </c>
      <c r="BT68" s="329">
        <v>2.0857142857142859</v>
      </c>
      <c r="BU68" s="330">
        <v>1.5041208791208793</v>
      </c>
      <c r="BV68" s="330">
        <v>1.5832851359167148</v>
      </c>
      <c r="BW68" s="330">
        <v>1.1684673869547819</v>
      </c>
      <c r="BX68" s="330">
        <v>1.0041516606642658</v>
      </c>
      <c r="BY68" s="330">
        <v>0.97325468648998059</v>
      </c>
      <c r="BZ68" s="330">
        <v>0.98406862745098056</v>
      </c>
      <c r="CA68" s="330">
        <v>0.99233811171527453</v>
      </c>
      <c r="CB68" s="330">
        <v>0.98925339366515841</v>
      </c>
      <c r="CC68" s="330">
        <v>0.99692202462380297</v>
      </c>
      <c r="CD68" s="330">
        <v>1.0032853566958699</v>
      </c>
      <c r="CE68" s="331">
        <v>0.97058823529411764</v>
      </c>
      <c r="CF68" s="2"/>
      <c r="CG68" s="327">
        <v>7</v>
      </c>
      <c r="CH68" s="323">
        <v>10</v>
      </c>
      <c r="CI68" s="323">
        <v>6</v>
      </c>
      <c r="CJ68" s="323">
        <v>7</v>
      </c>
      <c r="CK68" s="323">
        <v>0</v>
      </c>
      <c r="CL68" s="323">
        <v>0</v>
      </c>
      <c r="CM68" s="323">
        <v>0</v>
      </c>
      <c r="CN68" s="323">
        <v>0</v>
      </c>
      <c r="CO68" s="323">
        <v>0</v>
      </c>
      <c r="CP68" s="323">
        <v>0</v>
      </c>
      <c r="CQ68" s="323">
        <v>0</v>
      </c>
      <c r="CR68" s="332">
        <v>0</v>
      </c>
      <c r="CS68" s="327">
        <v>0</v>
      </c>
      <c r="CT68" s="323">
        <v>0</v>
      </c>
      <c r="CU68" s="323">
        <v>0</v>
      </c>
      <c r="CV68" s="323">
        <v>0</v>
      </c>
      <c r="CW68" s="323">
        <v>0</v>
      </c>
      <c r="CX68" s="323">
        <v>0</v>
      </c>
      <c r="CY68" s="323">
        <v>0</v>
      </c>
      <c r="CZ68" s="323">
        <v>0</v>
      </c>
      <c r="DA68" s="323">
        <v>0</v>
      </c>
      <c r="DB68" s="323">
        <v>0</v>
      </c>
      <c r="DC68" s="323">
        <v>0</v>
      </c>
      <c r="DD68" s="328">
        <v>0</v>
      </c>
      <c r="DE68" s="4"/>
      <c r="DF68" s="416">
        <v>0</v>
      </c>
      <c r="DG68" s="417">
        <v>0</v>
      </c>
      <c r="DH68" s="417">
        <v>0</v>
      </c>
      <c r="DI68" s="417">
        <v>0</v>
      </c>
      <c r="DJ68" s="417">
        <v>0</v>
      </c>
      <c r="DK68" s="417">
        <v>0</v>
      </c>
      <c r="DL68" s="417">
        <v>0</v>
      </c>
      <c r="DM68" s="417">
        <v>0</v>
      </c>
      <c r="DN68" s="417">
        <v>0</v>
      </c>
      <c r="DO68" s="417">
        <v>0</v>
      </c>
      <c r="DP68" s="417">
        <v>0</v>
      </c>
      <c r="DQ68" s="417">
        <v>0</v>
      </c>
      <c r="DS68" s="327">
        <v>10</v>
      </c>
      <c r="DT68" s="323">
        <v>0</v>
      </c>
      <c r="DU68" s="323">
        <v>0</v>
      </c>
      <c r="DV68" s="323">
        <v>0</v>
      </c>
      <c r="DW68" s="323">
        <v>0</v>
      </c>
      <c r="DX68" s="323">
        <v>0</v>
      </c>
      <c r="DY68" s="323">
        <v>8</v>
      </c>
      <c r="DZ68" s="328">
        <v>18</v>
      </c>
      <c r="EA68" s="4"/>
      <c r="EB68" s="418" t="s">
        <v>204</v>
      </c>
      <c r="EC68" s="419" t="s">
        <v>420</v>
      </c>
      <c r="ED68" s="340">
        <v>0</v>
      </c>
      <c r="EE68" s="340">
        <v>0</v>
      </c>
      <c r="EF68" s="340">
        <v>0</v>
      </c>
      <c r="EG68" s="323">
        <v>0</v>
      </c>
      <c r="EH68" s="420"/>
      <c r="EI68" s="420">
        <v>0</v>
      </c>
      <c r="EJ68" s="421"/>
      <c r="EK68" s="323">
        <v>0</v>
      </c>
      <c r="EL68" s="323">
        <v>0</v>
      </c>
      <c r="EM68" s="323">
        <v>0</v>
      </c>
      <c r="EN68" s="323">
        <v>1</v>
      </c>
      <c r="EO68" s="323">
        <v>1</v>
      </c>
      <c r="EP68" s="323">
        <v>0</v>
      </c>
      <c r="EQ68" s="323">
        <v>0</v>
      </c>
      <c r="ER68" s="323">
        <v>0</v>
      </c>
      <c r="ES68" s="323">
        <v>0</v>
      </c>
      <c r="ET68" s="323">
        <v>0</v>
      </c>
      <c r="EU68" s="323">
        <v>0</v>
      </c>
      <c r="EV68" s="323">
        <v>0</v>
      </c>
      <c r="EW68" s="347">
        <v>1</v>
      </c>
      <c r="EX68" s="323">
        <v>1</v>
      </c>
      <c r="EY68" s="323">
        <v>0</v>
      </c>
      <c r="EZ68" s="323">
        <v>0</v>
      </c>
      <c r="FA68" s="323">
        <v>0</v>
      </c>
      <c r="FB68" s="323">
        <v>0</v>
      </c>
      <c r="FC68" s="323">
        <v>0</v>
      </c>
      <c r="FD68" s="323">
        <v>0</v>
      </c>
      <c r="FE68" s="323">
        <v>0</v>
      </c>
      <c r="FF68" s="323">
        <v>0</v>
      </c>
      <c r="FG68" s="323">
        <v>0</v>
      </c>
      <c r="FH68" s="323">
        <v>0</v>
      </c>
      <c r="FI68" s="323">
        <v>0</v>
      </c>
      <c r="FJ68" s="4"/>
      <c r="FK68" s="323">
        <v>0</v>
      </c>
      <c r="FL68" s="323">
        <v>1</v>
      </c>
      <c r="FM68" s="2"/>
      <c r="FN68" s="323">
        <v>0</v>
      </c>
      <c r="FO68" s="323">
        <v>0</v>
      </c>
      <c r="FP68" s="323">
        <v>0</v>
      </c>
      <c r="FR68" s="418" t="s">
        <v>204</v>
      </c>
      <c r="FS68" s="419" t="s">
        <v>420</v>
      </c>
      <c r="FT68" s="340">
        <v>1.0191389988831352</v>
      </c>
      <c r="FU68" s="340">
        <v>0.41044776119402981</v>
      </c>
      <c r="FV68" s="340">
        <v>3.7313432835820892E-2</v>
      </c>
      <c r="FW68" s="323">
        <v>11</v>
      </c>
      <c r="FX68" s="420"/>
      <c r="FY68" s="420">
        <v>27.312925170068027</v>
      </c>
      <c r="FZ68" s="421"/>
      <c r="GA68" s="323">
        <v>25</v>
      </c>
      <c r="GB68" s="323">
        <v>27</v>
      </c>
      <c r="GC68" s="323">
        <v>24</v>
      </c>
      <c r="GD68" s="323">
        <v>28</v>
      </c>
      <c r="GE68" s="323">
        <v>30</v>
      </c>
      <c r="GF68" s="323">
        <v>0</v>
      </c>
      <c r="GG68" s="323">
        <v>0</v>
      </c>
      <c r="GH68" s="323">
        <v>0</v>
      </c>
      <c r="GI68" s="323">
        <v>0</v>
      </c>
      <c r="GJ68" s="323">
        <v>0</v>
      </c>
      <c r="GK68" s="323">
        <v>0</v>
      </c>
      <c r="GL68" s="323">
        <v>0</v>
      </c>
      <c r="GM68" s="347">
        <v>26.8</v>
      </c>
      <c r="GN68" s="341">
        <v>30</v>
      </c>
      <c r="GO68" s="323">
        <v>0</v>
      </c>
      <c r="GP68" s="323">
        <v>4</v>
      </c>
      <c r="GQ68" s="323">
        <v>1</v>
      </c>
      <c r="GR68" s="323">
        <v>0</v>
      </c>
      <c r="GS68" s="323">
        <v>0</v>
      </c>
      <c r="GT68" s="323">
        <v>0</v>
      </c>
      <c r="GU68" s="323">
        <v>6</v>
      </c>
      <c r="GV68" s="323">
        <v>0</v>
      </c>
      <c r="GW68" s="323">
        <v>0</v>
      </c>
      <c r="GX68" s="323">
        <v>11</v>
      </c>
      <c r="GY68" s="323">
        <v>1</v>
      </c>
      <c r="GZ68" s="4"/>
      <c r="HA68" s="323">
        <v>23</v>
      </c>
      <c r="HB68" s="323">
        <v>7</v>
      </c>
      <c r="HC68" s="2"/>
      <c r="HD68" s="323">
        <v>10</v>
      </c>
      <c r="HE68" s="323">
        <v>1</v>
      </c>
      <c r="HF68" s="323">
        <v>0</v>
      </c>
      <c r="HH68">
        <v>0</v>
      </c>
      <c r="HI68">
        <v>0</v>
      </c>
      <c r="HJ68">
        <v>0</v>
      </c>
      <c r="HK68">
        <v>0</v>
      </c>
      <c r="HL68">
        <v>1</v>
      </c>
      <c r="HM68">
        <v>4.3478260869565216E-2</v>
      </c>
      <c r="HN68">
        <v>2</v>
      </c>
      <c r="HO68">
        <v>8.6956521739130432E-2</v>
      </c>
      <c r="HP68">
        <v>4</v>
      </c>
      <c r="HQ68">
        <v>0.17391304347826086</v>
      </c>
      <c r="HR68">
        <v>7</v>
      </c>
      <c r="HS68">
        <v>0.30434782608695654</v>
      </c>
      <c r="HT68">
        <v>16</v>
      </c>
      <c r="HU68">
        <v>0.69565217391304346</v>
      </c>
      <c r="HV68">
        <v>23</v>
      </c>
    </row>
    <row r="69" spans="1:230" x14ac:dyDescent="0.25">
      <c r="A69" t="s">
        <v>553</v>
      </c>
      <c r="B69" s="4">
        <v>1347</v>
      </c>
      <c r="C69" s="444" t="s">
        <v>319</v>
      </c>
      <c r="D69" s="418" t="s">
        <v>204</v>
      </c>
      <c r="E69" s="419" t="s">
        <v>553</v>
      </c>
      <c r="F69" s="340">
        <v>2.4829931972789114</v>
      </c>
      <c r="G69" s="340">
        <v>1</v>
      </c>
      <c r="H69" s="340">
        <v>0</v>
      </c>
      <c r="I69" s="323">
        <v>3</v>
      </c>
      <c r="J69" s="420"/>
      <c r="K69" s="478">
        <v>7.4489795918367339</v>
      </c>
      <c r="L69" s="421"/>
      <c r="M69" s="323">
        <v>3</v>
      </c>
      <c r="N69" s="323">
        <v>0</v>
      </c>
      <c r="O69" s="323">
        <v>0</v>
      </c>
      <c r="P69" s="323">
        <v>0</v>
      </c>
      <c r="Q69" s="323">
        <v>0</v>
      </c>
      <c r="R69" s="323">
        <v>0</v>
      </c>
      <c r="S69" s="323">
        <v>0</v>
      </c>
      <c r="T69" s="323">
        <v>0</v>
      </c>
      <c r="U69" s="323">
        <v>0</v>
      </c>
      <c r="V69" s="323">
        <v>0</v>
      </c>
      <c r="W69" s="323">
        <v>0</v>
      </c>
      <c r="X69" s="323">
        <v>0</v>
      </c>
      <c r="Y69" s="347">
        <v>3</v>
      </c>
      <c r="Z69" s="323">
        <v>0</v>
      </c>
      <c r="AA69" s="323">
        <v>0</v>
      </c>
      <c r="AB69" s="323">
        <v>0</v>
      </c>
      <c r="AC69" s="323">
        <v>0</v>
      </c>
      <c r="AD69" s="323">
        <v>0</v>
      </c>
      <c r="AE69" s="323">
        <v>0</v>
      </c>
      <c r="AF69" s="323">
        <v>0</v>
      </c>
      <c r="AG69" s="323">
        <v>0</v>
      </c>
      <c r="AH69" s="323">
        <v>0</v>
      </c>
      <c r="AI69" s="323">
        <v>3</v>
      </c>
      <c r="AJ69" s="323">
        <v>3</v>
      </c>
      <c r="AK69" s="328">
        <v>0</v>
      </c>
      <c r="AL69" s="4" t="s">
        <v>208</v>
      </c>
      <c r="AM69" s="327">
        <v>0</v>
      </c>
      <c r="AN69" s="328">
        <v>0</v>
      </c>
      <c r="AO69" s="2"/>
      <c r="AP69" s="323">
        <v>0</v>
      </c>
      <c r="AQ69" s="323">
        <v>3</v>
      </c>
      <c r="AR69" s="323">
        <v>0</v>
      </c>
      <c r="AS69" s="2"/>
      <c r="AT69" s="323">
        <v>0</v>
      </c>
      <c r="AU69" s="323">
        <v>3</v>
      </c>
      <c r="AV69" s="323">
        <v>0</v>
      </c>
      <c r="AW69" s="323">
        <v>0</v>
      </c>
      <c r="AX69" s="323">
        <v>0</v>
      </c>
      <c r="AY69" s="323">
        <v>0</v>
      </c>
      <c r="AZ69" s="323">
        <v>0</v>
      </c>
      <c r="BA69" s="323">
        <v>0</v>
      </c>
      <c r="BB69" s="323">
        <v>0</v>
      </c>
      <c r="BC69" s="323">
        <v>0</v>
      </c>
      <c r="BD69" s="323">
        <v>0</v>
      </c>
      <c r="BE69" s="323">
        <v>0</v>
      </c>
      <c r="BF69" s="2" t="s">
        <v>553</v>
      </c>
      <c r="BG69" s="327">
        <v>0</v>
      </c>
      <c r="BH69" s="323">
        <v>0</v>
      </c>
      <c r="BI69" s="323">
        <v>0</v>
      </c>
      <c r="BJ69" s="323">
        <v>0</v>
      </c>
      <c r="BK69" s="323">
        <v>0</v>
      </c>
      <c r="BL69" s="323">
        <v>0</v>
      </c>
      <c r="BM69" s="323">
        <v>0</v>
      </c>
      <c r="BN69" s="323">
        <v>0</v>
      </c>
      <c r="BO69" s="323">
        <v>0</v>
      </c>
      <c r="BP69" s="323">
        <v>0</v>
      </c>
      <c r="BQ69" s="323">
        <v>0</v>
      </c>
      <c r="BR69" s="328">
        <v>0</v>
      </c>
      <c r="BS69" s="323">
        <v>0</v>
      </c>
      <c r="BT69" s="329">
        <v>0</v>
      </c>
      <c r="BU69" s="330">
        <v>13.035714285714286</v>
      </c>
      <c r="BV69" s="330">
        <v>12.032967032967033</v>
      </c>
      <c r="BW69" s="330">
        <v>12.268907563025211</v>
      </c>
      <c r="BX69" s="330">
        <v>12.414965986394558</v>
      </c>
      <c r="BY69" s="330">
        <v>12.032967032967033</v>
      </c>
      <c r="BZ69" s="330">
        <v>12.166666666666668</v>
      </c>
      <c r="CA69" s="330">
        <v>12.268907563025211</v>
      </c>
      <c r="CB69" s="330">
        <v>12.23076923076923</v>
      </c>
      <c r="CC69" s="330">
        <v>12.325581395348838</v>
      </c>
      <c r="CD69" s="330">
        <v>12.404255319148938</v>
      </c>
      <c r="CE69" s="331">
        <v>12</v>
      </c>
      <c r="CF69" s="2"/>
      <c r="CG69" s="327">
        <v>4</v>
      </c>
      <c r="CH69" s="323">
        <v>0</v>
      </c>
      <c r="CI69" s="323">
        <v>0</v>
      </c>
      <c r="CJ69" s="323">
        <v>0</v>
      </c>
      <c r="CK69" s="323">
        <v>0</v>
      </c>
      <c r="CL69" s="323">
        <v>0</v>
      </c>
      <c r="CM69" s="323">
        <v>0</v>
      </c>
      <c r="CN69" s="323">
        <v>0</v>
      </c>
      <c r="CO69" s="323">
        <v>0</v>
      </c>
      <c r="CP69" s="323">
        <v>0</v>
      </c>
      <c r="CQ69" s="323">
        <v>0</v>
      </c>
      <c r="CR69" s="332">
        <v>0</v>
      </c>
      <c r="CS69" s="327">
        <v>0</v>
      </c>
      <c r="CT69" s="323">
        <v>0</v>
      </c>
      <c r="CU69" s="323">
        <v>0</v>
      </c>
      <c r="CV69" s="323">
        <v>0</v>
      </c>
      <c r="CW69" s="323">
        <v>0</v>
      </c>
      <c r="CX69" s="323">
        <v>0</v>
      </c>
      <c r="CY69" s="323">
        <v>0</v>
      </c>
      <c r="CZ69" s="323">
        <v>0</v>
      </c>
      <c r="DA69" s="323">
        <v>0</v>
      </c>
      <c r="DB69" s="323">
        <v>0</v>
      </c>
      <c r="DC69" s="323">
        <v>0</v>
      </c>
      <c r="DD69" s="328">
        <v>0</v>
      </c>
      <c r="DE69" s="4"/>
      <c r="DF69" s="416">
        <v>0</v>
      </c>
      <c r="DG69" s="417">
        <v>0</v>
      </c>
      <c r="DH69" s="417">
        <v>0</v>
      </c>
      <c r="DI69" s="417">
        <v>0</v>
      </c>
      <c r="DJ69" s="417">
        <v>0</v>
      </c>
      <c r="DK69" s="417">
        <v>0</v>
      </c>
      <c r="DL69" s="417">
        <v>0</v>
      </c>
      <c r="DM69" s="417">
        <v>0</v>
      </c>
      <c r="DN69" s="417">
        <v>0</v>
      </c>
      <c r="DO69" s="417">
        <v>0</v>
      </c>
      <c r="DP69" s="417">
        <v>0</v>
      </c>
      <c r="DQ69" s="417">
        <v>0</v>
      </c>
      <c r="DS69" s="327">
        <v>0</v>
      </c>
      <c r="DT69" s="323">
        <v>0</v>
      </c>
      <c r="DU69" s="323">
        <v>0</v>
      </c>
      <c r="DV69" s="323">
        <v>0</v>
      </c>
      <c r="DW69" s="323">
        <v>0</v>
      </c>
      <c r="DX69" s="323">
        <v>0</v>
      </c>
      <c r="DY69" s="323">
        <v>0</v>
      </c>
      <c r="DZ69" s="328">
        <v>0</v>
      </c>
      <c r="EA69" s="4"/>
      <c r="EB69" s="418" t="s">
        <v>208</v>
      </c>
      <c r="EC69" s="419" t="s">
        <v>440</v>
      </c>
      <c r="ED69" s="340" t="e">
        <v>#DIV/0!</v>
      </c>
      <c r="EE69" s="340" t="e">
        <v>#DIV/0!</v>
      </c>
      <c r="EF69" s="340" t="e">
        <v>#DIV/0!</v>
      </c>
      <c r="EG69" s="323">
        <v>0</v>
      </c>
      <c r="EH69" s="420"/>
      <c r="EI69" s="420">
        <v>0</v>
      </c>
      <c r="EJ69" s="421"/>
      <c r="EK69" s="323">
        <v>0</v>
      </c>
      <c r="EL69" s="323">
        <v>0</v>
      </c>
      <c r="EM69" s="323">
        <v>0</v>
      </c>
      <c r="EN69" s="323">
        <v>0</v>
      </c>
      <c r="EO69" s="323">
        <v>0</v>
      </c>
      <c r="EP69" s="323">
        <v>0</v>
      </c>
      <c r="EQ69" s="323">
        <v>0</v>
      </c>
      <c r="ER69" s="323">
        <v>0</v>
      </c>
      <c r="ES69" s="323">
        <v>0</v>
      </c>
      <c r="ET69" s="323">
        <v>0</v>
      </c>
      <c r="EU69" s="323">
        <v>0</v>
      </c>
      <c r="EV69" s="323">
        <v>0</v>
      </c>
      <c r="EW69" s="347" t="e">
        <v>#DIV/0!</v>
      </c>
      <c r="EX69" s="323">
        <v>0</v>
      </c>
      <c r="EY69" s="323">
        <v>0</v>
      </c>
      <c r="EZ69" s="323">
        <v>0</v>
      </c>
      <c r="FA69" s="323">
        <v>0</v>
      </c>
      <c r="FB69" s="323">
        <v>0</v>
      </c>
      <c r="FC69" s="323">
        <v>0</v>
      </c>
      <c r="FD69" s="323">
        <v>0</v>
      </c>
      <c r="FE69" s="323">
        <v>0</v>
      </c>
      <c r="FF69" s="323">
        <v>0</v>
      </c>
      <c r="FG69" s="323">
        <v>0</v>
      </c>
      <c r="FH69" s="323">
        <v>0</v>
      </c>
      <c r="FI69" s="323">
        <v>0</v>
      </c>
      <c r="FJ69" s="4"/>
      <c r="FK69" s="323">
        <v>0</v>
      </c>
      <c r="FL69" s="323">
        <v>0</v>
      </c>
      <c r="FM69" s="2"/>
      <c r="FN69" s="323">
        <v>0</v>
      </c>
      <c r="FO69" s="323">
        <v>0</v>
      </c>
      <c r="FP69" s="323">
        <v>0</v>
      </c>
      <c r="FR69" s="418" t="s">
        <v>208</v>
      </c>
      <c r="FS69" s="419" t="s">
        <v>440</v>
      </c>
      <c r="FT69" s="340">
        <v>2.4829931972789114</v>
      </c>
      <c r="FU69" s="340">
        <v>1</v>
      </c>
      <c r="FV69" s="340">
        <v>0</v>
      </c>
      <c r="FW69" s="323">
        <v>3</v>
      </c>
      <c r="FX69" s="420"/>
      <c r="FY69" s="420">
        <v>7.4489795918367339</v>
      </c>
      <c r="FZ69" s="421"/>
      <c r="GA69" s="323">
        <v>3</v>
      </c>
      <c r="GB69" s="323">
        <v>0</v>
      </c>
      <c r="GC69" s="323">
        <v>0</v>
      </c>
      <c r="GD69" s="323">
        <v>0</v>
      </c>
      <c r="GE69" s="323">
        <v>0</v>
      </c>
      <c r="GF69" s="323">
        <v>0</v>
      </c>
      <c r="GG69" s="323">
        <v>0</v>
      </c>
      <c r="GH69" s="323">
        <v>0</v>
      </c>
      <c r="GI69" s="323">
        <v>0</v>
      </c>
      <c r="GJ69" s="323">
        <v>0</v>
      </c>
      <c r="GK69" s="323">
        <v>0</v>
      </c>
      <c r="GL69" s="323">
        <v>0</v>
      </c>
      <c r="GM69" s="347">
        <v>3</v>
      </c>
      <c r="GN69" s="341">
        <v>0</v>
      </c>
      <c r="GO69" s="323">
        <v>0</v>
      </c>
      <c r="GP69" s="323">
        <v>0</v>
      </c>
      <c r="GQ69" s="323">
        <v>0</v>
      </c>
      <c r="GR69" s="323">
        <v>0</v>
      </c>
      <c r="GS69" s="323">
        <v>0</v>
      </c>
      <c r="GT69" s="323">
        <v>0</v>
      </c>
      <c r="GU69" s="323">
        <v>0</v>
      </c>
      <c r="GV69" s="323">
        <v>0</v>
      </c>
      <c r="GW69" s="323">
        <v>3</v>
      </c>
      <c r="GX69" s="323">
        <v>3</v>
      </c>
      <c r="GY69" s="323">
        <v>0</v>
      </c>
      <c r="GZ69" s="4"/>
      <c r="HA69" s="323">
        <v>0</v>
      </c>
      <c r="HB69" s="323">
        <v>0</v>
      </c>
      <c r="HC69" s="2"/>
      <c r="HD69" s="323">
        <v>0</v>
      </c>
      <c r="HE69" s="323">
        <v>3</v>
      </c>
      <c r="HF69" s="323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1</v>
      </c>
      <c r="HQ69">
        <v>0.04</v>
      </c>
      <c r="HR69">
        <v>4</v>
      </c>
      <c r="HS69">
        <v>0.16</v>
      </c>
      <c r="HT69">
        <v>21</v>
      </c>
      <c r="HU69">
        <v>0.84</v>
      </c>
      <c r="HV69">
        <v>25</v>
      </c>
    </row>
    <row r="70" spans="1:230" x14ac:dyDescent="0.25">
      <c r="A70" t="s">
        <v>554</v>
      </c>
      <c r="B70" s="4">
        <v>6925</v>
      </c>
      <c r="C70" s="444" t="s">
        <v>253</v>
      </c>
      <c r="D70" s="418" t="s">
        <v>208</v>
      </c>
      <c r="E70" s="419" t="s">
        <v>554</v>
      </c>
      <c r="F70" s="340">
        <v>0.602668251766726</v>
      </c>
      <c r="G70" s="340">
        <v>0.24271844660194172</v>
      </c>
      <c r="H70" s="340">
        <v>0.14563106796116504</v>
      </c>
      <c r="I70" s="323">
        <v>5</v>
      </c>
      <c r="J70" s="420"/>
      <c r="K70" s="478">
        <v>12.414965986394558</v>
      </c>
      <c r="L70" s="421"/>
      <c r="M70" s="323">
        <v>22</v>
      </c>
      <c r="N70" s="323">
        <v>21</v>
      </c>
      <c r="O70" s="323">
        <v>20</v>
      </c>
      <c r="P70" s="323">
        <v>20</v>
      </c>
      <c r="Q70" s="323">
        <v>20</v>
      </c>
      <c r="R70" s="323">
        <v>0</v>
      </c>
      <c r="S70" s="323">
        <v>0</v>
      </c>
      <c r="T70" s="323">
        <v>0</v>
      </c>
      <c r="U70" s="323">
        <v>0</v>
      </c>
      <c r="V70" s="323">
        <v>0</v>
      </c>
      <c r="W70" s="323">
        <v>0</v>
      </c>
      <c r="X70" s="323">
        <v>0</v>
      </c>
      <c r="Y70" s="347">
        <v>20.6</v>
      </c>
      <c r="Z70" s="323">
        <v>20</v>
      </c>
      <c r="AA70" s="323">
        <v>0</v>
      </c>
      <c r="AB70" s="323">
        <v>0</v>
      </c>
      <c r="AC70" s="323">
        <v>0</v>
      </c>
      <c r="AD70" s="323">
        <v>1</v>
      </c>
      <c r="AE70" s="323">
        <v>0</v>
      </c>
      <c r="AF70" s="323">
        <v>0</v>
      </c>
      <c r="AG70" s="323">
        <v>4</v>
      </c>
      <c r="AH70" s="323">
        <v>0</v>
      </c>
      <c r="AI70" s="323">
        <v>0</v>
      </c>
      <c r="AJ70" s="323">
        <v>5</v>
      </c>
      <c r="AK70" s="328">
        <v>3</v>
      </c>
      <c r="AL70" s="4" t="s">
        <v>208</v>
      </c>
      <c r="AM70" s="327">
        <v>19</v>
      </c>
      <c r="AN70" s="328">
        <v>1</v>
      </c>
      <c r="AO70" s="2"/>
      <c r="AP70" s="323">
        <v>4</v>
      </c>
      <c r="AQ70" s="323">
        <v>1</v>
      </c>
      <c r="AR70" s="323">
        <v>0</v>
      </c>
      <c r="AS70" s="2"/>
      <c r="AT70" s="323">
        <v>0</v>
      </c>
      <c r="AU70" s="323">
        <v>1</v>
      </c>
      <c r="AV70" s="323">
        <v>1</v>
      </c>
      <c r="AW70" s="323">
        <v>0</v>
      </c>
      <c r="AX70" s="323">
        <v>3</v>
      </c>
      <c r="AY70" s="323">
        <v>0</v>
      </c>
      <c r="AZ70" s="323">
        <v>0</v>
      </c>
      <c r="BA70" s="323">
        <v>0</v>
      </c>
      <c r="BB70" s="323">
        <v>0</v>
      </c>
      <c r="BC70" s="323">
        <v>0</v>
      </c>
      <c r="BD70" s="323">
        <v>0</v>
      </c>
      <c r="BE70" s="323">
        <v>0</v>
      </c>
      <c r="BF70" s="2" t="s">
        <v>554</v>
      </c>
      <c r="BG70" s="327">
        <v>0</v>
      </c>
      <c r="BH70" s="323">
        <v>0</v>
      </c>
      <c r="BI70" s="323">
        <v>1</v>
      </c>
      <c r="BJ70" s="323">
        <v>0</v>
      </c>
      <c r="BK70" s="323">
        <v>3</v>
      </c>
      <c r="BL70" s="323">
        <v>0</v>
      </c>
      <c r="BM70" s="323">
        <v>0</v>
      </c>
      <c r="BN70" s="323">
        <v>0</v>
      </c>
      <c r="BO70" s="323">
        <v>0</v>
      </c>
      <c r="BP70" s="323">
        <v>0</v>
      </c>
      <c r="BQ70" s="323">
        <v>0</v>
      </c>
      <c r="BR70" s="328">
        <v>0</v>
      </c>
      <c r="BS70" s="323">
        <v>4</v>
      </c>
      <c r="BT70" s="329">
        <v>0</v>
      </c>
      <c r="BU70" s="330">
        <v>0.30315614617940201</v>
      </c>
      <c r="BV70" s="330">
        <v>0.38199895342752488</v>
      </c>
      <c r="BW70" s="330">
        <v>0.29563632681988461</v>
      </c>
      <c r="BX70" s="330">
        <v>0.602668251766726</v>
      </c>
      <c r="BY70" s="330">
        <v>0.58412461325082676</v>
      </c>
      <c r="BZ70" s="330">
        <v>0.59061488673139162</v>
      </c>
      <c r="CA70" s="330">
        <v>0.59557803704005874</v>
      </c>
      <c r="CB70" s="330">
        <v>0.59372666168782684</v>
      </c>
      <c r="CC70" s="330">
        <v>0.59832919394897266</v>
      </c>
      <c r="CD70" s="330">
        <v>0.60214831646354061</v>
      </c>
      <c r="CE70" s="331">
        <v>0.58252427184466016</v>
      </c>
      <c r="CF70" s="2"/>
      <c r="CG70" s="327">
        <v>18</v>
      </c>
      <c r="CH70" s="323">
        <v>20</v>
      </c>
      <c r="CI70" s="323">
        <v>6</v>
      </c>
      <c r="CJ70" s="323">
        <v>5</v>
      </c>
      <c r="CK70" s="323">
        <v>0</v>
      </c>
      <c r="CL70" s="323">
        <v>0</v>
      </c>
      <c r="CM70" s="323">
        <v>0</v>
      </c>
      <c r="CN70" s="323">
        <v>0</v>
      </c>
      <c r="CO70" s="323">
        <v>0</v>
      </c>
      <c r="CP70" s="323">
        <v>0</v>
      </c>
      <c r="CQ70" s="323">
        <v>0</v>
      </c>
      <c r="CR70" s="332">
        <v>0</v>
      </c>
      <c r="CS70" s="327">
        <v>0</v>
      </c>
      <c r="CT70" s="323">
        <v>0</v>
      </c>
      <c r="CU70" s="323">
        <v>0</v>
      </c>
      <c r="CV70" s="323">
        <v>0</v>
      </c>
      <c r="CW70" s="323">
        <v>0</v>
      </c>
      <c r="CX70" s="323">
        <v>0</v>
      </c>
      <c r="CY70" s="323">
        <v>0</v>
      </c>
      <c r="CZ70" s="323">
        <v>0</v>
      </c>
      <c r="DA70" s="323">
        <v>0</v>
      </c>
      <c r="DB70" s="323">
        <v>0</v>
      </c>
      <c r="DC70" s="323">
        <v>0</v>
      </c>
      <c r="DD70" s="328">
        <v>0</v>
      </c>
      <c r="DE70" s="4"/>
      <c r="DF70" s="416">
        <v>0</v>
      </c>
      <c r="DG70" s="417">
        <v>0</v>
      </c>
      <c r="DH70" s="417">
        <v>0</v>
      </c>
      <c r="DI70" s="417">
        <v>0</v>
      </c>
      <c r="DJ70" s="417">
        <v>0</v>
      </c>
      <c r="DK70" s="417">
        <v>0</v>
      </c>
      <c r="DL70" s="417">
        <v>0</v>
      </c>
      <c r="DM70" s="417">
        <v>0</v>
      </c>
      <c r="DN70" s="417">
        <v>0</v>
      </c>
      <c r="DO70" s="417">
        <v>0</v>
      </c>
      <c r="DP70" s="417">
        <v>0</v>
      </c>
      <c r="DQ70" s="417">
        <v>0</v>
      </c>
      <c r="DS70" s="327">
        <v>2</v>
      </c>
      <c r="DT70" s="323">
        <v>0</v>
      </c>
      <c r="DU70" s="323">
        <v>0</v>
      </c>
      <c r="DV70" s="323">
        <v>0</v>
      </c>
      <c r="DW70" s="323">
        <v>0</v>
      </c>
      <c r="DX70" s="323">
        <v>0</v>
      </c>
      <c r="DY70" s="323">
        <v>2</v>
      </c>
      <c r="DZ70" s="328">
        <v>4</v>
      </c>
      <c r="EA70" s="4"/>
      <c r="EB70" s="418" t="s">
        <v>208</v>
      </c>
      <c r="EC70" s="419" t="s">
        <v>422</v>
      </c>
      <c r="ED70" s="340" t="e">
        <v>#DIV/0!</v>
      </c>
      <c r="EE70" s="340" t="e">
        <v>#DIV/0!</v>
      </c>
      <c r="EF70" s="340" t="e">
        <v>#DIV/0!</v>
      </c>
      <c r="EG70" s="323">
        <v>0</v>
      </c>
      <c r="EH70" s="420"/>
      <c r="EI70" s="420">
        <v>0</v>
      </c>
      <c r="EJ70" s="421"/>
      <c r="EK70" s="323">
        <v>0</v>
      </c>
      <c r="EL70" s="323">
        <v>0</v>
      </c>
      <c r="EM70" s="323">
        <v>0</v>
      </c>
      <c r="EN70" s="323">
        <v>0</v>
      </c>
      <c r="EO70" s="323">
        <v>0</v>
      </c>
      <c r="EP70" s="323">
        <v>0</v>
      </c>
      <c r="EQ70" s="323">
        <v>0</v>
      </c>
      <c r="ER70" s="323">
        <v>0</v>
      </c>
      <c r="ES70" s="323">
        <v>0</v>
      </c>
      <c r="ET70" s="323">
        <v>0</v>
      </c>
      <c r="EU70" s="323">
        <v>0</v>
      </c>
      <c r="EV70" s="323">
        <v>0</v>
      </c>
      <c r="EW70" s="347" t="e">
        <v>#DIV/0!</v>
      </c>
      <c r="EX70" s="323">
        <v>0</v>
      </c>
      <c r="EY70" s="323">
        <v>0</v>
      </c>
      <c r="EZ70" s="323">
        <v>0</v>
      </c>
      <c r="FA70" s="323">
        <v>0</v>
      </c>
      <c r="FB70" s="323">
        <v>0</v>
      </c>
      <c r="FC70" s="323">
        <v>0</v>
      </c>
      <c r="FD70" s="323">
        <v>0</v>
      </c>
      <c r="FE70" s="323">
        <v>0</v>
      </c>
      <c r="FF70" s="323">
        <v>0</v>
      </c>
      <c r="FG70" s="323">
        <v>0</v>
      </c>
      <c r="FH70" s="323">
        <v>0</v>
      </c>
      <c r="FI70" s="323">
        <v>0</v>
      </c>
      <c r="FJ70" s="4"/>
      <c r="FK70" s="323">
        <v>0</v>
      </c>
      <c r="FL70" s="323">
        <v>0</v>
      </c>
      <c r="FM70" s="2"/>
      <c r="FN70" s="323">
        <v>0</v>
      </c>
      <c r="FO70" s="323">
        <v>0</v>
      </c>
      <c r="FP70" s="323">
        <v>0</v>
      </c>
      <c r="FR70" s="418" t="s">
        <v>208</v>
      </c>
      <c r="FS70" s="419" t="s">
        <v>422</v>
      </c>
      <c r="FT70" s="340">
        <v>0.602668251766726</v>
      </c>
      <c r="FU70" s="340">
        <v>0.24271844660194172</v>
      </c>
      <c r="FV70" s="340">
        <v>0.14563106796116504</v>
      </c>
      <c r="FW70" s="323">
        <v>5</v>
      </c>
      <c r="FX70" s="420"/>
      <c r="FY70" s="420">
        <v>12.414965986394558</v>
      </c>
      <c r="FZ70" s="421"/>
      <c r="GA70" s="323">
        <v>22</v>
      </c>
      <c r="GB70" s="323">
        <v>21</v>
      </c>
      <c r="GC70" s="323">
        <v>20</v>
      </c>
      <c r="GD70" s="323">
        <v>20</v>
      </c>
      <c r="GE70" s="323">
        <v>20</v>
      </c>
      <c r="GF70" s="323">
        <v>0</v>
      </c>
      <c r="GG70" s="323">
        <v>0</v>
      </c>
      <c r="GH70" s="323">
        <v>0</v>
      </c>
      <c r="GI70" s="323">
        <v>0</v>
      </c>
      <c r="GJ70" s="323">
        <v>0</v>
      </c>
      <c r="GK70" s="323">
        <v>0</v>
      </c>
      <c r="GL70" s="323">
        <v>0</v>
      </c>
      <c r="GM70" s="347">
        <v>20.6</v>
      </c>
      <c r="GN70" s="341">
        <v>20</v>
      </c>
      <c r="GO70" s="323">
        <v>0</v>
      </c>
      <c r="GP70" s="323">
        <v>0</v>
      </c>
      <c r="GQ70" s="323">
        <v>0</v>
      </c>
      <c r="GR70" s="323">
        <v>1</v>
      </c>
      <c r="GS70" s="323">
        <v>0</v>
      </c>
      <c r="GT70" s="323">
        <v>0</v>
      </c>
      <c r="GU70" s="323">
        <v>4</v>
      </c>
      <c r="GV70" s="323">
        <v>0</v>
      </c>
      <c r="GW70" s="323">
        <v>0</v>
      </c>
      <c r="GX70" s="323">
        <v>5</v>
      </c>
      <c r="GY70" s="323">
        <v>3</v>
      </c>
      <c r="GZ70" s="4"/>
      <c r="HA70" s="323">
        <v>19</v>
      </c>
      <c r="HB70" s="323">
        <v>1</v>
      </c>
      <c r="HC70" s="2"/>
      <c r="HD70" s="323">
        <v>4</v>
      </c>
      <c r="HE70" s="323">
        <v>1</v>
      </c>
      <c r="HF70" s="323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1</v>
      </c>
      <c r="HQ70">
        <v>5.5555555555555552E-2</v>
      </c>
      <c r="HR70">
        <v>18</v>
      </c>
      <c r="HS70">
        <v>1</v>
      </c>
      <c r="HT70">
        <v>0</v>
      </c>
      <c r="HU70">
        <v>0</v>
      </c>
      <c r="HV70">
        <v>18</v>
      </c>
    </row>
    <row r="71" spans="1:230" x14ac:dyDescent="0.25">
      <c r="A71" t="s">
        <v>555</v>
      </c>
      <c r="B71" s="4">
        <v>6929</v>
      </c>
      <c r="C71" s="444" t="s">
        <v>270</v>
      </c>
      <c r="D71" s="418" t="s">
        <v>208</v>
      </c>
      <c r="E71" s="419" t="s">
        <v>555</v>
      </c>
      <c r="F71" s="340">
        <v>0</v>
      </c>
      <c r="G71" s="340">
        <v>0</v>
      </c>
      <c r="H71" s="340">
        <v>0</v>
      </c>
      <c r="I71" s="323">
        <v>0</v>
      </c>
      <c r="J71" s="420"/>
      <c r="K71" s="478">
        <v>0</v>
      </c>
      <c r="L71" s="421"/>
      <c r="M71" s="323">
        <v>10</v>
      </c>
      <c r="N71" s="323">
        <v>10</v>
      </c>
      <c r="O71" s="323">
        <v>10</v>
      </c>
      <c r="P71" s="323">
        <v>10</v>
      </c>
      <c r="Q71" s="323">
        <v>11</v>
      </c>
      <c r="R71" s="323">
        <v>0</v>
      </c>
      <c r="S71" s="323">
        <v>0</v>
      </c>
      <c r="T71" s="323">
        <v>0</v>
      </c>
      <c r="U71" s="323">
        <v>0</v>
      </c>
      <c r="V71" s="323">
        <v>0</v>
      </c>
      <c r="W71" s="323">
        <v>0</v>
      </c>
      <c r="X71" s="323">
        <v>0</v>
      </c>
      <c r="Y71" s="347">
        <v>10.199999999999999</v>
      </c>
      <c r="Z71" s="323">
        <v>11</v>
      </c>
      <c r="AA71" s="323">
        <v>0</v>
      </c>
      <c r="AB71" s="323">
        <v>0</v>
      </c>
      <c r="AC71" s="323">
        <v>0</v>
      </c>
      <c r="AD71" s="323">
        <v>0</v>
      </c>
      <c r="AE71" s="323">
        <v>0</v>
      </c>
      <c r="AF71" s="323">
        <v>0</v>
      </c>
      <c r="AG71" s="323">
        <v>0</v>
      </c>
      <c r="AH71" s="323">
        <v>0</v>
      </c>
      <c r="AI71" s="323">
        <v>0</v>
      </c>
      <c r="AJ71" s="323">
        <v>0</v>
      </c>
      <c r="AK71" s="328">
        <v>0</v>
      </c>
      <c r="AL71" s="4" t="s">
        <v>208</v>
      </c>
      <c r="AM71" s="327">
        <v>11</v>
      </c>
      <c r="AN71" s="328">
        <v>0</v>
      </c>
      <c r="AO71" s="2"/>
      <c r="AP71" s="323">
        <v>0</v>
      </c>
      <c r="AQ71" s="323">
        <v>0</v>
      </c>
      <c r="AR71" s="323">
        <v>0</v>
      </c>
      <c r="AS71" s="2"/>
      <c r="AT71" s="323">
        <v>0</v>
      </c>
      <c r="AU71" s="323">
        <v>0</v>
      </c>
      <c r="AV71" s="323">
        <v>0</v>
      </c>
      <c r="AW71" s="323">
        <v>0</v>
      </c>
      <c r="AX71" s="323">
        <v>0</v>
      </c>
      <c r="AY71" s="323">
        <v>0</v>
      </c>
      <c r="AZ71" s="323">
        <v>0</v>
      </c>
      <c r="BA71" s="323">
        <v>0</v>
      </c>
      <c r="BB71" s="323">
        <v>0</v>
      </c>
      <c r="BC71" s="323">
        <v>0</v>
      </c>
      <c r="BD71" s="323">
        <v>0</v>
      </c>
      <c r="BE71" s="323">
        <v>0</v>
      </c>
      <c r="BF71" s="2" t="s">
        <v>555</v>
      </c>
      <c r="BG71" s="327">
        <v>1</v>
      </c>
      <c r="BH71" s="323">
        <v>0</v>
      </c>
      <c r="BI71" s="323">
        <v>0</v>
      </c>
      <c r="BJ71" s="323">
        <v>0</v>
      </c>
      <c r="BK71" s="323">
        <v>1</v>
      </c>
      <c r="BL71" s="323">
        <v>0</v>
      </c>
      <c r="BM71" s="323">
        <v>0</v>
      </c>
      <c r="BN71" s="323">
        <v>0</v>
      </c>
      <c r="BO71" s="323">
        <v>0</v>
      </c>
      <c r="BP71" s="323">
        <v>0</v>
      </c>
      <c r="BQ71" s="323">
        <v>0</v>
      </c>
      <c r="BR71" s="328">
        <v>0</v>
      </c>
      <c r="BS71" s="323">
        <v>2</v>
      </c>
      <c r="BT71" s="422">
        <v>0</v>
      </c>
      <c r="BU71" s="423">
        <v>0</v>
      </c>
      <c r="BV71" s="423">
        <v>0</v>
      </c>
      <c r="BW71" s="423">
        <v>0</v>
      </c>
      <c r="BX71" s="423">
        <v>0</v>
      </c>
      <c r="BY71" s="423">
        <v>0</v>
      </c>
      <c r="BZ71" s="423">
        <v>0</v>
      </c>
      <c r="CA71" s="423">
        <v>0</v>
      </c>
      <c r="CB71" s="423">
        <v>0</v>
      </c>
      <c r="CC71" s="423">
        <v>0</v>
      </c>
      <c r="CD71" s="423">
        <v>0</v>
      </c>
      <c r="CE71" s="424">
        <v>0</v>
      </c>
      <c r="CF71" s="2"/>
      <c r="CG71" s="327">
        <v>0</v>
      </c>
      <c r="CH71" s="323">
        <v>0</v>
      </c>
      <c r="CI71" s="323">
        <v>0</v>
      </c>
      <c r="CJ71" s="323">
        <v>0</v>
      </c>
      <c r="CK71" s="323">
        <v>0</v>
      </c>
      <c r="CL71" s="323">
        <v>0</v>
      </c>
      <c r="CM71" s="323">
        <v>0</v>
      </c>
      <c r="CN71" s="323">
        <v>0</v>
      </c>
      <c r="CO71" s="323">
        <v>0</v>
      </c>
      <c r="CP71" s="323">
        <v>0</v>
      </c>
      <c r="CQ71" s="323">
        <v>0</v>
      </c>
      <c r="CR71" s="332">
        <v>0</v>
      </c>
      <c r="CS71" s="327">
        <v>0</v>
      </c>
      <c r="CT71" s="323">
        <v>0</v>
      </c>
      <c r="CU71" s="323">
        <v>0</v>
      </c>
      <c r="CV71" s="323">
        <v>0</v>
      </c>
      <c r="CW71" s="323">
        <v>0</v>
      </c>
      <c r="CX71" s="323">
        <v>0</v>
      </c>
      <c r="CY71" s="323">
        <v>0</v>
      </c>
      <c r="CZ71" s="323">
        <v>0</v>
      </c>
      <c r="DA71" s="323">
        <v>0</v>
      </c>
      <c r="DB71" s="323">
        <v>0</v>
      </c>
      <c r="DC71" s="323">
        <v>0</v>
      </c>
      <c r="DD71" s="328">
        <v>0</v>
      </c>
      <c r="DE71" s="4"/>
      <c r="DF71" s="416" t="s">
        <v>130</v>
      </c>
      <c r="DG71" s="417" t="s">
        <v>130</v>
      </c>
      <c r="DH71" s="417" t="s">
        <v>130</v>
      </c>
      <c r="DI71" s="417" t="s">
        <v>130</v>
      </c>
      <c r="DJ71" s="417" t="s">
        <v>130</v>
      </c>
      <c r="DK71" s="417" t="s">
        <v>130</v>
      </c>
      <c r="DL71" s="417" t="s">
        <v>130</v>
      </c>
      <c r="DM71" s="417" t="s">
        <v>130</v>
      </c>
      <c r="DN71" s="417" t="s">
        <v>130</v>
      </c>
      <c r="DO71" s="417" t="s">
        <v>130</v>
      </c>
      <c r="DP71" s="417" t="s">
        <v>130</v>
      </c>
      <c r="DQ71" s="417" t="s">
        <v>130</v>
      </c>
      <c r="DS71" s="327">
        <v>0</v>
      </c>
      <c r="DT71" s="323">
        <v>0</v>
      </c>
      <c r="DU71" s="323">
        <v>0</v>
      </c>
      <c r="DV71" s="323">
        <v>0</v>
      </c>
      <c r="DW71" s="323">
        <v>0</v>
      </c>
      <c r="DX71" s="323">
        <v>0</v>
      </c>
      <c r="DY71" s="323">
        <v>2</v>
      </c>
      <c r="DZ71" s="328">
        <v>2</v>
      </c>
      <c r="EA71" s="4"/>
      <c r="EB71" s="418" t="s">
        <v>208</v>
      </c>
      <c r="EC71" s="419" t="s">
        <v>424</v>
      </c>
      <c r="ED71" s="340" t="e">
        <v>#DIV/0!</v>
      </c>
      <c r="EE71" s="340" t="e">
        <v>#DIV/0!</v>
      </c>
      <c r="EF71" s="340" t="e">
        <v>#DIV/0!</v>
      </c>
      <c r="EG71" s="323">
        <v>0</v>
      </c>
      <c r="EH71" s="420"/>
      <c r="EI71" s="420">
        <v>0</v>
      </c>
      <c r="EJ71" s="421"/>
      <c r="EK71" s="323">
        <v>0</v>
      </c>
      <c r="EL71" s="323">
        <v>0</v>
      </c>
      <c r="EM71" s="323">
        <v>0</v>
      </c>
      <c r="EN71" s="323">
        <v>0</v>
      </c>
      <c r="EO71" s="323">
        <v>0</v>
      </c>
      <c r="EP71" s="323">
        <v>0</v>
      </c>
      <c r="EQ71" s="323">
        <v>0</v>
      </c>
      <c r="ER71" s="323">
        <v>0</v>
      </c>
      <c r="ES71" s="323">
        <v>0</v>
      </c>
      <c r="ET71" s="323">
        <v>0</v>
      </c>
      <c r="EU71" s="323">
        <v>0</v>
      </c>
      <c r="EV71" s="323">
        <v>0</v>
      </c>
      <c r="EW71" s="347" t="e">
        <v>#DIV/0!</v>
      </c>
      <c r="EX71" s="323">
        <v>0</v>
      </c>
      <c r="EY71" s="323">
        <v>0</v>
      </c>
      <c r="EZ71" s="323">
        <v>0</v>
      </c>
      <c r="FA71" s="323">
        <v>0</v>
      </c>
      <c r="FB71" s="323">
        <v>0</v>
      </c>
      <c r="FC71" s="323">
        <v>0</v>
      </c>
      <c r="FD71" s="323">
        <v>0</v>
      </c>
      <c r="FE71" s="323">
        <v>0</v>
      </c>
      <c r="FF71" s="323">
        <v>0</v>
      </c>
      <c r="FG71" s="323">
        <v>0</v>
      </c>
      <c r="FH71" s="323">
        <v>0</v>
      </c>
      <c r="FI71" s="323">
        <v>0</v>
      </c>
      <c r="FJ71" s="4"/>
      <c r="FK71" s="323">
        <v>0</v>
      </c>
      <c r="FL71" s="323">
        <v>0</v>
      </c>
      <c r="FM71" s="2"/>
      <c r="FN71" s="323">
        <v>0</v>
      </c>
      <c r="FO71" s="323">
        <v>0</v>
      </c>
      <c r="FP71" s="323">
        <v>0</v>
      </c>
      <c r="FR71" s="418" t="s">
        <v>208</v>
      </c>
      <c r="FS71" s="419" t="s">
        <v>424</v>
      </c>
      <c r="FT71" s="340">
        <v>0</v>
      </c>
      <c r="FU71" s="340">
        <v>0</v>
      </c>
      <c r="FV71" s="340">
        <v>0</v>
      </c>
      <c r="FW71" s="323">
        <v>0</v>
      </c>
      <c r="FX71" s="420"/>
      <c r="FY71" s="420">
        <v>0</v>
      </c>
      <c r="FZ71" s="421"/>
      <c r="GA71" s="323">
        <v>10</v>
      </c>
      <c r="GB71" s="323">
        <v>10</v>
      </c>
      <c r="GC71" s="323">
        <v>10</v>
      </c>
      <c r="GD71" s="323">
        <v>10</v>
      </c>
      <c r="GE71" s="323">
        <v>11</v>
      </c>
      <c r="GF71" s="323">
        <v>0</v>
      </c>
      <c r="GG71" s="323">
        <v>0</v>
      </c>
      <c r="GH71" s="323">
        <v>0</v>
      </c>
      <c r="GI71" s="323">
        <v>0</v>
      </c>
      <c r="GJ71" s="323">
        <v>0</v>
      </c>
      <c r="GK71" s="323">
        <v>0</v>
      </c>
      <c r="GL71" s="323">
        <v>0</v>
      </c>
      <c r="GM71" s="347">
        <v>10.199999999999999</v>
      </c>
      <c r="GN71" s="341">
        <v>11</v>
      </c>
      <c r="GO71" s="323">
        <v>0</v>
      </c>
      <c r="GP71" s="323">
        <v>0</v>
      </c>
      <c r="GQ71" s="323">
        <v>0</v>
      </c>
      <c r="GR71" s="323">
        <v>0</v>
      </c>
      <c r="GS71" s="323">
        <v>0</v>
      </c>
      <c r="GT71" s="323">
        <v>0</v>
      </c>
      <c r="GU71" s="323">
        <v>0</v>
      </c>
      <c r="GV71" s="323">
        <v>0</v>
      </c>
      <c r="GW71" s="323">
        <v>0</v>
      </c>
      <c r="GX71" s="323">
        <v>0</v>
      </c>
      <c r="GY71" s="323">
        <v>0</v>
      </c>
      <c r="GZ71" s="4"/>
      <c r="HA71" s="323">
        <v>11</v>
      </c>
      <c r="HB71" s="323">
        <v>0</v>
      </c>
      <c r="HC71" s="2"/>
      <c r="HD71" s="323">
        <v>0</v>
      </c>
      <c r="HE71" s="323">
        <v>0</v>
      </c>
      <c r="HF71" s="323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12</v>
      </c>
      <c r="HU71">
        <v>1</v>
      </c>
      <c r="HV71">
        <v>12</v>
      </c>
    </row>
    <row r="72" spans="1:230" x14ac:dyDescent="0.25">
      <c r="A72" t="s">
        <v>556</v>
      </c>
      <c r="B72" s="4">
        <v>6932</v>
      </c>
      <c r="C72" s="444" t="s">
        <v>272</v>
      </c>
      <c r="D72" s="418" t="s">
        <v>208</v>
      </c>
      <c r="E72" s="419" t="s">
        <v>556</v>
      </c>
      <c r="F72" s="340">
        <v>0</v>
      </c>
      <c r="G72" s="340">
        <v>0</v>
      </c>
      <c r="H72" s="340">
        <v>0</v>
      </c>
      <c r="I72" s="323">
        <v>0</v>
      </c>
      <c r="J72" s="420"/>
      <c r="K72" s="478">
        <v>0</v>
      </c>
      <c r="L72" s="421"/>
      <c r="M72" s="323">
        <v>11</v>
      </c>
      <c r="N72" s="323">
        <v>11</v>
      </c>
      <c r="O72" s="323">
        <v>11</v>
      </c>
      <c r="P72" s="323">
        <v>11</v>
      </c>
      <c r="Q72" s="323">
        <v>11</v>
      </c>
      <c r="R72" s="323">
        <v>0</v>
      </c>
      <c r="S72" s="323">
        <v>0</v>
      </c>
      <c r="T72" s="323">
        <v>0</v>
      </c>
      <c r="U72" s="323">
        <v>0</v>
      </c>
      <c r="V72" s="323">
        <v>0</v>
      </c>
      <c r="W72" s="323">
        <v>0</v>
      </c>
      <c r="X72" s="323">
        <v>0</v>
      </c>
      <c r="Y72" s="347">
        <v>11</v>
      </c>
      <c r="Z72" s="323">
        <v>11</v>
      </c>
      <c r="AA72" s="323">
        <v>0</v>
      </c>
      <c r="AB72" s="323">
        <v>0</v>
      </c>
      <c r="AC72" s="323">
        <v>0</v>
      </c>
      <c r="AD72" s="323">
        <v>0</v>
      </c>
      <c r="AE72" s="323">
        <v>0</v>
      </c>
      <c r="AF72" s="323">
        <v>0</v>
      </c>
      <c r="AG72" s="323">
        <v>0</v>
      </c>
      <c r="AH72" s="323">
        <v>0</v>
      </c>
      <c r="AI72" s="323">
        <v>0</v>
      </c>
      <c r="AJ72" s="323">
        <v>0</v>
      </c>
      <c r="AK72" s="328">
        <v>0</v>
      </c>
      <c r="AL72" s="4" t="s">
        <v>208</v>
      </c>
      <c r="AM72" s="327">
        <v>11</v>
      </c>
      <c r="AN72" s="328">
        <v>0</v>
      </c>
      <c r="AO72" s="2"/>
      <c r="AP72" s="323">
        <v>0</v>
      </c>
      <c r="AQ72" s="323">
        <v>0</v>
      </c>
      <c r="AR72" s="323">
        <v>0</v>
      </c>
      <c r="AS72" s="2"/>
      <c r="AT72" s="323">
        <v>0</v>
      </c>
      <c r="AU72" s="323">
        <v>0</v>
      </c>
      <c r="AV72" s="323">
        <v>0</v>
      </c>
      <c r="AW72" s="323">
        <v>0</v>
      </c>
      <c r="AX72" s="323">
        <v>0</v>
      </c>
      <c r="AY72" s="323">
        <v>0</v>
      </c>
      <c r="AZ72" s="323">
        <v>0</v>
      </c>
      <c r="BA72" s="323">
        <v>0</v>
      </c>
      <c r="BB72" s="323">
        <v>0</v>
      </c>
      <c r="BC72" s="323">
        <v>0</v>
      </c>
      <c r="BD72" s="323">
        <v>0</v>
      </c>
      <c r="BE72" s="323">
        <v>0</v>
      </c>
      <c r="BF72" s="2" t="s">
        <v>556</v>
      </c>
      <c r="BG72" s="327">
        <v>0</v>
      </c>
      <c r="BH72" s="323">
        <v>0</v>
      </c>
      <c r="BI72" s="323">
        <v>0</v>
      </c>
      <c r="BJ72" s="323">
        <v>0</v>
      </c>
      <c r="BK72" s="323">
        <v>0</v>
      </c>
      <c r="BL72" s="323">
        <v>0</v>
      </c>
      <c r="BM72" s="323">
        <v>0</v>
      </c>
      <c r="BN72" s="323">
        <v>0</v>
      </c>
      <c r="BO72" s="323">
        <v>0</v>
      </c>
      <c r="BP72" s="323">
        <v>0</v>
      </c>
      <c r="BQ72" s="323">
        <v>0</v>
      </c>
      <c r="BR72" s="328">
        <v>0</v>
      </c>
      <c r="BS72" s="323">
        <v>0</v>
      </c>
      <c r="BT72" s="422">
        <v>0</v>
      </c>
      <c r="BU72" s="423">
        <v>0</v>
      </c>
      <c r="BV72" s="423">
        <v>0</v>
      </c>
      <c r="BW72" s="423">
        <v>0</v>
      </c>
      <c r="BX72" s="423">
        <v>0</v>
      </c>
      <c r="BY72" s="423">
        <v>0</v>
      </c>
      <c r="BZ72" s="423">
        <v>0</v>
      </c>
      <c r="CA72" s="423">
        <v>0</v>
      </c>
      <c r="CB72" s="423">
        <v>0</v>
      </c>
      <c r="CC72" s="423">
        <v>0</v>
      </c>
      <c r="CD72" s="423">
        <v>0</v>
      </c>
      <c r="CE72" s="424">
        <v>0</v>
      </c>
      <c r="CF72" s="2"/>
      <c r="CG72" s="327">
        <v>3</v>
      </c>
      <c r="CH72" s="323">
        <v>3</v>
      </c>
      <c r="CI72" s="323">
        <v>3</v>
      </c>
      <c r="CJ72" s="323">
        <v>2</v>
      </c>
      <c r="CK72" s="323">
        <v>0</v>
      </c>
      <c r="CL72" s="323">
        <v>0</v>
      </c>
      <c r="CM72" s="323">
        <v>0</v>
      </c>
      <c r="CN72" s="323">
        <v>0</v>
      </c>
      <c r="CO72" s="323">
        <v>0</v>
      </c>
      <c r="CP72" s="323">
        <v>0</v>
      </c>
      <c r="CQ72" s="323">
        <v>0</v>
      </c>
      <c r="CR72" s="332">
        <v>0</v>
      </c>
      <c r="CS72" s="327">
        <v>0</v>
      </c>
      <c r="CT72" s="323">
        <v>0</v>
      </c>
      <c r="CU72" s="323">
        <v>0</v>
      </c>
      <c r="CV72" s="323">
        <v>0</v>
      </c>
      <c r="CW72" s="323">
        <v>0</v>
      </c>
      <c r="CX72" s="323">
        <v>0</v>
      </c>
      <c r="CY72" s="323">
        <v>0</v>
      </c>
      <c r="CZ72" s="323">
        <v>0</v>
      </c>
      <c r="DA72" s="323">
        <v>0</v>
      </c>
      <c r="DB72" s="323">
        <v>0</v>
      </c>
      <c r="DC72" s="323">
        <v>0</v>
      </c>
      <c r="DD72" s="328">
        <v>0</v>
      </c>
      <c r="DE72" s="4"/>
      <c r="DF72" s="416">
        <v>0</v>
      </c>
      <c r="DG72" s="417">
        <v>0</v>
      </c>
      <c r="DH72" s="417">
        <v>0</v>
      </c>
      <c r="DI72" s="417">
        <v>0</v>
      </c>
      <c r="DJ72" s="417">
        <v>0</v>
      </c>
      <c r="DK72" s="417">
        <v>0</v>
      </c>
      <c r="DL72" s="417">
        <v>0</v>
      </c>
      <c r="DM72" s="417">
        <v>0</v>
      </c>
      <c r="DN72" s="417">
        <v>0</v>
      </c>
      <c r="DO72" s="417">
        <v>0</v>
      </c>
      <c r="DP72" s="417">
        <v>0</v>
      </c>
      <c r="DQ72" s="417">
        <v>0</v>
      </c>
      <c r="DS72" s="327">
        <v>0</v>
      </c>
      <c r="DT72" s="323">
        <v>0</v>
      </c>
      <c r="DU72" s="323">
        <v>0</v>
      </c>
      <c r="DV72" s="323">
        <v>0</v>
      </c>
      <c r="DW72" s="323">
        <v>0</v>
      </c>
      <c r="DX72" s="323">
        <v>0</v>
      </c>
      <c r="DY72" s="323">
        <v>0</v>
      </c>
      <c r="DZ72" s="328">
        <v>0</v>
      </c>
      <c r="EA72" s="4"/>
      <c r="EB72" s="418" t="s">
        <v>208</v>
      </c>
      <c r="EC72" s="419" t="s">
        <v>426</v>
      </c>
      <c r="ED72" s="340" t="e">
        <v>#DIV/0!</v>
      </c>
      <c r="EE72" s="340" t="e">
        <v>#DIV/0!</v>
      </c>
      <c r="EF72" s="340" t="e">
        <v>#DIV/0!</v>
      </c>
      <c r="EG72" s="323">
        <v>0</v>
      </c>
      <c r="EH72" s="420"/>
      <c r="EI72" s="420">
        <v>0</v>
      </c>
      <c r="EJ72" s="421"/>
      <c r="EK72" s="323">
        <v>0</v>
      </c>
      <c r="EL72" s="323">
        <v>0</v>
      </c>
      <c r="EM72" s="323">
        <v>0</v>
      </c>
      <c r="EN72" s="323">
        <v>0</v>
      </c>
      <c r="EO72" s="323">
        <v>0</v>
      </c>
      <c r="EP72" s="323">
        <v>0</v>
      </c>
      <c r="EQ72" s="323">
        <v>0</v>
      </c>
      <c r="ER72" s="323">
        <v>0</v>
      </c>
      <c r="ES72" s="323">
        <v>0</v>
      </c>
      <c r="ET72" s="323">
        <v>0</v>
      </c>
      <c r="EU72" s="323">
        <v>0</v>
      </c>
      <c r="EV72" s="323">
        <v>0</v>
      </c>
      <c r="EW72" s="347" t="e">
        <v>#DIV/0!</v>
      </c>
      <c r="EX72" s="323">
        <v>0</v>
      </c>
      <c r="EY72" s="323">
        <v>0</v>
      </c>
      <c r="EZ72" s="323">
        <v>0</v>
      </c>
      <c r="FA72" s="323">
        <v>0</v>
      </c>
      <c r="FB72" s="323">
        <v>0</v>
      </c>
      <c r="FC72" s="323">
        <v>0</v>
      </c>
      <c r="FD72" s="323">
        <v>0</v>
      </c>
      <c r="FE72" s="323">
        <v>0</v>
      </c>
      <c r="FF72" s="323">
        <v>0</v>
      </c>
      <c r="FG72" s="323">
        <v>0</v>
      </c>
      <c r="FH72" s="323">
        <v>0</v>
      </c>
      <c r="FI72" s="323">
        <v>0</v>
      </c>
      <c r="FJ72" s="4"/>
      <c r="FK72" s="323">
        <v>0</v>
      </c>
      <c r="FL72" s="323">
        <v>0</v>
      </c>
      <c r="FM72" s="2"/>
      <c r="FN72" s="323">
        <v>0</v>
      </c>
      <c r="FO72" s="323">
        <v>0</v>
      </c>
      <c r="FP72" s="323">
        <v>0</v>
      </c>
      <c r="FR72" s="418" t="s">
        <v>208</v>
      </c>
      <c r="FS72" s="419" t="s">
        <v>426</v>
      </c>
      <c r="FT72" s="340">
        <v>0</v>
      </c>
      <c r="FU72" s="340">
        <v>0</v>
      </c>
      <c r="FV72" s="340">
        <v>0</v>
      </c>
      <c r="FW72" s="323">
        <v>0</v>
      </c>
      <c r="FX72" s="420"/>
      <c r="FY72" s="420">
        <v>0</v>
      </c>
      <c r="FZ72" s="421"/>
      <c r="GA72" s="323">
        <v>11</v>
      </c>
      <c r="GB72" s="323">
        <v>11</v>
      </c>
      <c r="GC72" s="323">
        <v>11</v>
      </c>
      <c r="GD72" s="323">
        <v>11</v>
      </c>
      <c r="GE72" s="323">
        <v>11</v>
      </c>
      <c r="GF72" s="323">
        <v>0</v>
      </c>
      <c r="GG72" s="323">
        <v>0</v>
      </c>
      <c r="GH72" s="323">
        <v>0</v>
      </c>
      <c r="GI72" s="323">
        <v>0</v>
      </c>
      <c r="GJ72" s="323">
        <v>0</v>
      </c>
      <c r="GK72" s="323">
        <v>0</v>
      </c>
      <c r="GL72" s="323">
        <v>0</v>
      </c>
      <c r="GM72" s="347">
        <v>11</v>
      </c>
      <c r="GN72" s="341">
        <v>11</v>
      </c>
      <c r="GO72" s="323">
        <v>0</v>
      </c>
      <c r="GP72" s="323">
        <v>0</v>
      </c>
      <c r="GQ72" s="323">
        <v>0</v>
      </c>
      <c r="GR72" s="323">
        <v>0</v>
      </c>
      <c r="GS72" s="323">
        <v>0</v>
      </c>
      <c r="GT72" s="323">
        <v>0</v>
      </c>
      <c r="GU72" s="323">
        <v>0</v>
      </c>
      <c r="GV72" s="323">
        <v>0</v>
      </c>
      <c r="GW72" s="323">
        <v>0</v>
      </c>
      <c r="GX72" s="323">
        <v>0</v>
      </c>
      <c r="GY72" s="323">
        <v>0</v>
      </c>
      <c r="GZ72" s="4"/>
      <c r="HA72" s="323">
        <v>11</v>
      </c>
      <c r="HB72" s="323">
        <v>0</v>
      </c>
      <c r="HC72" s="2"/>
      <c r="HD72" s="323">
        <v>0</v>
      </c>
      <c r="HE72" s="323">
        <v>0</v>
      </c>
      <c r="HF72" s="323">
        <v>0</v>
      </c>
      <c r="HH72">
        <v>0</v>
      </c>
      <c r="HI72">
        <v>0</v>
      </c>
      <c r="HJ72">
        <v>0</v>
      </c>
      <c r="HK72">
        <v>0</v>
      </c>
      <c r="HL72">
        <v>1</v>
      </c>
      <c r="HM72">
        <v>8.3333333333333329E-2</v>
      </c>
      <c r="HN72">
        <v>1</v>
      </c>
      <c r="HO72">
        <v>8.3333333333333329E-2</v>
      </c>
      <c r="HP72">
        <v>1</v>
      </c>
      <c r="HQ72">
        <v>8.3333333333333329E-2</v>
      </c>
      <c r="HR72">
        <v>3</v>
      </c>
      <c r="HS72">
        <v>0.25</v>
      </c>
      <c r="HT72">
        <v>9</v>
      </c>
      <c r="HU72">
        <v>0.75</v>
      </c>
      <c r="HV72">
        <v>12</v>
      </c>
    </row>
    <row r="73" spans="1:230" x14ac:dyDescent="0.25">
      <c r="A73" t="s">
        <v>557</v>
      </c>
      <c r="B73" s="4">
        <v>1348</v>
      </c>
      <c r="C73" s="444" t="s">
        <v>320</v>
      </c>
      <c r="D73" s="418" t="s">
        <v>207</v>
      </c>
      <c r="E73" s="419" t="s">
        <v>557</v>
      </c>
      <c r="F73" s="340">
        <v>0</v>
      </c>
      <c r="G73" s="340">
        <v>0</v>
      </c>
      <c r="H73" s="340">
        <v>0</v>
      </c>
      <c r="I73" s="323">
        <v>0</v>
      </c>
      <c r="J73" s="420"/>
      <c r="K73" s="478">
        <v>0</v>
      </c>
      <c r="L73" s="421"/>
      <c r="M73" s="323">
        <v>2</v>
      </c>
      <c r="N73" s="323">
        <v>2</v>
      </c>
      <c r="O73" s="323">
        <v>2</v>
      </c>
      <c r="P73" s="323">
        <v>2</v>
      </c>
      <c r="Q73" s="323">
        <v>2</v>
      </c>
      <c r="R73" s="323">
        <v>0</v>
      </c>
      <c r="S73" s="323">
        <v>0</v>
      </c>
      <c r="T73" s="323">
        <v>0</v>
      </c>
      <c r="U73" s="323">
        <v>0</v>
      </c>
      <c r="V73" s="323">
        <v>0</v>
      </c>
      <c r="W73" s="323">
        <v>0</v>
      </c>
      <c r="X73" s="323">
        <v>0</v>
      </c>
      <c r="Y73" s="347">
        <v>2</v>
      </c>
      <c r="Z73" s="323">
        <v>2</v>
      </c>
      <c r="AA73" s="323">
        <v>0</v>
      </c>
      <c r="AB73" s="323">
        <v>0</v>
      </c>
      <c r="AC73" s="323">
        <v>0</v>
      </c>
      <c r="AD73" s="323">
        <v>0</v>
      </c>
      <c r="AE73" s="323">
        <v>0</v>
      </c>
      <c r="AF73" s="323">
        <v>0</v>
      </c>
      <c r="AG73" s="323">
        <v>0</v>
      </c>
      <c r="AH73" s="323">
        <v>0</v>
      </c>
      <c r="AI73" s="323">
        <v>0</v>
      </c>
      <c r="AJ73" s="323">
        <v>0</v>
      </c>
      <c r="AK73" s="328">
        <v>0</v>
      </c>
      <c r="AL73" s="4" t="s">
        <v>207</v>
      </c>
      <c r="AM73" s="327">
        <v>2</v>
      </c>
      <c r="AN73" s="328">
        <v>0</v>
      </c>
      <c r="AO73" s="2"/>
      <c r="AP73" s="323">
        <v>0</v>
      </c>
      <c r="AQ73" s="323">
        <v>0</v>
      </c>
      <c r="AR73" s="323">
        <v>0</v>
      </c>
      <c r="AS73" s="2"/>
      <c r="AT73" s="323">
        <v>0</v>
      </c>
      <c r="AU73" s="323">
        <v>0</v>
      </c>
      <c r="AV73" s="323">
        <v>0</v>
      </c>
      <c r="AW73" s="323">
        <v>0</v>
      </c>
      <c r="AX73" s="323">
        <v>0</v>
      </c>
      <c r="AY73" s="323">
        <v>0</v>
      </c>
      <c r="AZ73" s="323">
        <v>0</v>
      </c>
      <c r="BA73" s="323">
        <v>0</v>
      </c>
      <c r="BB73" s="323">
        <v>0</v>
      </c>
      <c r="BC73" s="323">
        <v>0</v>
      </c>
      <c r="BD73" s="323">
        <v>0</v>
      </c>
      <c r="BE73" s="323">
        <v>0</v>
      </c>
      <c r="BF73" s="2" t="s">
        <v>557</v>
      </c>
      <c r="BG73" s="327">
        <v>0</v>
      </c>
      <c r="BH73" s="323">
        <v>0</v>
      </c>
      <c r="BI73" s="323">
        <v>0</v>
      </c>
      <c r="BJ73" s="323">
        <v>0</v>
      </c>
      <c r="BK73" s="323">
        <v>0</v>
      </c>
      <c r="BL73" s="323">
        <v>0</v>
      </c>
      <c r="BM73" s="323">
        <v>0</v>
      </c>
      <c r="BN73" s="323">
        <v>0</v>
      </c>
      <c r="BO73" s="323">
        <v>0</v>
      </c>
      <c r="BP73" s="323">
        <v>0</v>
      </c>
      <c r="BQ73" s="323">
        <v>0</v>
      </c>
      <c r="BR73" s="328">
        <v>0</v>
      </c>
      <c r="BS73" s="323">
        <v>0</v>
      </c>
      <c r="BT73" s="422">
        <v>0</v>
      </c>
      <c r="BU73" s="423">
        <v>0</v>
      </c>
      <c r="BV73" s="423">
        <v>0</v>
      </c>
      <c r="BW73" s="423">
        <v>0</v>
      </c>
      <c r="BX73" s="423">
        <v>0</v>
      </c>
      <c r="BY73" s="423">
        <v>0</v>
      </c>
      <c r="BZ73" s="423">
        <v>0</v>
      </c>
      <c r="CA73" s="423">
        <v>0</v>
      </c>
      <c r="CB73" s="423">
        <v>0</v>
      </c>
      <c r="CC73" s="423">
        <v>0</v>
      </c>
      <c r="CD73" s="423">
        <v>0</v>
      </c>
      <c r="CE73" s="424">
        <v>0</v>
      </c>
      <c r="CF73" s="2"/>
      <c r="CG73" s="327">
        <v>1</v>
      </c>
      <c r="CH73" s="323">
        <v>1</v>
      </c>
      <c r="CI73" s="323">
        <v>1</v>
      </c>
      <c r="CJ73" s="323">
        <v>1</v>
      </c>
      <c r="CK73" s="323">
        <v>0</v>
      </c>
      <c r="CL73" s="323">
        <v>0</v>
      </c>
      <c r="CM73" s="323">
        <v>0</v>
      </c>
      <c r="CN73" s="323">
        <v>0</v>
      </c>
      <c r="CO73" s="323">
        <v>0</v>
      </c>
      <c r="CP73" s="323">
        <v>0</v>
      </c>
      <c r="CQ73" s="323">
        <v>0</v>
      </c>
      <c r="CR73" s="332">
        <v>0</v>
      </c>
      <c r="CS73" s="327">
        <v>0</v>
      </c>
      <c r="CT73" s="323">
        <v>0</v>
      </c>
      <c r="CU73" s="323">
        <v>0</v>
      </c>
      <c r="CV73" s="323">
        <v>0</v>
      </c>
      <c r="CW73" s="323">
        <v>0</v>
      </c>
      <c r="CX73" s="323">
        <v>0</v>
      </c>
      <c r="CY73" s="323">
        <v>0</v>
      </c>
      <c r="CZ73" s="323">
        <v>0</v>
      </c>
      <c r="DA73" s="323">
        <v>0</v>
      </c>
      <c r="DB73" s="323">
        <v>0</v>
      </c>
      <c r="DC73" s="323">
        <v>0</v>
      </c>
      <c r="DD73" s="328">
        <v>0</v>
      </c>
      <c r="DE73" s="4"/>
      <c r="DF73" s="416">
        <v>0</v>
      </c>
      <c r="DG73" s="417">
        <v>0</v>
      </c>
      <c r="DH73" s="417">
        <v>0</v>
      </c>
      <c r="DI73" s="417">
        <v>0</v>
      </c>
      <c r="DJ73" s="417">
        <v>0</v>
      </c>
      <c r="DK73" s="417">
        <v>0</v>
      </c>
      <c r="DL73" s="417">
        <v>0</v>
      </c>
      <c r="DM73" s="417">
        <v>0</v>
      </c>
      <c r="DN73" s="417">
        <v>0</v>
      </c>
      <c r="DO73" s="417">
        <v>0</v>
      </c>
      <c r="DP73" s="417">
        <v>0</v>
      </c>
      <c r="DQ73" s="417">
        <v>0</v>
      </c>
      <c r="DS73" s="327">
        <v>0</v>
      </c>
      <c r="DT73" s="323">
        <v>0</v>
      </c>
      <c r="DU73" s="323">
        <v>0</v>
      </c>
      <c r="DV73" s="323">
        <v>0</v>
      </c>
      <c r="DW73" s="323">
        <v>0</v>
      </c>
      <c r="DX73" s="323">
        <v>0</v>
      </c>
      <c r="DY73" s="323">
        <v>0</v>
      </c>
      <c r="DZ73" s="328">
        <v>0</v>
      </c>
      <c r="EA73" s="4"/>
      <c r="EB73" s="418" t="s">
        <v>207</v>
      </c>
      <c r="EC73" s="419" t="s">
        <v>441</v>
      </c>
      <c r="ED73" s="340" t="e">
        <v>#DIV/0!</v>
      </c>
      <c r="EE73" s="340" t="e">
        <v>#DIV/0!</v>
      </c>
      <c r="EF73" s="340" t="e">
        <v>#DIV/0!</v>
      </c>
      <c r="EG73" s="323">
        <v>0</v>
      </c>
      <c r="EH73" s="420"/>
      <c r="EI73" s="420">
        <v>0</v>
      </c>
      <c r="EJ73" s="421"/>
      <c r="EK73" s="323">
        <v>0</v>
      </c>
      <c r="EL73" s="323">
        <v>0</v>
      </c>
      <c r="EM73" s="323">
        <v>0</v>
      </c>
      <c r="EN73" s="323">
        <v>0</v>
      </c>
      <c r="EO73" s="323">
        <v>0</v>
      </c>
      <c r="EP73" s="323">
        <v>0</v>
      </c>
      <c r="EQ73" s="323">
        <v>0</v>
      </c>
      <c r="ER73" s="323">
        <v>0</v>
      </c>
      <c r="ES73" s="323">
        <v>0</v>
      </c>
      <c r="ET73" s="323">
        <v>0</v>
      </c>
      <c r="EU73" s="323">
        <v>0</v>
      </c>
      <c r="EV73" s="323">
        <v>0</v>
      </c>
      <c r="EW73" s="347" t="e">
        <v>#DIV/0!</v>
      </c>
      <c r="EX73" s="323">
        <v>0</v>
      </c>
      <c r="EY73" s="323">
        <v>0</v>
      </c>
      <c r="EZ73" s="323">
        <v>0</v>
      </c>
      <c r="FA73" s="323">
        <v>0</v>
      </c>
      <c r="FB73" s="323">
        <v>0</v>
      </c>
      <c r="FC73" s="323">
        <v>0</v>
      </c>
      <c r="FD73" s="323">
        <v>0</v>
      </c>
      <c r="FE73" s="323">
        <v>0</v>
      </c>
      <c r="FF73" s="323">
        <v>0</v>
      </c>
      <c r="FG73" s="323">
        <v>0</v>
      </c>
      <c r="FH73" s="323">
        <v>0</v>
      </c>
      <c r="FI73" s="323">
        <v>0</v>
      </c>
      <c r="FJ73" s="4"/>
      <c r="FK73" s="323">
        <v>0</v>
      </c>
      <c r="FL73" s="323">
        <v>0</v>
      </c>
      <c r="FM73" s="2"/>
      <c r="FN73" s="323">
        <v>0</v>
      </c>
      <c r="FO73" s="323">
        <v>0</v>
      </c>
      <c r="FP73" s="323">
        <v>0</v>
      </c>
      <c r="FR73" s="418" t="s">
        <v>207</v>
      </c>
      <c r="FS73" s="419" t="s">
        <v>441</v>
      </c>
      <c r="FT73" s="340">
        <v>0</v>
      </c>
      <c r="FU73" s="340">
        <v>0</v>
      </c>
      <c r="FV73" s="340">
        <v>0</v>
      </c>
      <c r="FW73" s="323">
        <v>0</v>
      </c>
      <c r="FX73" s="420"/>
      <c r="FY73" s="420">
        <v>0</v>
      </c>
      <c r="FZ73" s="421"/>
      <c r="GA73" s="323">
        <v>2</v>
      </c>
      <c r="GB73" s="323">
        <v>2</v>
      </c>
      <c r="GC73" s="323">
        <v>2</v>
      </c>
      <c r="GD73" s="323">
        <v>2</v>
      </c>
      <c r="GE73" s="323">
        <v>2</v>
      </c>
      <c r="GF73" s="323">
        <v>0</v>
      </c>
      <c r="GG73" s="323">
        <v>0</v>
      </c>
      <c r="GH73" s="323">
        <v>0</v>
      </c>
      <c r="GI73" s="323">
        <v>0</v>
      </c>
      <c r="GJ73" s="323">
        <v>0</v>
      </c>
      <c r="GK73" s="323">
        <v>0</v>
      </c>
      <c r="GL73" s="323">
        <v>0</v>
      </c>
      <c r="GM73" s="347">
        <v>2</v>
      </c>
      <c r="GN73" s="341">
        <v>2</v>
      </c>
      <c r="GO73" s="323">
        <v>0</v>
      </c>
      <c r="GP73" s="323">
        <v>0</v>
      </c>
      <c r="GQ73" s="323">
        <v>0</v>
      </c>
      <c r="GR73" s="323">
        <v>0</v>
      </c>
      <c r="GS73" s="323">
        <v>0</v>
      </c>
      <c r="GT73" s="323">
        <v>0</v>
      </c>
      <c r="GU73" s="323">
        <v>0</v>
      </c>
      <c r="GV73" s="323">
        <v>0</v>
      </c>
      <c r="GW73" s="323">
        <v>0</v>
      </c>
      <c r="GX73" s="323">
        <v>0</v>
      </c>
      <c r="GY73" s="323">
        <v>0</v>
      </c>
      <c r="GZ73" s="4"/>
      <c r="HA73" s="323">
        <v>2</v>
      </c>
      <c r="HB73" s="323">
        <v>0</v>
      </c>
      <c r="HC73" s="2"/>
      <c r="HD73" s="323">
        <v>0</v>
      </c>
      <c r="HE73" s="323">
        <v>0</v>
      </c>
      <c r="HF73" s="32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1</v>
      </c>
      <c r="HQ73">
        <v>4.5454545454545456E-2</v>
      </c>
      <c r="HR73">
        <v>1</v>
      </c>
      <c r="HS73">
        <v>4.5454545454545456E-2</v>
      </c>
      <c r="HT73">
        <v>21</v>
      </c>
      <c r="HU73">
        <v>0.95454545454545459</v>
      </c>
      <c r="HV73">
        <v>22</v>
      </c>
    </row>
    <row r="74" spans="1:230" x14ac:dyDescent="0.25">
      <c r="A74" t="s">
        <v>262</v>
      </c>
      <c r="B74" s="4">
        <v>6949</v>
      </c>
      <c r="C74" s="444" t="s">
        <v>239</v>
      </c>
      <c r="D74" s="418" t="s">
        <v>208</v>
      </c>
      <c r="E74" s="419" t="s">
        <v>262</v>
      </c>
      <c r="F74" s="340">
        <v>0.3941259043299859</v>
      </c>
      <c r="G74" s="340">
        <v>0.15873015873015872</v>
      </c>
      <c r="H74" s="340">
        <v>0</v>
      </c>
      <c r="I74" s="323">
        <v>2</v>
      </c>
      <c r="J74" s="420"/>
      <c r="K74" s="478">
        <v>4.9659863945578229</v>
      </c>
      <c r="L74" s="421"/>
      <c r="M74" s="323">
        <v>12</v>
      </c>
      <c r="N74" s="323">
        <v>13</v>
      </c>
      <c r="O74" s="323">
        <v>12</v>
      </c>
      <c r="P74" s="323">
        <v>13</v>
      </c>
      <c r="Q74" s="323">
        <v>13</v>
      </c>
      <c r="R74" s="323">
        <v>0</v>
      </c>
      <c r="S74" s="323">
        <v>0</v>
      </c>
      <c r="T74" s="323">
        <v>0</v>
      </c>
      <c r="U74" s="323">
        <v>0</v>
      </c>
      <c r="V74" s="323">
        <v>0</v>
      </c>
      <c r="W74" s="323">
        <v>0</v>
      </c>
      <c r="X74" s="323">
        <v>0</v>
      </c>
      <c r="Y74" s="347">
        <v>12.6</v>
      </c>
      <c r="Z74" s="323">
        <v>13</v>
      </c>
      <c r="AA74" s="323">
        <v>0</v>
      </c>
      <c r="AB74" s="323">
        <v>0</v>
      </c>
      <c r="AC74" s="323">
        <v>1</v>
      </c>
      <c r="AD74" s="323">
        <v>0</v>
      </c>
      <c r="AE74" s="323">
        <v>0</v>
      </c>
      <c r="AF74" s="323">
        <v>0</v>
      </c>
      <c r="AG74" s="323">
        <v>1</v>
      </c>
      <c r="AH74" s="323">
        <v>0</v>
      </c>
      <c r="AI74" s="323">
        <v>0</v>
      </c>
      <c r="AJ74" s="323">
        <v>2</v>
      </c>
      <c r="AK74" s="328">
        <v>0</v>
      </c>
      <c r="AL74" s="4" t="s">
        <v>208</v>
      </c>
      <c r="AM74" s="327">
        <v>13</v>
      </c>
      <c r="AN74" s="328">
        <v>0</v>
      </c>
      <c r="AO74" s="2"/>
      <c r="AP74" s="323">
        <v>1</v>
      </c>
      <c r="AQ74" s="323">
        <v>1</v>
      </c>
      <c r="AR74" s="323">
        <v>0</v>
      </c>
      <c r="AS74" s="2"/>
      <c r="AT74" s="323">
        <v>1</v>
      </c>
      <c r="AU74" s="323">
        <v>0</v>
      </c>
      <c r="AV74" s="323">
        <v>1</v>
      </c>
      <c r="AW74" s="323">
        <v>0</v>
      </c>
      <c r="AX74" s="323">
        <v>0</v>
      </c>
      <c r="AY74" s="323">
        <v>0</v>
      </c>
      <c r="AZ74" s="323">
        <v>0</v>
      </c>
      <c r="BA74" s="323">
        <v>0</v>
      </c>
      <c r="BB74" s="323">
        <v>0</v>
      </c>
      <c r="BC74" s="323">
        <v>0</v>
      </c>
      <c r="BD74" s="323">
        <v>0</v>
      </c>
      <c r="BE74" s="323">
        <v>0</v>
      </c>
      <c r="BF74" s="2" t="s">
        <v>262</v>
      </c>
      <c r="BG74" s="327">
        <v>2</v>
      </c>
      <c r="BH74" s="323">
        <v>1</v>
      </c>
      <c r="BI74" s="323">
        <v>0</v>
      </c>
      <c r="BJ74" s="323">
        <v>1</v>
      </c>
      <c r="BK74" s="323">
        <v>0</v>
      </c>
      <c r="BL74" s="323">
        <v>0</v>
      </c>
      <c r="BM74" s="323">
        <v>0</v>
      </c>
      <c r="BN74" s="323">
        <v>0</v>
      </c>
      <c r="BO74" s="323">
        <v>0</v>
      </c>
      <c r="BP74" s="323">
        <v>0</v>
      </c>
      <c r="BQ74" s="323">
        <v>0</v>
      </c>
      <c r="BR74" s="328">
        <v>0</v>
      </c>
      <c r="BS74" s="323">
        <v>4</v>
      </c>
      <c r="BT74" s="422">
        <v>1.0863095238095237</v>
      </c>
      <c r="BU74" s="423">
        <v>0.52142857142857146</v>
      </c>
      <c r="BV74" s="423">
        <v>0.6504306504306504</v>
      </c>
      <c r="BW74" s="423">
        <v>0.49075630252100844</v>
      </c>
      <c r="BX74" s="423">
        <v>0.39412590432998595</v>
      </c>
      <c r="BY74" s="423">
        <v>0.38199895342752488</v>
      </c>
      <c r="BZ74" s="423">
        <v>0.38624338624338628</v>
      </c>
      <c r="CA74" s="423">
        <v>0.38948912898492732</v>
      </c>
      <c r="CB74" s="423">
        <v>0.38827838827838829</v>
      </c>
      <c r="CC74" s="423">
        <v>0.39128829826504247</v>
      </c>
      <c r="CD74" s="423">
        <v>0.39378588314758523</v>
      </c>
      <c r="CE74" s="424">
        <v>0.38095238095238093</v>
      </c>
      <c r="CF74" s="2"/>
      <c r="CG74" s="327">
        <v>3</v>
      </c>
      <c r="CH74" s="323">
        <v>3</v>
      </c>
      <c r="CI74" s="323">
        <v>2</v>
      </c>
      <c r="CJ74" s="323">
        <v>2</v>
      </c>
      <c r="CK74" s="323">
        <v>0</v>
      </c>
      <c r="CL74" s="323">
        <v>0</v>
      </c>
      <c r="CM74" s="323">
        <v>0</v>
      </c>
      <c r="CN74" s="323">
        <v>0</v>
      </c>
      <c r="CO74" s="323">
        <v>0</v>
      </c>
      <c r="CP74" s="323">
        <v>0</v>
      </c>
      <c r="CQ74" s="323">
        <v>0</v>
      </c>
      <c r="CR74" s="332">
        <v>0</v>
      </c>
      <c r="CS74" s="327">
        <v>0</v>
      </c>
      <c r="CT74" s="323">
        <v>0</v>
      </c>
      <c r="CU74" s="323">
        <v>0</v>
      </c>
      <c r="CV74" s="323">
        <v>0</v>
      </c>
      <c r="CW74" s="323">
        <v>0</v>
      </c>
      <c r="CX74" s="323">
        <v>0</v>
      </c>
      <c r="CY74" s="323">
        <v>0</v>
      </c>
      <c r="CZ74" s="323">
        <v>0</v>
      </c>
      <c r="DA74" s="323">
        <v>0</v>
      </c>
      <c r="DB74" s="323">
        <v>0</v>
      </c>
      <c r="DC74" s="323">
        <v>0</v>
      </c>
      <c r="DD74" s="328">
        <v>0</v>
      </c>
      <c r="DE74" s="4"/>
      <c r="DF74" s="416">
        <v>0</v>
      </c>
      <c r="DG74" s="417">
        <v>0</v>
      </c>
      <c r="DH74" s="417">
        <v>0</v>
      </c>
      <c r="DI74" s="417">
        <v>0</v>
      </c>
      <c r="DJ74" s="417">
        <v>0</v>
      </c>
      <c r="DK74" s="417">
        <v>0</v>
      </c>
      <c r="DL74" s="417">
        <v>0</v>
      </c>
      <c r="DM74" s="417">
        <v>0</v>
      </c>
      <c r="DN74" s="417">
        <v>0</v>
      </c>
      <c r="DO74" s="417">
        <v>0</v>
      </c>
      <c r="DP74" s="417">
        <v>0</v>
      </c>
      <c r="DQ74" s="417">
        <v>0</v>
      </c>
      <c r="DS74" s="327">
        <v>1</v>
      </c>
      <c r="DT74" s="323">
        <v>0</v>
      </c>
      <c r="DU74" s="323">
        <v>0</v>
      </c>
      <c r="DV74" s="323">
        <v>0</v>
      </c>
      <c r="DW74" s="323">
        <v>0</v>
      </c>
      <c r="DX74" s="323">
        <v>0</v>
      </c>
      <c r="DY74" s="323">
        <v>3</v>
      </c>
      <c r="DZ74" s="328">
        <v>4</v>
      </c>
      <c r="EA74" s="4"/>
      <c r="EB74" s="418" t="s">
        <v>208</v>
      </c>
      <c r="EC74" s="419" t="s">
        <v>428</v>
      </c>
      <c r="ED74" s="340" t="e">
        <v>#DIV/0!</v>
      </c>
      <c r="EE74" s="340" t="e">
        <v>#DIV/0!</v>
      </c>
      <c r="EF74" s="340" t="e">
        <v>#DIV/0!</v>
      </c>
      <c r="EG74" s="323">
        <v>0</v>
      </c>
      <c r="EH74" s="420"/>
      <c r="EI74" s="420">
        <v>0</v>
      </c>
      <c r="EJ74" s="421"/>
      <c r="EK74" s="323">
        <v>0</v>
      </c>
      <c r="EL74" s="323">
        <v>0</v>
      </c>
      <c r="EM74" s="323">
        <v>0</v>
      </c>
      <c r="EN74" s="323">
        <v>0</v>
      </c>
      <c r="EO74" s="323">
        <v>0</v>
      </c>
      <c r="EP74" s="323">
        <v>0</v>
      </c>
      <c r="EQ74" s="323">
        <v>0</v>
      </c>
      <c r="ER74" s="323">
        <v>0</v>
      </c>
      <c r="ES74" s="323">
        <v>0</v>
      </c>
      <c r="ET74" s="323">
        <v>0</v>
      </c>
      <c r="EU74" s="323">
        <v>0</v>
      </c>
      <c r="EV74" s="323">
        <v>0</v>
      </c>
      <c r="EW74" s="347" t="e">
        <v>#DIV/0!</v>
      </c>
      <c r="EX74" s="323">
        <v>0</v>
      </c>
      <c r="EY74" s="323">
        <v>0</v>
      </c>
      <c r="EZ74" s="323">
        <v>0</v>
      </c>
      <c r="FA74" s="323">
        <v>0</v>
      </c>
      <c r="FB74" s="323">
        <v>0</v>
      </c>
      <c r="FC74" s="323">
        <v>0</v>
      </c>
      <c r="FD74" s="323">
        <v>0</v>
      </c>
      <c r="FE74" s="323">
        <v>0</v>
      </c>
      <c r="FF74" s="323">
        <v>0</v>
      </c>
      <c r="FG74" s="323">
        <v>0</v>
      </c>
      <c r="FH74" s="323">
        <v>0</v>
      </c>
      <c r="FI74" s="323">
        <v>0</v>
      </c>
      <c r="FJ74" s="4"/>
      <c r="FK74" s="323">
        <v>0</v>
      </c>
      <c r="FL74" s="323">
        <v>0</v>
      </c>
      <c r="FM74" s="2"/>
      <c r="FN74" s="323">
        <v>0</v>
      </c>
      <c r="FO74" s="323">
        <v>0</v>
      </c>
      <c r="FP74" s="323">
        <v>0</v>
      </c>
      <c r="FR74" s="418" t="s">
        <v>208</v>
      </c>
      <c r="FS74" s="419" t="s">
        <v>428</v>
      </c>
      <c r="FT74" s="340">
        <v>0.3941259043299859</v>
      </c>
      <c r="FU74" s="340">
        <v>0.15873015873015872</v>
      </c>
      <c r="FV74" s="340">
        <v>0</v>
      </c>
      <c r="FW74" s="323">
        <v>2</v>
      </c>
      <c r="FX74" s="420"/>
      <c r="FY74" s="420">
        <v>4.9659863945578229</v>
      </c>
      <c r="FZ74" s="421"/>
      <c r="GA74" s="323">
        <v>12</v>
      </c>
      <c r="GB74" s="323">
        <v>13</v>
      </c>
      <c r="GC74" s="323">
        <v>12</v>
      </c>
      <c r="GD74" s="323">
        <v>13</v>
      </c>
      <c r="GE74" s="323">
        <v>13</v>
      </c>
      <c r="GF74" s="323">
        <v>0</v>
      </c>
      <c r="GG74" s="323">
        <v>0</v>
      </c>
      <c r="GH74" s="323">
        <v>0</v>
      </c>
      <c r="GI74" s="323">
        <v>0</v>
      </c>
      <c r="GJ74" s="323">
        <v>0</v>
      </c>
      <c r="GK74" s="323">
        <v>0</v>
      </c>
      <c r="GL74" s="323">
        <v>0</v>
      </c>
      <c r="GM74" s="347">
        <v>12.6</v>
      </c>
      <c r="GN74" s="341">
        <v>13</v>
      </c>
      <c r="GO74" s="323">
        <v>0</v>
      </c>
      <c r="GP74" s="323">
        <v>0</v>
      </c>
      <c r="GQ74" s="323">
        <v>1</v>
      </c>
      <c r="GR74" s="323">
        <v>0</v>
      </c>
      <c r="GS74" s="323">
        <v>0</v>
      </c>
      <c r="GT74" s="323">
        <v>0</v>
      </c>
      <c r="GU74" s="323">
        <v>1</v>
      </c>
      <c r="GV74" s="323">
        <v>0</v>
      </c>
      <c r="GW74" s="323">
        <v>0</v>
      </c>
      <c r="GX74" s="323">
        <v>2</v>
      </c>
      <c r="GY74" s="323">
        <v>0</v>
      </c>
      <c r="GZ74" s="4"/>
      <c r="HA74" s="323">
        <v>13</v>
      </c>
      <c r="HB74" s="323">
        <v>0</v>
      </c>
      <c r="HC74" s="2"/>
      <c r="HD74" s="323">
        <v>1</v>
      </c>
      <c r="HE74" s="323">
        <v>1</v>
      </c>
      <c r="HF74" s="323">
        <v>0</v>
      </c>
      <c r="HH74">
        <v>2</v>
      </c>
      <c r="HI74">
        <v>0.2</v>
      </c>
      <c r="HJ74">
        <v>2</v>
      </c>
      <c r="HK74">
        <v>0.2</v>
      </c>
      <c r="HL74">
        <v>3</v>
      </c>
      <c r="HM74">
        <v>0.3</v>
      </c>
      <c r="HN74">
        <v>3</v>
      </c>
      <c r="HO74">
        <v>0.3</v>
      </c>
      <c r="HP74">
        <v>3</v>
      </c>
      <c r="HQ74">
        <v>0.3</v>
      </c>
      <c r="HR74">
        <v>3</v>
      </c>
      <c r="HS74">
        <v>0.3</v>
      </c>
      <c r="HT74">
        <v>7</v>
      </c>
      <c r="HU74">
        <v>0.7</v>
      </c>
      <c r="HV74">
        <v>10</v>
      </c>
    </row>
    <row r="75" spans="1:230" x14ac:dyDescent="0.25">
      <c r="A75" t="s">
        <v>558</v>
      </c>
      <c r="B75" s="4">
        <v>6965</v>
      </c>
      <c r="C75" s="444" t="s">
        <v>261</v>
      </c>
      <c r="D75" s="418" t="s">
        <v>205</v>
      </c>
      <c r="E75" s="419" t="s">
        <v>558</v>
      </c>
      <c r="F75" s="340">
        <v>0.26989056492162083</v>
      </c>
      <c r="G75" s="340">
        <v>0.10869565217391305</v>
      </c>
      <c r="H75" s="340">
        <v>0</v>
      </c>
      <c r="I75" s="323">
        <v>2</v>
      </c>
      <c r="J75" s="420"/>
      <c r="K75" s="478">
        <v>4.9659863945578229</v>
      </c>
      <c r="L75" s="421"/>
      <c r="M75" s="323">
        <v>19</v>
      </c>
      <c r="N75" s="323">
        <v>19</v>
      </c>
      <c r="O75" s="323">
        <v>18</v>
      </c>
      <c r="P75" s="323">
        <v>18</v>
      </c>
      <c r="Q75" s="323">
        <v>18</v>
      </c>
      <c r="R75" s="323">
        <v>0</v>
      </c>
      <c r="S75" s="323">
        <v>0</v>
      </c>
      <c r="T75" s="323">
        <v>0</v>
      </c>
      <c r="U75" s="323">
        <v>0</v>
      </c>
      <c r="V75" s="323">
        <v>0</v>
      </c>
      <c r="W75" s="323">
        <v>0</v>
      </c>
      <c r="X75" s="323">
        <v>0</v>
      </c>
      <c r="Y75" s="347">
        <v>18.399999999999999</v>
      </c>
      <c r="Z75" s="323">
        <v>18</v>
      </c>
      <c r="AA75" s="323">
        <v>0</v>
      </c>
      <c r="AB75" s="323">
        <v>0</v>
      </c>
      <c r="AC75" s="323">
        <v>0</v>
      </c>
      <c r="AD75" s="323">
        <v>0</v>
      </c>
      <c r="AE75" s="323">
        <v>0</v>
      </c>
      <c r="AF75" s="323">
        <v>0</v>
      </c>
      <c r="AG75" s="323">
        <v>2</v>
      </c>
      <c r="AH75" s="323">
        <v>0</v>
      </c>
      <c r="AI75" s="323">
        <v>0</v>
      </c>
      <c r="AJ75" s="323">
        <v>2</v>
      </c>
      <c r="AK75" s="328">
        <v>0</v>
      </c>
      <c r="AL75" s="4" t="s">
        <v>205</v>
      </c>
      <c r="AM75" s="327">
        <v>18</v>
      </c>
      <c r="AN75" s="328">
        <v>0</v>
      </c>
      <c r="AO75" s="2"/>
      <c r="AP75" s="323">
        <v>2</v>
      </c>
      <c r="AQ75" s="323">
        <v>0</v>
      </c>
      <c r="AR75" s="323">
        <v>0</v>
      </c>
      <c r="AS75" s="2"/>
      <c r="AT75" s="323">
        <v>0</v>
      </c>
      <c r="AU75" s="323">
        <v>0</v>
      </c>
      <c r="AV75" s="323">
        <v>1</v>
      </c>
      <c r="AW75" s="323">
        <v>1</v>
      </c>
      <c r="AX75" s="323">
        <v>0</v>
      </c>
      <c r="AY75" s="323">
        <v>0</v>
      </c>
      <c r="AZ75" s="323">
        <v>0</v>
      </c>
      <c r="BA75" s="323">
        <v>0</v>
      </c>
      <c r="BB75" s="323">
        <v>0</v>
      </c>
      <c r="BC75" s="323">
        <v>0</v>
      </c>
      <c r="BD75" s="323">
        <v>0</v>
      </c>
      <c r="BE75" s="323">
        <v>0</v>
      </c>
      <c r="BF75" s="2" t="s">
        <v>558</v>
      </c>
      <c r="BG75" s="327">
        <v>0</v>
      </c>
      <c r="BH75" s="323">
        <v>0</v>
      </c>
      <c r="BI75" s="323">
        <v>0</v>
      </c>
      <c r="BJ75" s="323">
        <v>1</v>
      </c>
      <c r="BK75" s="323">
        <v>0</v>
      </c>
      <c r="BL75" s="323">
        <v>0</v>
      </c>
      <c r="BM75" s="323">
        <v>0</v>
      </c>
      <c r="BN75" s="323">
        <v>0</v>
      </c>
      <c r="BO75" s="323">
        <v>0</v>
      </c>
      <c r="BP75" s="323">
        <v>0</v>
      </c>
      <c r="BQ75" s="323">
        <v>0</v>
      </c>
      <c r="BR75" s="328">
        <v>0</v>
      </c>
      <c r="BS75" s="323">
        <v>1</v>
      </c>
      <c r="BT75" s="422">
        <v>0</v>
      </c>
      <c r="BU75" s="423">
        <v>0</v>
      </c>
      <c r="BV75" s="423">
        <v>0.21487441130298271</v>
      </c>
      <c r="BW75" s="423">
        <v>0.3315920962979787</v>
      </c>
      <c r="BX75" s="423">
        <v>0.26989056492162083</v>
      </c>
      <c r="BY75" s="423">
        <v>0.26158623984710938</v>
      </c>
      <c r="BZ75" s="423">
        <v>0.26449275362318841</v>
      </c>
      <c r="CA75" s="423">
        <v>0.2667153818048959</v>
      </c>
      <c r="CB75" s="423">
        <v>0.26588628762541811</v>
      </c>
      <c r="CC75" s="423">
        <v>0.26794742163801821</v>
      </c>
      <c r="CD75" s="423">
        <v>0.26965772432932472</v>
      </c>
      <c r="CE75" s="424">
        <v>0.2608695652173913</v>
      </c>
      <c r="CF75" s="2"/>
      <c r="CG75" s="327">
        <v>4</v>
      </c>
      <c r="CH75" s="323">
        <v>4</v>
      </c>
      <c r="CI75" s="323">
        <v>3</v>
      </c>
      <c r="CJ75" s="323">
        <v>3</v>
      </c>
      <c r="CK75" s="323">
        <v>0</v>
      </c>
      <c r="CL75" s="323">
        <v>0</v>
      </c>
      <c r="CM75" s="323">
        <v>0</v>
      </c>
      <c r="CN75" s="323">
        <v>0</v>
      </c>
      <c r="CO75" s="323">
        <v>0</v>
      </c>
      <c r="CP75" s="323">
        <v>0</v>
      </c>
      <c r="CQ75" s="323">
        <v>0</v>
      </c>
      <c r="CR75" s="332">
        <v>0</v>
      </c>
      <c r="CS75" s="327">
        <v>0</v>
      </c>
      <c r="CT75" s="323">
        <v>0</v>
      </c>
      <c r="CU75" s="323">
        <v>0</v>
      </c>
      <c r="CV75" s="323">
        <v>0</v>
      </c>
      <c r="CW75" s="323">
        <v>0</v>
      </c>
      <c r="CX75" s="323">
        <v>0</v>
      </c>
      <c r="CY75" s="323">
        <v>0</v>
      </c>
      <c r="CZ75" s="323">
        <v>0</v>
      </c>
      <c r="DA75" s="323">
        <v>0</v>
      </c>
      <c r="DB75" s="323">
        <v>0</v>
      </c>
      <c r="DC75" s="323">
        <v>0</v>
      </c>
      <c r="DD75" s="328">
        <v>0</v>
      </c>
      <c r="DE75" s="4"/>
      <c r="DF75" s="416">
        <v>0</v>
      </c>
      <c r="DG75" s="417">
        <v>0</v>
      </c>
      <c r="DH75" s="417">
        <v>0</v>
      </c>
      <c r="DI75" s="417">
        <v>0</v>
      </c>
      <c r="DJ75" s="417">
        <v>0</v>
      </c>
      <c r="DK75" s="417">
        <v>0</v>
      </c>
      <c r="DL75" s="417">
        <v>0</v>
      </c>
      <c r="DM75" s="417">
        <v>0</v>
      </c>
      <c r="DN75" s="417">
        <v>0</v>
      </c>
      <c r="DO75" s="417">
        <v>0</v>
      </c>
      <c r="DP75" s="417">
        <v>0</v>
      </c>
      <c r="DQ75" s="417">
        <v>0</v>
      </c>
      <c r="DS75" s="327">
        <v>0</v>
      </c>
      <c r="DT75" s="323">
        <v>0</v>
      </c>
      <c r="DU75" s="323">
        <v>0</v>
      </c>
      <c r="DV75" s="323">
        <v>0</v>
      </c>
      <c r="DW75" s="323">
        <v>0</v>
      </c>
      <c r="DX75" s="323">
        <v>0</v>
      </c>
      <c r="DY75" s="323">
        <v>1</v>
      </c>
      <c r="DZ75" s="328">
        <v>1</v>
      </c>
      <c r="EA75" s="4"/>
      <c r="EB75" s="418" t="s">
        <v>205</v>
      </c>
      <c r="EC75" s="419" t="s">
        <v>430</v>
      </c>
      <c r="ED75" s="340" t="e">
        <v>#DIV/0!</v>
      </c>
      <c r="EE75" s="340" t="e">
        <v>#DIV/0!</v>
      </c>
      <c r="EF75" s="340" t="e">
        <v>#DIV/0!</v>
      </c>
      <c r="EG75" s="323">
        <v>0</v>
      </c>
      <c r="EH75" s="420"/>
      <c r="EI75" s="420">
        <v>0</v>
      </c>
      <c r="EJ75" s="421"/>
      <c r="EK75" s="323">
        <v>0</v>
      </c>
      <c r="EL75" s="323">
        <v>0</v>
      </c>
      <c r="EM75" s="323">
        <v>0</v>
      </c>
      <c r="EN75" s="323">
        <v>0</v>
      </c>
      <c r="EO75" s="323">
        <v>0</v>
      </c>
      <c r="EP75" s="323">
        <v>0</v>
      </c>
      <c r="EQ75" s="323">
        <v>0</v>
      </c>
      <c r="ER75" s="323">
        <v>0</v>
      </c>
      <c r="ES75" s="323">
        <v>0</v>
      </c>
      <c r="ET75" s="323">
        <v>0</v>
      </c>
      <c r="EU75" s="323">
        <v>0</v>
      </c>
      <c r="EV75" s="323">
        <v>0</v>
      </c>
      <c r="EW75" s="347" t="e">
        <v>#DIV/0!</v>
      </c>
      <c r="EX75" s="323">
        <v>0</v>
      </c>
      <c r="EY75" s="323">
        <v>0</v>
      </c>
      <c r="EZ75" s="323">
        <v>0</v>
      </c>
      <c r="FA75" s="323">
        <v>0</v>
      </c>
      <c r="FB75" s="323">
        <v>0</v>
      </c>
      <c r="FC75" s="323">
        <v>0</v>
      </c>
      <c r="FD75" s="323">
        <v>0</v>
      </c>
      <c r="FE75" s="323">
        <v>0</v>
      </c>
      <c r="FF75" s="323">
        <v>0</v>
      </c>
      <c r="FG75" s="323">
        <v>0</v>
      </c>
      <c r="FH75" s="323">
        <v>0</v>
      </c>
      <c r="FI75" s="323">
        <v>0</v>
      </c>
      <c r="FJ75" s="4"/>
      <c r="FK75" s="323">
        <v>0</v>
      </c>
      <c r="FL75" s="323">
        <v>0</v>
      </c>
      <c r="FM75" s="2"/>
      <c r="FN75" s="323">
        <v>0</v>
      </c>
      <c r="FO75" s="323">
        <v>0</v>
      </c>
      <c r="FP75" s="323">
        <v>0</v>
      </c>
      <c r="FR75" s="418" t="s">
        <v>205</v>
      </c>
      <c r="FS75" s="419" t="s">
        <v>430</v>
      </c>
      <c r="FT75" s="340">
        <v>0.26989056492162083</v>
      </c>
      <c r="FU75" s="340">
        <v>0.10869565217391305</v>
      </c>
      <c r="FV75" s="340">
        <v>0</v>
      </c>
      <c r="FW75" s="323">
        <v>2</v>
      </c>
      <c r="FX75" s="420"/>
      <c r="FY75" s="420">
        <v>4.9659863945578229</v>
      </c>
      <c r="FZ75" s="421"/>
      <c r="GA75" s="323">
        <v>19</v>
      </c>
      <c r="GB75" s="323">
        <v>19</v>
      </c>
      <c r="GC75" s="323">
        <v>18</v>
      </c>
      <c r="GD75" s="323">
        <v>18</v>
      </c>
      <c r="GE75" s="323">
        <v>18</v>
      </c>
      <c r="GF75" s="323">
        <v>0</v>
      </c>
      <c r="GG75" s="323">
        <v>0</v>
      </c>
      <c r="GH75" s="323">
        <v>0</v>
      </c>
      <c r="GI75" s="323">
        <v>0</v>
      </c>
      <c r="GJ75" s="323">
        <v>0</v>
      </c>
      <c r="GK75" s="323">
        <v>0</v>
      </c>
      <c r="GL75" s="323">
        <v>0</v>
      </c>
      <c r="GM75" s="347">
        <v>18.399999999999999</v>
      </c>
      <c r="GN75" s="341">
        <v>18</v>
      </c>
      <c r="GO75" s="323">
        <v>0</v>
      </c>
      <c r="GP75" s="323">
        <v>0</v>
      </c>
      <c r="GQ75" s="323">
        <v>0</v>
      </c>
      <c r="GR75" s="323">
        <v>0</v>
      </c>
      <c r="GS75" s="323">
        <v>0</v>
      </c>
      <c r="GT75" s="323">
        <v>0</v>
      </c>
      <c r="GU75" s="323">
        <v>2</v>
      </c>
      <c r="GV75" s="323">
        <v>0</v>
      </c>
      <c r="GW75" s="323">
        <v>0</v>
      </c>
      <c r="GX75" s="323">
        <v>2</v>
      </c>
      <c r="GY75" s="323">
        <v>0</v>
      </c>
      <c r="GZ75" s="4"/>
      <c r="HA75" s="323">
        <v>18</v>
      </c>
      <c r="HB75" s="323">
        <v>0</v>
      </c>
      <c r="HC75" s="2"/>
      <c r="HD75" s="323">
        <v>2</v>
      </c>
      <c r="HE75" s="323">
        <v>0</v>
      </c>
      <c r="HF75" s="323">
        <v>0</v>
      </c>
      <c r="HH75">
        <v>0</v>
      </c>
      <c r="HI75">
        <v>0</v>
      </c>
      <c r="HJ75">
        <v>1</v>
      </c>
      <c r="HK75">
        <v>5.8823529411764705E-2</v>
      </c>
      <c r="HL75">
        <v>2</v>
      </c>
      <c r="HM75">
        <v>0.11764705882352941</v>
      </c>
      <c r="HN75">
        <v>2</v>
      </c>
      <c r="HO75">
        <v>0.11764705882352941</v>
      </c>
      <c r="HP75">
        <v>2</v>
      </c>
      <c r="HQ75">
        <v>0.11764705882352941</v>
      </c>
      <c r="HR75">
        <v>4</v>
      </c>
      <c r="HS75">
        <v>0.23529411764705882</v>
      </c>
      <c r="HT75">
        <v>13</v>
      </c>
      <c r="HU75">
        <v>0.76470588235294112</v>
      </c>
      <c r="HV75">
        <v>17</v>
      </c>
    </row>
    <row r="76" spans="1:230" x14ac:dyDescent="0.25">
      <c r="A76" t="s">
        <v>559</v>
      </c>
      <c r="B76" s="4">
        <v>6968</v>
      </c>
      <c r="C76" s="444" t="s">
        <v>267</v>
      </c>
      <c r="D76" s="418" t="s">
        <v>205</v>
      </c>
      <c r="E76" s="419" t="s">
        <v>559</v>
      </c>
      <c r="F76" s="340">
        <v>0.50060346719332893</v>
      </c>
      <c r="G76" s="340">
        <v>0.20161290322580644</v>
      </c>
      <c r="H76" s="340">
        <v>8.0645161290322578E-2</v>
      </c>
      <c r="I76" s="323">
        <v>5</v>
      </c>
      <c r="J76" s="420"/>
      <c r="K76" s="478">
        <v>12.414965986394558</v>
      </c>
      <c r="L76" s="421"/>
      <c r="M76" s="323">
        <v>26</v>
      </c>
      <c r="N76" s="323">
        <v>26</v>
      </c>
      <c r="O76" s="323">
        <v>24</v>
      </c>
      <c r="P76" s="323">
        <v>25</v>
      </c>
      <c r="Q76" s="323">
        <v>23</v>
      </c>
      <c r="R76" s="323">
        <v>0</v>
      </c>
      <c r="S76" s="323">
        <v>0</v>
      </c>
      <c r="T76" s="323">
        <v>0</v>
      </c>
      <c r="U76" s="323">
        <v>0</v>
      </c>
      <c r="V76" s="323">
        <v>0</v>
      </c>
      <c r="W76" s="323">
        <v>0</v>
      </c>
      <c r="X76" s="323">
        <v>0</v>
      </c>
      <c r="Y76" s="347">
        <v>24.8</v>
      </c>
      <c r="Z76" s="323">
        <v>23</v>
      </c>
      <c r="AA76" s="323">
        <v>0</v>
      </c>
      <c r="AB76" s="323">
        <v>0</v>
      </c>
      <c r="AC76" s="323">
        <v>0</v>
      </c>
      <c r="AD76" s="323">
        <v>0</v>
      </c>
      <c r="AE76" s="323">
        <v>0</v>
      </c>
      <c r="AF76" s="323">
        <v>0</v>
      </c>
      <c r="AG76" s="323">
        <v>5</v>
      </c>
      <c r="AH76" s="323">
        <v>0</v>
      </c>
      <c r="AI76" s="323">
        <v>0</v>
      </c>
      <c r="AJ76" s="323">
        <v>5</v>
      </c>
      <c r="AK76" s="328">
        <v>2</v>
      </c>
      <c r="AL76" s="4" t="s">
        <v>205</v>
      </c>
      <c r="AM76" s="327">
        <v>17</v>
      </c>
      <c r="AN76" s="328">
        <v>6</v>
      </c>
      <c r="AO76" s="2"/>
      <c r="AP76" s="323">
        <v>5</v>
      </c>
      <c r="AQ76" s="323">
        <v>0</v>
      </c>
      <c r="AR76" s="323">
        <v>0</v>
      </c>
      <c r="AS76" s="2"/>
      <c r="AT76" s="323">
        <v>1</v>
      </c>
      <c r="AU76" s="323">
        <v>0</v>
      </c>
      <c r="AV76" s="323">
        <v>2</v>
      </c>
      <c r="AW76" s="323">
        <v>0</v>
      </c>
      <c r="AX76" s="323">
        <v>2</v>
      </c>
      <c r="AY76" s="323">
        <v>0</v>
      </c>
      <c r="AZ76" s="323">
        <v>0</v>
      </c>
      <c r="BA76" s="323">
        <v>0</v>
      </c>
      <c r="BB76" s="323">
        <v>0</v>
      </c>
      <c r="BC76" s="323">
        <v>0</v>
      </c>
      <c r="BD76" s="323">
        <v>0</v>
      </c>
      <c r="BE76" s="323">
        <v>0</v>
      </c>
      <c r="BF76" s="2" t="s">
        <v>559</v>
      </c>
      <c r="BG76" s="327">
        <v>0</v>
      </c>
      <c r="BH76" s="323">
        <v>0</v>
      </c>
      <c r="BI76" s="323">
        <v>0</v>
      </c>
      <c r="BJ76" s="323">
        <v>1</v>
      </c>
      <c r="BK76" s="323">
        <v>0</v>
      </c>
      <c r="BL76" s="323">
        <v>0</v>
      </c>
      <c r="BM76" s="323">
        <v>0</v>
      </c>
      <c r="BN76" s="323">
        <v>0</v>
      </c>
      <c r="BO76" s="323">
        <v>0</v>
      </c>
      <c r="BP76" s="323">
        <v>0</v>
      </c>
      <c r="BQ76" s="323">
        <v>0</v>
      </c>
      <c r="BR76" s="328">
        <v>0</v>
      </c>
      <c r="BS76" s="323">
        <v>1</v>
      </c>
      <c r="BT76" s="422">
        <v>0.50137362637362648</v>
      </c>
      <c r="BU76" s="423">
        <v>0.25068681318681318</v>
      </c>
      <c r="BV76" s="423">
        <v>0.47498554077501448</v>
      </c>
      <c r="BW76" s="423">
        <v>0.36442299692154095</v>
      </c>
      <c r="BX76" s="423">
        <v>0.50060346719332893</v>
      </c>
      <c r="BY76" s="423">
        <v>0.48520028358738032</v>
      </c>
      <c r="BZ76" s="423">
        <v>0.49059139784946232</v>
      </c>
      <c r="CA76" s="423">
        <v>0.49471401463811332</v>
      </c>
      <c r="CB76" s="423">
        <v>0.49317617866004965</v>
      </c>
      <c r="CC76" s="423">
        <v>0.49699924981245314</v>
      </c>
      <c r="CD76" s="423">
        <v>0.50017158544955387</v>
      </c>
      <c r="CE76" s="424">
        <v>0.48387096774193544</v>
      </c>
      <c r="CF76" s="2"/>
      <c r="CG76" s="327">
        <v>5</v>
      </c>
      <c r="CH76" s="323">
        <v>5</v>
      </c>
      <c r="CI76" s="323">
        <v>5</v>
      </c>
      <c r="CJ76" s="323">
        <v>5</v>
      </c>
      <c r="CK76" s="323">
        <v>0</v>
      </c>
      <c r="CL76" s="323">
        <v>0</v>
      </c>
      <c r="CM76" s="323">
        <v>0</v>
      </c>
      <c r="CN76" s="323">
        <v>0</v>
      </c>
      <c r="CO76" s="323">
        <v>0</v>
      </c>
      <c r="CP76" s="323">
        <v>0</v>
      </c>
      <c r="CQ76" s="323">
        <v>0</v>
      </c>
      <c r="CR76" s="332">
        <v>0</v>
      </c>
      <c r="CS76" s="327">
        <v>0</v>
      </c>
      <c r="CT76" s="323">
        <v>0</v>
      </c>
      <c r="CU76" s="323">
        <v>0</v>
      </c>
      <c r="CV76" s="323">
        <v>0</v>
      </c>
      <c r="CW76" s="323">
        <v>0</v>
      </c>
      <c r="CX76" s="323">
        <v>0</v>
      </c>
      <c r="CY76" s="323">
        <v>0</v>
      </c>
      <c r="CZ76" s="323">
        <v>0</v>
      </c>
      <c r="DA76" s="323">
        <v>0</v>
      </c>
      <c r="DB76" s="323">
        <v>0</v>
      </c>
      <c r="DC76" s="323">
        <v>0</v>
      </c>
      <c r="DD76" s="328">
        <v>0</v>
      </c>
      <c r="DE76" s="4"/>
      <c r="DF76" s="416">
        <v>0</v>
      </c>
      <c r="DG76" s="417">
        <v>0</v>
      </c>
      <c r="DH76" s="417">
        <v>0</v>
      </c>
      <c r="DI76" s="417">
        <v>0</v>
      </c>
      <c r="DJ76" s="417">
        <v>0</v>
      </c>
      <c r="DK76" s="417">
        <v>0</v>
      </c>
      <c r="DL76" s="417">
        <v>0</v>
      </c>
      <c r="DM76" s="417">
        <v>0</v>
      </c>
      <c r="DN76" s="417">
        <v>0</v>
      </c>
      <c r="DO76" s="417">
        <v>0</v>
      </c>
      <c r="DP76" s="417">
        <v>0</v>
      </c>
      <c r="DQ76" s="417">
        <v>0</v>
      </c>
      <c r="DS76" s="327">
        <v>1</v>
      </c>
      <c r="DT76" s="323">
        <v>0</v>
      </c>
      <c r="DU76" s="323">
        <v>0</v>
      </c>
      <c r="DV76" s="323">
        <v>0</v>
      </c>
      <c r="DW76" s="323">
        <v>0</v>
      </c>
      <c r="DX76" s="323">
        <v>0</v>
      </c>
      <c r="DY76" s="323">
        <v>0</v>
      </c>
      <c r="DZ76" s="328">
        <v>1</v>
      </c>
      <c r="EA76" s="4"/>
      <c r="EB76" s="418" t="s">
        <v>205</v>
      </c>
      <c r="EC76" s="419" t="s">
        <v>432</v>
      </c>
      <c r="ED76" s="340" t="e">
        <v>#DIV/0!</v>
      </c>
      <c r="EE76" s="340" t="e">
        <v>#DIV/0!</v>
      </c>
      <c r="EF76" s="340" t="e">
        <v>#DIV/0!</v>
      </c>
      <c r="EG76" s="323">
        <v>0</v>
      </c>
      <c r="EH76" s="420"/>
      <c r="EI76" s="420">
        <v>0</v>
      </c>
      <c r="EJ76" s="421"/>
      <c r="EK76" s="323">
        <v>0</v>
      </c>
      <c r="EL76" s="323">
        <v>0</v>
      </c>
      <c r="EM76" s="323">
        <v>0</v>
      </c>
      <c r="EN76" s="323">
        <v>0</v>
      </c>
      <c r="EO76" s="323">
        <v>0</v>
      </c>
      <c r="EP76" s="323">
        <v>0</v>
      </c>
      <c r="EQ76" s="323">
        <v>0</v>
      </c>
      <c r="ER76" s="323">
        <v>0</v>
      </c>
      <c r="ES76" s="323">
        <v>0</v>
      </c>
      <c r="ET76" s="323">
        <v>0</v>
      </c>
      <c r="EU76" s="323">
        <v>0</v>
      </c>
      <c r="EV76" s="323">
        <v>0</v>
      </c>
      <c r="EW76" s="347" t="e">
        <v>#DIV/0!</v>
      </c>
      <c r="EX76" s="323">
        <v>0</v>
      </c>
      <c r="EY76" s="323">
        <v>0</v>
      </c>
      <c r="EZ76" s="323">
        <v>0</v>
      </c>
      <c r="FA76" s="323">
        <v>0</v>
      </c>
      <c r="FB76" s="323">
        <v>0</v>
      </c>
      <c r="FC76" s="323">
        <v>0</v>
      </c>
      <c r="FD76" s="323">
        <v>0</v>
      </c>
      <c r="FE76" s="323">
        <v>0</v>
      </c>
      <c r="FF76" s="323">
        <v>0</v>
      </c>
      <c r="FG76" s="323">
        <v>0</v>
      </c>
      <c r="FH76" s="323">
        <v>0</v>
      </c>
      <c r="FI76" s="323">
        <v>0</v>
      </c>
      <c r="FJ76" s="4"/>
      <c r="FK76" s="323">
        <v>0</v>
      </c>
      <c r="FL76" s="323">
        <v>0</v>
      </c>
      <c r="FM76" s="2"/>
      <c r="FN76" s="323">
        <v>0</v>
      </c>
      <c r="FO76" s="323">
        <v>0</v>
      </c>
      <c r="FP76" s="323">
        <v>0</v>
      </c>
      <c r="FR76" s="418" t="s">
        <v>205</v>
      </c>
      <c r="FS76" s="419" t="s">
        <v>432</v>
      </c>
      <c r="FT76" s="340">
        <v>0.50060346719332893</v>
      </c>
      <c r="FU76" s="340">
        <v>0.20161290322580644</v>
      </c>
      <c r="FV76" s="340">
        <v>8.0645161290322578E-2</v>
      </c>
      <c r="FW76" s="323">
        <v>5</v>
      </c>
      <c r="FX76" s="420"/>
      <c r="FY76" s="420">
        <v>12.414965986394558</v>
      </c>
      <c r="FZ76" s="421"/>
      <c r="GA76" s="323">
        <v>26</v>
      </c>
      <c r="GB76" s="323">
        <v>26</v>
      </c>
      <c r="GC76" s="323">
        <v>24</v>
      </c>
      <c r="GD76" s="323">
        <v>25</v>
      </c>
      <c r="GE76" s="323">
        <v>23</v>
      </c>
      <c r="GF76" s="323">
        <v>0</v>
      </c>
      <c r="GG76" s="323">
        <v>0</v>
      </c>
      <c r="GH76" s="323">
        <v>0</v>
      </c>
      <c r="GI76" s="323">
        <v>0</v>
      </c>
      <c r="GJ76" s="323">
        <v>0</v>
      </c>
      <c r="GK76" s="323">
        <v>0</v>
      </c>
      <c r="GL76" s="323">
        <v>0</v>
      </c>
      <c r="GM76" s="347">
        <v>24.8</v>
      </c>
      <c r="GN76" s="341">
        <v>23</v>
      </c>
      <c r="GO76" s="323">
        <v>0</v>
      </c>
      <c r="GP76" s="323">
        <v>0</v>
      </c>
      <c r="GQ76" s="323">
        <v>0</v>
      </c>
      <c r="GR76" s="323">
        <v>0</v>
      </c>
      <c r="GS76" s="323">
        <v>0</v>
      </c>
      <c r="GT76" s="323">
        <v>0</v>
      </c>
      <c r="GU76" s="323">
        <v>5</v>
      </c>
      <c r="GV76" s="323">
        <v>0</v>
      </c>
      <c r="GW76" s="323">
        <v>0</v>
      </c>
      <c r="GX76" s="323">
        <v>5</v>
      </c>
      <c r="GY76" s="323">
        <v>2</v>
      </c>
      <c r="GZ76" s="4"/>
      <c r="HA76" s="323">
        <v>17</v>
      </c>
      <c r="HB76" s="323">
        <v>6</v>
      </c>
      <c r="HC76" s="2"/>
      <c r="HD76" s="323">
        <v>5</v>
      </c>
      <c r="HE76" s="323">
        <v>0</v>
      </c>
      <c r="HF76" s="323">
        <v>0</v>
      </c>
      <c r="HH76">
        <v>0</v>
      </c>
      <c r="HI76">
        <v>0</v>
      </c>
      <c r="HJ76">
        <v>2</v>
      </c>
      <c r="HK76">
        <v>8.6956521739130432E-2</v>
      </c>
      <c r="HL76">
        <v>2</v>
      </c>
      <c r="HM76">
        <v>8.6956521739130432E-2</v>
      </c>
      <c r="HN76">
        <v>2</v>
      </c>
      <c r="HO76">
        <v>8.6956521739130432E-2</v>
      </c>
      <c r="HP76">
        <v>4</v>
      </c>
      <c r="HQ76">
        <v>0.17391304347826086</v>
      </c>
      <c r="HR76">
        <v>5</v>
      </c>
      <c r="HS76">
        <v>0.21739130434782608</v>
      </c>
      <c r="HT76">
        <v>18</v>
      </c>
      <c r="HU76">
        <v>0.78260869565217395</v>
      </c>
      <c r="HV76">
        <v>23</v>
      </c>
    </row>
    <row r="77" spans="1:230" x14ac:dyDescent="0.25">
      <c r="A77" t="s">
        <v>560</v>
      </c>
      <c r="B77" s="4">
        <v>6970</v>
      </c>
      <c r="C77" s="444" t="s">
        <v>277</v>
      </c>
      <c r="D77" s="418" t="s">
        <v>205</v>
      </c>
      <c r="E77" s="419" t="s">
        <v>560</v>
      </c>
      <c r="F77" s="340">
        <v>0.760099958350687</v>
      </c>
      <c r="G77" s="340">
        <v>0.30612244897959179</v>
      </c>
      <c r="H77" s="340">
        <v>0.2040816326530612</v>
      </c>
      <c r="I77" s="323">
        <v>3</v>
      </c>
      <c r="J77" s="420"/>
      <c r="K77" s="478">
        <v>7.4489795918367339</v>
      </c>
      <c r="L77" s="421"/>
      <c r="M77" s="323">
        <v>8</v>
      </c>
      <c r="N77" s="323">
        <v>9</v>
      </c>
      <c r="O77" s="323">
        <v>10</v>
      </c>
      <c r="P77" s="323">
        <v>12</v>
      </c>
      <c r="Q77" s="323">
        <v>10</v>
      </c>
      <c r="R77" s="323">
        <v>0</v>
      </c>
      <c r="S77" s="323">
        <v>0</v>
      </c>
      <c r="T77" s="323">
        <v>0</v>
      </c>
      <c r="U77" s="323">
        <v>0</v>
      </c>
      <c r="V77" s="323">
        <v>0</v>
      </c>
      <c r="W77" s="323">
        <v>0</v>
      </c>
      <c r="X77" s="323">
        <v>0</v>
      </c>
      <c r="Y77" s="347">
        <v>9.8000000000000007</v>
      </c>
      <c r="Z77" s="323">
        <v>10</v>
      </c>
      <c r="AA77" s="323">
        <v>0</v>
      </c>
      <c r="AB77" s="323">
        <v>0</v>
      </c>
      <c r="AC77" s="323">
        <v>1</v>
      </c>
      <c r="AD77" s="323">
        <v>0</v>
      </c>
      <c r="AE77" s="323">
        <v>0</v>
      </c>
      <c r="AF77" s="323">
        <v>0</v>
      </c>
      <c r="AG77" s="323">
        <v>2</v>
      </c>
      <c r="AH77" s="323">
        <v>0</v>
      </c>
      <c r="AI77" s="323">
        <v>0</v>
      </c>
      <c r="AJ77" s="323">
        <v>3</v>
      </c>
      <c r="AK77" s="328">
        <v>2</v>
      </c>
      <c r="AL77" s="4" t="s">
        <v>205</v>
      </c>
      <c r="AM77" s="327">
        <v>7</v>
      </c>
      <c r="AN77" s="328">
        <v>3</v>
      </c>
      <c r="AO77" s="2"/>
      <c r="AP77" s="323">
        <v>2</v>
      </c>
      <c r="AQ77" s="323">
        <v>1</v>
      </c>
      <c r="AR77" s="323">
        <v>0</v>
      </c>
      <c r="AS77" s="2"/>
      <c r="AT77" s="323">
        <v>0</v>
      </c>
      <c r="AU77" s="323">
        <v>0</v>
      </c>
      <c r="AV77" s="323">
        <v>0</v>
      </c>
      <c r="AW77" s="323">
        <v>1</v>
      </c>
      <c r="AX77" s="323">
        <v>2</v>
      </c>
      <c r="AY77" s="323">
        <v>0</v>
      </c>
      <c r="AZ77" s="323">
        <v>0</v>
      </c>
      <c r="BA77" s="323">
        <v>0</v>
      </c>
      <c r="BB77" s="323">
        <v>0</v>
      </c>
      <c r="BC77" s="323">
        <v>0</v>
      </c>
      <c r="BD77" s="323">
        <v>0</v>
      </c>
      <c r="BE77" s="323">
        <v>0</v>
      </c>
      <c r="BF77" s="2" t="s">
        <v>560</v>
      </c>
      <c r="BG77" s="327">
        <v>0</v>
      </c>
      <c r="BH77" s="323">
        <v>1</v>
      </c>
      <c r="BI77" s="323">
        <v>1</v>
      </c>
      <c r="BJ77" s="323">
        <v>2</v>
      </c>
      <c r="BK77" s="323">
        <v>1</v>
      </c>
      <c r="BL77" s="323">
        <v>0</v>
      </c>
      <c r="BM77" s="323">
        <v>0</v>
      </c>
      <c r="BN77" s="323">
        <v>0</v>
      </c>
      <c r="BO77" s="323">
        <v>0</v>
      </c>
      <c r="BP77" s="323">
        <v>0</v>
      </c>
      <c r="BQ77" s="323">
        <v>0</v>
      </c>
      <c r="BR77" s="328">
        <v>0</v>
      </c>
      <c r="BS77" s="323">
        <v>5</v>
      </c>
      <c r="BT77" s="422">
        <v>0</v>
      </c>
      <c r="BU77" s="423">
        <v>0</v>
      </c>
      <c r="BV77" s="423">
        <v>0</v>
      </c>
      <c r="BW77" s="423">
        <v>0.31458737341090287</v>
      </c>
      <c r="BX77" s="423">
        <v>0.76009995835068711</v>
      </c>
      <c r="BY77" s="423">
        <v>0.73671226732451223</v>
      </c>
      <c r="BZ77" s="423">
        <v>0.74489795918367352</v>
      </c>
      <c r="CA77" s="423">
        <v>0.75115760589950276</v>
      </c>
      <c r="CB77" s="423">
        <v>0.74882260596546302</v>
      </c>
      <c r="CC77" s="423">
        <v>0.7546274323682961</v>
      </c>
      <c r="CD77" s="423">
        <v>0.75944420321320016</v>
      </c>
      <c r="CE77" s="424">
        <v>0.73469387755102045</v>
      </c>
      <c r="CF77" s="2"/>
      <c r="CG77" s="327">
        <v>0</v>
      </c>
      <c r="CH77" s="323">
        <v>0</v>
      </c>
      <c r="CI77" s="323">
        <v>0</v>
      </c>
      <c r="CJ77" s="323">
        <v>0</v>
      </c>
      <c r="CK77" s="323">
        <v>0</v>
      </c>
      <c r="CL77" s="323">
        <v>0</v>
      </c>
      <c r="CM77" s="323">
        <v>0</v>
      </c>
      <c r="CN77" s="323">
        <v>0</v>
      </c>
      <c r="CO77" s="323">
        <v>0</v>
      </c>
      <c r="CP77" s="323">
        <v>0</v>
      </c>
      <c r="CQ77" s="323">
        <v>0</v>
      </c>
      <c r="CR77" s="332">
        <v>0</v>
      </c>
      <c r="CS77" s="327">
        <v>0</v>
      </c>
      <c r="CT77" s="323">
        <v>0</v>
      </c>
      <c r="CU77" s="323">
        <v>0</v>
      </c>
      <c r="CV77" s="323">
        <v>0</v>
      </c>
      <c r="CW77" s="323">
        <v>0</v>
      </c>
      <c r="CX77" s="323">
        <v>0</v>
      </c>
      <c r="CY77" s="323">
        <v>0</v>
      </c>
      <c r="CZ77" s="323">
        <v>0</v>
      </c>
      <c r="DA77" s="323">
        <v>0</v>
      </c>
      <c r="DB77" s="323">
        <v>0</v>
      </c>
      <c r="DC77" s="323">
        <v>0</v>
      </c>
      <c r="DD77" s="328">
        <v>0</v>
      </c>
      <c r="DE77" s="4"/>
      <c r="DF77" s="416" t="s">
        <v>130</v>
      </c>
      <c r="DG77" s="417" t="s">
        <v>130</v>
      </c>
      <c r="DH77" s="417" t="s">
        <v>130</v>
      </c>
      <c r="DI77" s="417" t="s">
        <v>130</v>
      </c>
      <c r="DJ77" s="417" t="s">
        <v>130</v>
      </c>
      <c r="DK77" s="417" t="s">
        <v>130</v>
      </c>
      <c r="DL77" s="417" t="s">
        <v>130</v>
      </c>
      <c r="DM77" s="417" t="s">
        <v>130</v>
      </c>
      <c r="DN77" s="417" t="s">
        <v>130</v>
      </c>
      <c r="DO77" s="417" t="s">
        <v>130</v>
      </c>
      <c r="DP77" s="417" t="s">
        <v>130</v>
      </c>
      <c r="DQ77" s="417" t="s">
        <v>130</v>
      </c>
      <c r="DS77" s="327">
        <v>2</v>
      </c>
      <c r="DT77" s="323">
        <v>0</v>
      </c>
      <c r="DU77" s="323">
        <v>0</v>
      </c>
      <c r="DV77" s="323">
        <v>0</v>
      </c>
      <c r="DW77" s="323">
        <v>0</v>
      </c>
      <c r="DX77" s="323">
        <v>0</v>
      </c>
      <c r="DY77" s="323">
        <v>3</v>
      </c>
      <c r="DZ77" s="328">
        <v>5</v>
      </c>
      <c r="EA77" s="4"/>
      <c r="EB77" s="418" t="s">
        <v>205</v>
      </c>
      <c r="EC77" s="419" t="s">
        <v>433</v>
      </c>
      <c r="ED77" s="340">
        <v>2.4829931972789114</v>
      </c>
      <c r="EE77" s="340">
        <v>1</v>
      </c>
      <c r="EF77" s="340">
        <v>0</v>
      </c>
      <c r="EG77" s="323">
        <v>1</v>
      </c>
      <c r="EH77" s="420"/>
      <c r="EI77" s="420">
        <v>2.4829931972789114</v>
      </c>
      <c r="EJ77" s="421"/>
      <c r="EK77" s="323">
        <v>0</v>
      </c>
      <c r="EL77" s="323">
        <v>1</v>
      </c>
      <c r="EM77" s="323">
        <v>1</v>
      </c>
      <c r="EN77" s="323">
        <v>0</v>
      </c>
      <c r="EO77" s="323">
        <v>0</v>
      </c>
      <c r="EP77" s="323">
        <v>0</v>
      </c>
      <c r="EQ77" s="323">
        <v>0</v>
      </c>
      <c r="ER77" s="323">
        <v>0</v>
      </c>
      <c r="ES77" s="323">
        <v>0</v>
      </c>
      <c r="ET77" s="323">
        <v>0</v>
      </c>
      <c r="EU77" s="323">
        <v>0</v>
      </c>
      <c r="EV77" s="323">
        <v>0</v>
      </c>
      <c r="EW77" s="347">
        <v>1</v>
      </c>
      <c r="EX77" s="323">
        <v>0</v>
      </c>
      <c r="EY77" s="323">
        <v>0</v>
      </c>
      <c r="EZ77" s="323">
        <v>0</v>
      </c>
      <c r="FA77" s="323">
        <v>1</v>
      </c>
      <c r="FB77" s="323">
        <v>0</v>
      </c>
      <c r="FC77" s="323">
        <v>0</v>
      </c>
      <c r="FD77" s="323">
        <v>0</v>
      </c>
      <c r="FE77" s="323">
        <v>0</v>
      </c>
      <c r="FF77" s="323">
        <v>0</v>
      </c>
      <c r="FG77" s="323">
        <v>0</v>
      </c>
      <c r="FH77" s="323">
        <v>1</v>
      </c>
      <c r="FI77" s="323">
        <v>0</v>
      </c>
      <c r="FJ77" s="4"/>
      <c r="FK77" s="323">
        <v>0</v>
      </c>
      <c r="FL77" s="323">
        <v>0</v>
      </c>
      <c r="FM77" s="2"/>
      <c r="FN77" s="323">
        <v>0</v>
      </c>
      <c r="FO77" s="323">
        <v>1</v>
      </c>
      <c r="FP77" s="323">
        <v>0</v>
      </c>
      <c r="FR77" s="418" t="s">
        <v>205</v>
      </c>
      <c r="FS77" s="419" t="s">
        <v>433</v>
      </c>
      <c r="FT77" s="340">
        <v>0.52829642495295992</v>
      </c>
      <c r="FU77" s="340">
        <v>0.21276595744680851</v>
      </c>
      <c r="FV77" s="340">
        <v>0.21276595744680851</v>
      </c>
      <c r="FW77" s="323">
        <v>2</v>
      </c>
      <c r="FX77" s="420"/>
      <c r="FY77" s="420">
        <v>4.9659863945578229</v>
      </c>
      <c r="FZ77" s="421"/>
      <c r="GA77" s="323">
        <v>8</v>
      </c>
      <c r="GB77" s="323">
        <v>8</v>
      </c>
      <c r="GC77" s="323">
        <v>9</v>
      </c>
      <c r="GD77" s="323">
        <v>12</v>
      </c>
      <c r="GE77" s="323">
        <v>10</v>
      </c>
      <c r="GF77" s="323">
        <v>0</v>
      </c>
      <c r="GG77" s="323">
        <v>0</v>
      </c>
      <c r="GH77" s="323">
        <v>0</v>
      </c>
      <c r="GI77" s="323">
        <v>0</v>
      </c>
      <c r="GJ77" s="323">
        <v>0</v>
      </c>
      <c r="GK77" s="323">
        <v>0</v>
      </c>
      <c r="GL77" s="323">
        <v>0</v>
      </c>
      <c r="GM77" s="347">
        <v>9.4</v>
      </c>
      <c r="GN77" s="341">
        <v>10</v>
      </c>
      <c r="GO77" s="323">
        <v>0</v>
      </c>
      <c r="GP77" s="323">
        <v>0</v>
      </c>
      <c r="GQ77" s="323">
        <v>0</v>
      </c>
      <c r="GR77" s="323">
        <v>0</v>
      </c>
      <c r="GS77" s="323">
        <v>0</v>
      </c>
      <c r="GT77" s="323">
        <v>0</v>
      </c>
      <c r="GU77" s="323">
        <v>2</v>
      </c>
      <c r="GV77" s="323">
        <v>0</v>
      </c>
      <c r="GW77" s="323">
        <v>0</v>
      </c>
      <c r="GX77" s="323">
        <v>2</v>
      </c>
      <c r="GY77" s="323">
        <v>2</v>
      </c>
      <c r="GZ77" s="4"/>
      <c r="HA77" s="323">
        <v>7</v>
      </c>
      <c r="HB77" s="323">
        <v>3</v>
      </c>
      <c r="HC77" s="2"/>
      <c r="HD77" s="323">
        <v>2</v>
      </c>
      <c r="HE77" s="323">
        <v>0</v>
      </c>
      <c r="HF77" s="323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10</v>
      </c>
      <c r="HU77">
        <v>1</v>
      </c>
      <c r="HV77">
        <v>10</v>
      </c>
    </row>
    <row r="78" spans="1:230" x14ac:dyDescent="0.25">
      <c r="A78" t="s">
        <v>561</v>
      </c>
      <c r="B78" s="4">
        <v>1343</v>
      </c>
      <c r="C78" s="444" t="s">
        <v>321</v>
      </c>
      <c r="D78" s="418" t="s">
        <v>205</v>
      </c>
      <c r="E78" s="419" t="s">
        <v>561</v>
      </c>
      <c r="F78" s="340">
        <v>0.88678328474246837</v>
      </c>
      <c r="G78" s="340">
        <v>0.35714285714285715</v>
      </c>
      <c r="H78" s="340">
        <v>0.35714285714285715</v>
      </c>
      <c r="I78" s="323">
        <v>1</v>
      </c>
      <c r="J78" s="420"/>
      <c r="K78" s="478">
        <v>2.4829931972789114</v>
      </c>
      <c r="L78" s="421"/>
      <c r="M78" s="323">
        <v>3</v>
      </c>
      <c r="N78" s="323">
        <v>3</v>
      </c>
      <c r="O78" s="323">
        <v>3</v>
      </c>
      <c r="P78" s="323">
        <v>3</v>
      </c>
      <c r="Q78" s="323">
        <v>2</v>
      </c>
      <c r="R78" s="323">
        <v>0</v>
      </c>
      <c r="S78" s="323">
        <v>0</v>
      </c>
      <c r="T78" s="323">
        <v>0</v>
      </c>
      <c r="U78" s="323">
        <v>0</v>
      </c>
      <c r="V78" s="323">
        <v>0</v>
      </c>
      <c r="W78" s="323">
        <v>0</v>
      </c>
      <c r="X78" s="323">
        <v>0</v>
      </c>
      <c r="Y78" s="347">
        <v>2.8</v>
      </c>
      <c r="Z78" s="323">
        <v>2</v>
      </c>
      <c r="AA78" s="323">
        <v>0</v>
      </c>
      <c r="AB78" s="323">
        <v>0</v>
      </c>
      <c r="AC78" s="323">
        <v>0</v>
      </c>
      <c r="AD78" s="323">
        <v>0</v>
      </c>
      <c r="AE78" s="323">
        <v>0</v>
      </c>
      <c r="AF78" s="323">
        <v>0</v>
      </c>
      <c r="AG78" s="323">
        <v>1</v>
      </c>
      <c r="AH78" s="323">
        <v>0</v>
      </c>
      <c r="AI78" s="323">
        <v>0</v>
      </c>
      <c r="AJ78" s="323">
        <v>1</v>
      </c>
      <c r="AK78" s="328">
        <v>1</v>
      </c>
      <c r="AL78" s="4" t="s">
        <v>205</v>
      </c>
      <c r="AM78" s="327">
        <v>1</v>
      </c>
      <c r="AN78" s="328">
        <v>1</v>
      </c>
      <c r="AO78" s="2"/>
      <c r="AP78" s="323">
        <v>1</v>
      </c>
      <c r="AQ78" s="323">
        <v>0</v>
      </c>
      <c r="AR78" s="323">
        <v>0</v>
      </c>
      <c r="AS78" s="2"/>
      <c r="AT78" s="323">
        <v>0</v>
      </c>
      <c r="AU78" s="323">
        <v>0</v>
      </c>
      <c r="AV78" s="323">
        <v>0</v>
      </c>
      <c r="AW78" s="323">
        <v>0</v>
      </c>
      <c r="AX78" s="323">
        <v>1</v>
      </c>
      <c r="AY78" s="323">
        <v>0</v>
      </c>
      <c r="AZ78" s="323">
        <v>0</v>
      </c>
      <c r="BA78" s="323">
        <v>0</v>
      </c>
      <c r="BB78" s="323">
        <v>0</v>
      </c>
      <c r="BC78" s="323">
        <v>0</v>
      </c>
      <c r="BD78" s="323">
        <v>0</v>
      </c>
      <c r="BE78" s="323">
        <v>0</v>
      </c>
      <c r="BF78" s="2" t="s">
        <v>561</v>
      </c>
      <c r="BG78" s="327">
        <v>0</v>
      </c>
      <c r="BH78" s="323">
        <v>0</v>
      </c>
      <c r="BI78" s="323">
        <v>0</v>
      </c>
      <c r="BJ78" s="323">
        <v>0</v>
      </c>
      <c r="BK78" s="323">
        <v>0</v>
      </c>
      <c r="BL78" s="323">
        <v>0</v>
      </c>
      <c r="BM78" s="323">
        <v>0</v>
      </c>
      <c r="BN78" s="323">
        <v>0</v>
      </c>
      <c r="BO78" s="323">
        <v>0</v>
      </c>
      <c r="BP78" s="323">
        <v>0</v>
      </c>
      <c r="BQ78" s="323">
        <v>0</v>
      </c>
      <c r="BR78" s="328">
        <v>0</v>
      </c>
      <c r="BS78" s="323">
        <v>0</v>
      </c>
      <c r="BT78" s="422">
        <v>0</v>
      </c>
      <c r="BU78" s="423">
        <v>0</v>
      </c>
      <c r="BV78" s="423">
        <v>0</v>
      </c>
      <c r="BW78" s="423">
        <v>0</v>
      </c>
      <c r="BX78" s="423">
        <v>0.88678328474246848</v>
      </c>
      <c r="BY78" s="423">
        <v>0.85949764521193084</v>
      </c>
      <c r="BZ78" s="423">
        <v>0.86904761904761907</v>
      </c>
      <c r="CA78" s="423">
        <v>0.87635054021608649</v>
      </c>
      <c r="CB78" s="423">
        <v>0.87362637362637363</v>
      </c>
      <c r="CC78" s="423">
        <v>0.88039867109634551</v>
      </c>
      <c r="CD78" s="423">
        <v>0.88601823708206684</v>
      </c>
      <c r="CE78" s="424">
        <v>0.8571428571428571</v>
      </c>
      <c r="CF78" s="2"/>
      <c r="CG78" s="327">
        <v>1</v>
      </c>
      <c r="CH78" s="323">
        <v>2</v>
      </c>
      <c r="CI78" s="323">
        <v>2</v>
      </c>
      <c r="CJ78" s="323">
        <v>2</v>
      </c>
      <c r="CK78" s="323">
        <v>0</v>
      </c>
      <c r="CL78" s="323">
        <v>0</v>
      </c>
      <c r="CM78" s="323">
        <v>0</v>
      </c>
      <c r="CN78" s="323">
        <v>0</v>
      </c>
      <c r="CO78" s="323">
        <v>0</v>
      </c>
      <c r="CP78" s="323">
        <v>0</v>
      </c>
      <c r="CQ78" s="323">
        <v>0</v>
      </c>
      <c r="CR78" s="332">
        <v>0</v>
      </c>
      <c r="CS78" s="327">
        <v>0</v>
      </c>
      <c r="CT78" s="323">
        <v>0</v>
      </c>
      <c r="CU78" s="323">
        <v>0</v>
      </c>
      <c r="CV78" s="323">
        <v>0</v>
      </c>
      <c r="CW78" s="323">
        <v>0</v>
      </c>
      <c r="CX78" s="323">
        <v>0</v>
      </c>
      <c r="CY78" s="323">
        <v>0</v>
      </c>
      <c r="CZ78" s="323">
        <v>0</v>
      </c>
      <c r="DA78" s="323">
        <v>0</v>
      </c>
      <c r="DB78" s="323">
        <v>0</v>
      </c>
      <c r="DC78" s="323">
        <v>0</v>
      </c>
      <c r="DD78" s="328">
        <v>0</v>
      </c>
      <c r="DE78" s="4"/>
      <c r="DF78" s="416">
        <v>0</v>
      </c>
      <c r="DG78" s="417">
        <v>0</v>
      </c>
      <c r="DH78" s="417">
        <v>0</v>
      </c>
      <c r="DI78" s="417">
        <v>0</v>
      </c>
      <c r="DJ78" s="417">
        <v>0</v>
      </c>
      <c r="DK78" s="417">
        <v>0</v>
      </c>
      <c r="DL78" s="417">
        <v>0</v>
      </c>
      <c r="DM78" s="417">
        <v>0</v>
      </c>
      <c r="DN78" s="417">
        <v>0</v>
      </c>
      <c r="DO78" s="417">
        <v>0</v>
      </c>
      <c r="DP78" s="417">
        <v>0</v>
      </c>
      <c r="DQ78" s="417">
        <v>0</v>
      </c>
      <c r="DS78" s="327">
        <v>0</v>
      </c>
      <c r="DT78" s="323">
        <v>0</v>
      </c>
      <c r="DU78" s="323">
        <v>0</v>
      </c>
      <c r="DV78" s="323">
        <v>0</v>
      </c>
      <c r="DW78" s="323">
        <v>0</v>
      </c>
      <c r="DX78" s="323">
        <v>0</v>
      </c>
      <c r="DY78" s="323">
        <v>0</v>
      </c>
      <c r="DZ78" s="328">
        <v>0</v>
      </c>
      <c r="EA78" s="4"/>
      <c r="EB78" s="418" t="s">
        <v>205</v>
      </c>
      <c r="EC78" s="419" t="s">
        <v>442</v>
      </c>
      <c r="ED78" s="340" t="e">
        <v>#DIV/0!</v>
      </c>
      <c r="EE78" s="340" t="e">
        <v>#DIV/0!</v>
      </c>
      <c r="EF78" s="340" t="e">
        <v>#DIV/0!</v>
      </c>
      <c r="EG78" s="323">
        <v>0</v>
      </c>
      <c r="EH78" s="420"/>
      <c r="EI78" s="420">
        <v>0</v>
      </c>
      <c r="EJ78" s="421"/>
      <c r="EK78" s="323">
        <v>0</v>
      </c>
      <c r="EL78" s="323">
        <v>0</v>
      </c>
      <c r="EM78" s="323">
        <v>0</v>
      </c>
      <c r="EN78" s="323">
        <v>0</v>
      </c>
      <c r="EO78" s="323">
        <v>0</v>
      </c>
      <c r="EP78" s="323">
        <v>0</v>
      </c>
      <c r="EQ78" s="323">
        <v>0</v>
      </c>
      <c r="ER78" s="323">
        <v>0</v>
      </c>
      <c r="ES78" s="323">
        <v>0</v>
      </c>
      <c r="ET78" s="323">
        <v>0</v>
      </c>
      <c r="EU78" s="323">
        <v>0</v>
      </c>
      <c r="EV78" s="323">
        <v>0</v>
      </c>
      <c r="EW78" s="347" t="e">
        <v>#DIV/0!</v>
      </c>
      <c r="EX78" s="323">
        <v>0</v>
      </c>
      <c r="EY78" s="323">
        <v>0</v>
      </c>
      <c r="EZ78" s="323">
        <v>0</v>
      </c>
      <c r="FA78" s="323">
        <v>0</v>
      </c>
      <c r="FB78" s="323">
        <v>0</v>
      </c>
      <c r="FC78" s="323">
        <v>0</v>
      </c>
      <c r="FD78" s="323">
        <v>0</v>
      </c>
      <c r="FE78" s="323">
        <v>0</v>
      </c>
      <c r="FF78" s="323">
        <v>0</v>
      </c>
      <c r="FG78" s="323">
        <v>0</v>
      </c>
      <c r="FH78" s="323">
        <v>0</v>
      </c>
      <c r="FI78" s="323">
        <v>0</v>
      </c>
      <c r="FJ78" s="4"/>
      <c r="FK78" s="323">
        <v>0</v>
      </c>
      <c r="FL78" s="323">
        <v>0</v>
      </c>
      <c r="FM78" s="2"/>
      <c r="FN78" s="323">
        <v>0</v>
      </c>
      <c r="FO78" s="323">
        <v>0</v>
      </c>
      <c r="FP78" s="323">
        <v>0</v>
      </c>
      <c r="FR78" s="418" t="s">
        <v>205</v>
      </c>
      <c r="FS78" s="419" t="s">
        <v>442</v>
      </c>
      <c r="FT78" s="340">
        <v>0.88678328474246837</v>
      </c>
      <c r="FU78" s="340">
        <v>0.35714285714285715</v>
      </c>
      <c r="FV78" s="340">
        <v>0.35714285714285715</v>
      </c>
      <c r="FW78" s="323">
        <v>1</v>
      </c>
      <c r="FX78" s="420"/>
      <c r="FY78" s="420">
        <v>2.4829931972789114</v>
      </c>
      <c r="FZ78" s="421"/>
      <c r="GA78" s="323">
        <v>3</v>
      </c>
      <c r="GB78" s="323">
        <v>3</v>
      </c>
      <c r="GC78" s="323">
        <v>3</v>
      </c>
      <c r="GD78" s="323">
        <v>3</v>
      </c>
      <c r="GE78" s="323">
        <v>2</v>
      </c>
      <c r="GF78" s="323">
        <v>0</v>
      </c>
      <c r="GG78" s="323">
        <v>0</v>
      </c>
      <c r="GH78" s="323">
        <v>0</v>
      </c>
      <c r="GI78" s="323">
        <v>0</v>
      </c>
      <c r="GJ78" s="323">
        <v>0</v>
      </c>
      <c r="GK78" s="323">
        <v>0</v>
      </c>
      <c r="GL78" s="323">
        <v>0</v>
      </c>
      <c r="GM78" s="347">
        <v>2.8</v>
      </c>
      <c r="GN78" s="341">
        <v>2</v>
      </c>
      <c r="GO78" s="323">
        <v>0</v>
      </c>
      <c r="GP78" s="323">
        <v>0</v>
      </c>
      <c r="GQ78" s="323">
        <v>0</v>
      </c>
      <c r="GR78" s="323">
        <v>0</v>
      </c>
      <c r="GS78" s="323">
        <v>0</v>
      </c>
      <c r="GT78" s="323">
        <v>0</v>
      </c>
      <c r="GU78" s="323">
        <v>1</v>
      </c>
      <c r="GV78" s="323">
        <v>0</v>
      </c>
      <c r="GW78" s="323">
        <v>0</v>
      </c>
      <c r="GX78" s="323">
        <v>1</v>
      </c>
      <c r="GY78" s="323">
        <v>1</v>
      </c>
      <c r="GZ78" s="4"/>
      <c r="HA78" s="323">
        <v>1</v>
      </c>
      <c r="HB78" s="323">
        <v>1</v>
      </c>
      <c r="HC78" s="2"/>
      <c r="HD78" s="323">
        <v>1</v>
      </c>
      <c r="HE78" s="323">
        <v>0</v>
      </c>
      <c r="HF78" s="323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1</v>
      </c>
      <c r="HQ78">
        <v>0.2</v>
      </c>
      <c r="HR78">
        <v>1</v>
      </c>
      <c r="HS78">
        <v>0.2</v>
      </c>
      <c r="HT78">
        <v>4</v>
      </c>
      <c r="HU78">
        <v>0.8</v>
      </c>
      <c r="HV78">
        <v>5</v>
      </c>
    </row>
    <row r="79" spans="1:230" x14ac:dyDescent="0.25">
      <c r="A79" t="s">
        <v>562</v>
      </c>
      <c r="B79" s="4">
        <v>6973</v>
      </c>
      <c r="C79" s="444" t="s">
        <v>280</v>
      </c>
      <c r="D79" s="418" t="s">
        <v>205</v>
      </c>
      <c r="E79" s="419" t="s">
        <v>562</v>
      </c>
      <c r="F79" s="340" t="e">
        <v>#DIV/0!</v>
      </c>
      <c r="G79" s="340" t="e">
        <v>#DIV/0!</v>
      </c>
      <c r="H79" s="340" t="e">
        <v>#DIV/0!</v>
      </c>
      <c r="I79" s="323">
        <v>0</v>
      </c>
      <c r="J79" s="420"/>
      <c r="K79" s="478">
        <v>0</v>
      </c>
      <c r="L79" s="421"/>
      <c r="M79" s="323">
        <v>0</v>
      </c>
      <c r="N79" s="323">
        <v>0</v>
      </c>
      <c r="O79" s="323">
        <v>0</v>
      </c>
      <c r="P79" s="323">
        <v>0</v>
      </c>
      <c r="Q79" s="323">
        <v>0</v>
      </c>
      <c r="R79" s="323">
        <v>0</v>
      </c>
      <c r="S79" s="323">
        <v>0</v>
      </c>
      <c r="T79" s="323">
        <v>0</v>
      </c>
      <c r="U79" s="323">
        <v>0</v>
      </c>
      <c r="V79" s="323">
        <v>0</v>
      </c>
      <c r="W79" s="323">
        <v>0</v>
      </c>
      <c r="X79" s="323">
        <v>0</v>
      </c>
      <c r="Y79" s="347" t="e">
        <v>#DIV/0!</v>
      </c>
      <c r="Z79" s="323">
        <v>0</v>
      </c>
      <c r="AA79" s="323">
        <v>0</v>
      </c>
      <c r="AB79" s="323">
        <v>0</v>
      </c>
      <c r="AC79" s="323">
        <v>0</v>
      </c>
      <c r="AD79" s="323">
        <v>0</v>
      </c>
      <c r="AE79" s="323">
        <v>0</v>
      </c>
      <c r="AF79" s="323">
        <v>0</v>
      </c>
      <c r="AG79" s="323">
        <v>0</v>
      </c>
      <c r="AH79" s="323">
        <v>0</v>
      </c>
      <c r="AI79" s="323">
        <v>0</v>
      </c>
      <c r="AJ79" s="323">
        <v>0</v>
      </c>
      <c r="AK79" s="328">
        <v>0</v>
      </c>
      <c r="AL79" s="4" t="s">
        <v>205</v>
      </c>
      <c r="AM79" s="327">
        <v>0</v>
      </c>
      <c r="AN79" s="328">
        <v>0</v>
      </c>
      <c r="AO79" s="2"/>
      <c r="AP79" s="323">
        <v>0</v>
      </c>
      <c r="AQ79" s="323">
        <v>0</v>
      </c>
      <c r="AR79" s="323">
        <v>0</v>
      </c>
      <c r="AS79" s="2"/>
      <c r="AT79" s="323">
        <v>0</v>
      </c>
      <c r="AU79" s="323">
        <v>0</v>
      </c>
      <c r="AV79" s="323">
        <v>0</v>
      </c>
      <c r="AW79" s="323">
        <v>0</v>
      </c>
      <c r="AX79" s="323">
        <v>0</v>
      </c>
      <c r="AY79" s="323">
        <v>0</v>
      </c>
      <c r="AZ79" s="323">
        <v>0</v>
      </c>
      <c r="BA79" s="323">
        <v>0</v>
      </c>
      <c r="BB79" s="323">
        <v>0</v>
      </c>
      <c r="BC79" s="323">
        <v>0</v>
      </c>
      <c r="BD79" s="323">
        <v>0</v>
      </c>
      <c r="BE79" s="323">
        <v>0</v>
      </c>
      <c r="BF79" s="2" t="s">
        <v>562</v>
      </c>
      <c r="BG79" s="327">
        <v>0</v>
      </c>
      <c r="BH79" s="323">
        <v>0</v>
      </c>
      <c r="BI79" s="323">
        <v>0</v>
      </c>
      <c r="BJ79" s="323">
        <v>0</v>
      </c>
      <c r="BK79" s="323">
        <v>0</v>
      </c>
      <c r="BL79" s="323">
        <v>0</v>
      </c>
      <c r="BM79" s="323">
        <v>0</v>
      </c>
      <c r="BN79" s="323">
        <v>0</v>
      </c>
      <c r="BO79" s="323">
        <v>0</v>
      </c>
      <c r="BP79" s="323">
        <v>0</v>
      </c>
      <c r="BQ79" s="323">
        <v>0</v>
      </c>
      <c r="BR79" s="328">
        <v>0</v>
      </c>
      <c r="BS79" s="323">
        <v>0</v>
      </c>
      <c r="BT79" s="422">
        <v>0</v>
      </c>
      <c r="BU79" s="423">
        <v>0</v>
      </c>
      <c r="BV79" s="423">
        <v>0</v>
      </c>
      <c r="BW79" s="423">
        <v>0</v>
      </c>
      <c r="BX79" s="423">
        <v>0</v>
      </c>
      <c r="BY79" s="423">
        <v>0</v>
      </c>
      <c r="BZ79" s="423">
        <v>0</v>
      </c>
      <c r="CA79" s="423">
        <v>0</v>
      </c>
      <c r="CB79" s="423">
        <v>0</v>
      </c>
      <c r="CC79" s="423">
        <v>0</v>
      </c>
      <c r="CD79" s="423">
        <v>0</v>
      </c>
      <c r="CE79" s="424">
        <v>0</v>
      </c>
      <c r="CF79" s="2"/>
      <c r="CG79" s="327">
        <v>0</v>
      </c>
      <c r="CH79" s="323">
        <v>0</v>
      </c>
      <c r="CI79" s="323">
        <v>0</v>
      </c>
      <c r="CJ79" s="323">
        <v>0</v>
      </c>
      <c r="CK79" s="323">
        <v>0</v>
      </c>
      <c r="CL79" s="323">
        <v>0</v>
      </c>
      <c r="CM79" s="323">
        <v>0</v>
      </c>
      <c r="CN79" s="323">
        <v>0</v>
      </c>
      <c r="CO79" s="323">
        <v>0</v>
      </c>
      <c r="CP79" s="323">
        <v>0</v>
      </c>
      <c r="CQ79" s="323">
        <v>0</v>
      </c>
      <c r="CR79" s="332">
        <v>0</v>
      </c>
      <c r="CS79" s="327">
        <v>0</v>
      </c>
      <c r="CT79" s="323">
        <v>0</v>
      </c>
      <c r="CU79" s="323">
        <v>0</v>
      </c>
      <c r="CV79" s="323">
        <v>0</v>
      </c>
      <c r="CW79" s="323">
        <v>0</v>
      </c>
      <c r="CX79" s="323">
        <v>0</v>
      </c>
      <c r="CY79" s="323">
        <v>0</v>
      </c>
      <c r="CZ79" s="323">
        <v>0</v>
      </c>
      <c r="DA79" s="323">
        <v>0</v>
      </c>
      <c r="DB79" s="323">
        <v>0</v>
      </c>
      <c r="DC79" s="323">
        <v>0</v>
      </c>
      <c r="DD79" s="328">
        <v>0</v>
      </c>
      <c r="DE79" s="4"/>
      <c r="DF79" s="416" t="s">
        <v>130</v>
      </c>
      <c r="DG79" s="417" t="s">
        <v>130</v>
      </c>
      <c r="DH79" s="417" t="s">
        <v>130</v>
      </c>
      <c r="DI79" s="417" t="s">
        <v>130</v>
      </c>
      <c r="DJ79" s="417" t="s">
        <v>130</v>
      </c>
      <c r="DK79" s="417" t="s">
        <v>130</v>
      </c>
      <c r="DL79" s="417" t="s">
        <v>130</v>
      </c>
      <c r="DM79" s="417" t="s">
        <v>130</v>
      </c>
      <c r="DN79" s="417" t="s">
        <v>130</v>
      </c>
      <c r="DO79" s="417" t="s">
        <v>130</v>
      </c>
      <c r="DP79" s="417" t="s">
        <v>130</v>
      </c>
      <c r="DQ79" s="417" t="s">
        <v>130</v>
      </c>
      <c r="DS79" s="327">
        <v>0</v>
      </c>
      <c r="DT79" s="323">
        <v>0</v>
      </c>
      <c r="DU79" s="323">
        <v>0</v>
      </c>
      <c r="DV79" s="323">
        <v>0</v>
      </c>
      <c r="DW79" s="323">
        <v>0</v>
      </c>
      <c r="DX79" s="323">
        <v>0</v>
      </c>
      <c r="DY79" s="323">
        <v>0</v>
      </c>
      <c r="DZ79" s="328">
        <v>0</v>
      </c>
      <c r="EA79" s="4"/>
      <c r="EB79" s="418" t="s">
        <v>205</v>
      </c>
      <c r="EC79" s="419" t="s">
        <v>434</v>
      </c>
      <c r="ED79" s="340" t="e">
        <v>#DIV/0!</v>
      </c>
      <c r="EE79" s="340" t="e">
        <v>#DIV/0!</v>
      </c>
      <c r="EF79" s="340" t="e">
        <v>#DIV/0!</v>
      </c>
      <c r="EG79" s="323">
        <v>0</v>
      </c>
      <c r="EH79" s="420"/>
      <c r="EI79" s="420">
        <v>0</v>
      </c>
      <c r="EJ79" s="421"/>
      <c r="EK79" s="323">
        <v>0</v>
      </c>
      <c r="EL79" s="323">
        <v>0</v>
      </c>
      <c r="EM79" s="323">
        <v>0</v>
      </c>
      <c r="EN79" s="323">
        <v>0</v>
      </c>
      <c r="EO79" s="323">
        <v>0</v>
      </c>
      <c r="EP79" s="323">
        <v>0</v>
      </c>
      <c r="EQ79" s="323">
        <v>0</v>
      </c>
      <c r="ER79" s="323">
        <v>0</v>
      </c>
      <c r="ES79" s="323">
        <v>0</v>
      </c>
      <c r="ET79" s="323">
        <v>0</v>
      </c>
      <c r="EU79" s="323">
        <v>0</v>
      </c>
      <c r="EV79" s="323">
        <v>0</v>
      </c>
      <c r="EW79" s="347" t="e">
        <v>#DIV/0!</v>
      </c>
      <c r="EX79" s="323">
        <v>0</v>
      </c>
      <c r="EY79" s="323">
        <v>0</v>
      </c>
      <c r="EZ79" s="323">
        <v>0</v>
      </c>
      <c r="FA79" s="323">
        <v>0</v>
      </c>
      <c r="FB79" s="323">
        <v>0</v>
      </c>
      <c r="FC79" s="323">
        <v>0</v>
      </c>
      <c r="FD79" s="323">
        <v>0</v>
      </c>
      <c r="FE79" s="323">
        <v>0</v>
      </c>
      <c r="FF79" s="323">
        <v>0</v>
      </c>
      <c r="FG79" s="323">
        <v>0</v>
      </c>
      <c r="FH79" s="323">
        <v>0</v>
      </c>
      <c r="FI79" s="323">
        <v>0</v>
      </c>
      <c r="FJ79" s="4"/>
      <c r="FK79" s="323">
        <v>0</v>
      </c>
      <c r="FL79" s="323">
        <v>0</v>
      </c>
      <c r="FM79" s="2"/>
      <c r="FN79" s="323">
        <v>0</v>
      </c>
      <c r="FO79" s="323">
        <v>0</v>
      </c>
      <c r="FP79" s="323">
        <v>0</v>
      </c>
      <c r="FR79" s="418" t="s">
        <v>205</v>
      </c>
      <c r="FS79" s="419" t="s">
        <v>434</v>
      </c>
      <c r="FT79" s="340" t="e">
        <v>#DIV/0!</v>
      </c>
      <c r="FU79" s="340" t="e">
        <v>#DIV/0!</v>
      </c>
      <c r="FV79" s="340" t="e">
        <v>#DIV/0!</v>
      </c>
      <c r="FW79" s="323">
        <v>0</v>
      </c>
      <c r="FX79" s="420"/>
      <c r="FY79" s="420">
        <v>0</v>
      </c>
      <c r="FZ79" s="421"/>
      <c r="GA79" s="323">
        <v>0</v>
      </c>
      <c r="GB79" s="323">
        <v>0</v>
      </c>
      <c r="GC79" s="323">
        <v>0</v>
      </c>
      <c r="GD79" s="323">
        <v>0</v>
      </c>
      <c r="GE79" s="323">
        <v>0</v>
      </c>
      <c r="GF79" s="323">
        <v>0</v>
      </c>
      <c r="GG79" s="323">
        <v>0</v>
      </c>
      <c r="GH79" s="323">
        <v>0</v>
      </c>
      <c r="GI79" s="323">
        <v>0</v>
      </c>
      <c r="GJ79" s="323">
        <v>0</v>
      </c>
      <c r="GK79" s="323">
        <v>0</v>
      </c>
      <c r="GL79" s="323">
        <v>0</v>
      </c>
      <c r="GM79" s="347" t="e">
        <v>#DIV/0!</v>
      </c>
      <c r="GN79" s="341">
        <v>0</v>
      </c>
      <c r="GO79" s="323">
        <v>0</v>
      </c>
      <c r="GP79" s="323">
        <v>0</v>
      </c>
      <c r="GQ79" s="323">
        <v>0</v>
      </c>
      <c r="GR79" s="323">
        <v>0</v>
      </c>
      <c r="GS79" s="323">
        <v>0</v>
      </c>
      <c r="GT79" s="323">
        <v>0</v>
      </c>
      <c r="GU79" s="323">
        <v>0</v>
      </c>
      <c r="GV79" s="323">
        <v>0</v>
      </c>
      <c r="GW79" s="323">
        <v>0</v>
      </c>
      <c r="GX79" s="323">
        <v>0</v>
      </c>
      <c r="GY79" s="323">
        <v>0</v>
      </c>
      <c r="GZ79" s="4"/>
      <c r="HA79" s="323">
        <v>0</v>
      </c>
      <c r="HB79" s="323">
        <v>0</v>
      </c>
      <c r="HC79" s="2"/>
      <c r="HD79" s="323">
        <v>0</v>
      </c>
      <c r="HE79" s="323">
        <v>0</v>
      </c>
      <c r="HF79" s="323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1</v>
      </c>
      <c r="HU79">
        <v>1</v>
      </c>
      <c r="HV79">
        <v>1</v>
      </c>
    </row>
    <row r="80" spans="1:230" x14ac:dyDescent="0.25">
      <c r="A80" t="s">
        <v>563</v>
      </c>
      <c r="B80" s="4">
        <v>10057</v>
      </c>
      <c r="C80" s="444" t="s">
        <v>269</v>
      </c>
      <c r="D80" s="418" t="s">
        <v>217</v>
      </c>
      <c r="E80" s="419" t="s">
        <v>563</v>
      </c>
      <c r="F80" s="340">
        <v>0</v>
      </c>
      <c r="G80" s="340">
        <v>0</v>
      </c>
      <c r="H80" s="340">
        <v>0</v>
      </c>
      <c r="I80" s="323">
        <v>0</v>
      </c>
      <c r="J80" s="420"/>
      <c r="K80" s="478">
        <v>0</v>
      </c>
      <c r="L80" s="421"/>
      <c r="M80" s="323">
        <v>15</v>
      </c>
      <c r="N80" s="323">
        <v>15</v>
      </c>
      <c r="O80" s="323">
        <v>15</v>
      </c>
      <c r="P80" s="323">
        <v>16</v>
      </c>
      <c r="Q80" s="323">
        <v>16</v>
      </c>
      <c r="R80" s="323">
        <v>0</v>
      </c>
      <c r="S80" s="323">
        <v>0</v>
      </c>
      <c r="T80" s="323">
        <v>0</v>
      </c>
      <c r="U80" s="323">
        <v>0</v>
      </c>
      <c r="V80" s="323">
        <v>0</v>
      </c>
      <c r="W80" s="323">
        <v>0</v>
      </c>
      <c r="X80" s="323">
        <v>0</v>
      </c>
      <c r="Y80" s="347">
        <v>15.4</v>
      </c>
      <c r="Z80" s="323">
        <v>16</v>
      </c>
      <c r="AA80" s="323">
        <v>0</v>
      </c>
      <c r="AB80" s="323">
        <v>0</v>
      </c>
      <c r="AC80" s="323">
        <v>0</v>
      </c>
      <c r="AD80" s="323">
        <v>0</v>
      </c>
      <c r="AE80" s="323">
        <v>0</v>
      </c>
      <c r="AF80" s="323">
        <v>0</v>
      </c>
      <c r="AG80" s="323">
        <v>0</v>
      </c>
      <c r="AH80" s="323">
        <v>0</v>
      </c>
      <c r="AI80" s="323">
        <v>0</v>
      </c>
      <c r="AJ80" s="323">
        <v>0</v>
      </c>
      <c r="AK80" s="328">
        <v>0</v>
      </c>
      <c r="AL80" s="4" t="s">
        <v>217</v>
      </c>
      <c r="AM80" s="327">
        <v>16</v>
      </c>
      <c r="AN80" s="328">
        <v>0</v>
      </c>
      <c r="AO80" s="2"/>
      <c r="AP80" s="323">
        <v>0</v>
      </c>
      <c r="AQ80" s="323">
        <v>0</v>
      </c>
      <c r="AR80" s="323">
        <v>0</v>
      </c>
      <c r="AS80" s="2"/>
      <c r="AT80" s="323">
        <v>0</v>
      </c>
      <c r="AU80" s="323">
        <v>0</v>
      </c>
      <c r="AV80" s="323">
        <v>0</v>
      </c>
      <c r="AW80" s="323">
        <v>0</v>
      </c>
      <c r="AX80" s="323">
        <v>0</v>
      </c>
      <c r="AY80" s="323">
        <v>0</v>
      </c>
      <c r="AZ80" s="323">
        <v>0</v>
      </c>
      <c r="BA80" s="323">
        <v>0</v>
      </c>
      <c r="BB80" s="323">
        <v>0</v>
      </c>
      <c r="BC80" s="323">
        <v>0</v>
      </c>
      <c r="BD80" s="323">
        <v>0</v>
      </c>
      <c r="BE80" s="323">
        <v>0</v>
      </c>
      <c r="BF80" s="2" t="s">
        <v>563</v>
      </c>
      <c r="BG80" s="327">
        <v>0</v>
      </c>
      <c r="BH80" s="323">
        <v>0</v>
      </c>
      <c r="BI80" s="323">
        <v>0</v>
      </c>
      <c r="BJ80" s="323">
        <v>0</v>
      </c>
      <c r="BK80" s="323">
        <v>0</v>
      </c>
      <c r="BL80" s="323">
        <v>0</v>
      </c>
      <c r="BM80" s="323">
        <v>0</v>
      </c>
      <c r="BN80" s="323">
        <v>0</v>
      </c>
      <c r="BO80" s="323">
        <v>0</v>
      </c>
      <c r="BP80" s="323">
        <v>0</v>
      </c>
      <c r="BQ80" s="323">
        <v>0</v>
      </c>
      <c r="BR80" s="328">
        <v>0</v>
      </c>
      <c r="BS80" s="323">
        <v>0</v>
      </c>
      <c r="BT80" s="422">
        <v>0</v>
      </c>
      <c r="BU80" s="423">
        <v>0</v>
      </c>
      <c r="BV80" s="423">
        <v>0</v>
      </c>
      <c r="BW80" s="423">
        <v>0</v>
      </c>
      <c r="BX80" s="423">
        <v>0</v>
      </c>
      <c r="BY80" s="423">
        <v>0</v>
      </c>
      <c r="BZ80" s="423">
        <v>0</v>
      </c>
      <c r="CA80" s="423">
        <v>0</v>
      </c>
      <c r="CB80" s="423">
        <v>0</v>
      </c>
      <c r="CC80" s="423">
        <v>0</v>
      </c>
      <c r="CD80" s="423">
        <v>0</v>
      </c>
      <c r="CE80" s="424">
        <v>0</v>
      </c>
      <c r="CF80" s="2"/>
      <c r="CG80" s="327">
        <v>0</v>
      </c>
      <c r="CH80" s="323">
        <v>0</v>
      </c>
      <c r="CI80" s="323">
        <v>0</v>
      </c>
      <c r="CJ80" s="323">
        <v>0</v>
      </c>
      <c r="CK80" s="323">
        <v>0</v>
      </c>
      <c r="CL80" s="323">
        <v>0</v>
      </c>
      <c r="CM80" s="323">
        <v>0</v>
      </c>
      <c r="CN80" s="323">
        <v>0</v>
      </c>
      <c r="CO80" s="323">
        <v>0</v>
      </c>
      <c r="CP80" s="323">
        <v>0</v>
      </c>
      <c r="CQ80" s="323">
        <v>0</v>
      </c>
      <c r="CR80" s="332">
        <v>0</v>
      </c>
      <c r="CS80" s="327">
        <v>0</v>
      </c>
      <c r="CT80" s="323">
        <v>0</v>
      </c>
      <c r="CU80" s="323">
        <v>0</v>
      </c>
      <c r="CV80" s="323">
        <v>0</v>
      </c>
      <c r="CW80" s="323">
        <v>0</v>
      </c>
      <c r="CX80" s="323">
        <v>0</v>
      </c>
      <c r="CY80" s="323">
        <v>0</v>
      </c>
      <c r="CZ80" s="323">
        <v>0</v>
      </c>
      <c r="DA80" s="323">
        <v>0</v>
      </c>
      <c r="DB80" s="323">
        <v>0</v>
      </c>
      <c r="DC80" s="323">
        <v>0</v>
      </c>
      <c r="DD80" s="328">
        <v>0</v>
      </c>
      <c r="DE80" s="4"/>
      <c r="DF80" s="416" t="s">
        <v>130</v>
      </c>
      <c r="DG80" s="417" t="s">
        <v>130</v>
      </c>
      <c r="DH80" s="417" t="s">
        <v>130</v>
      </c>
      <c r="DI80" s="417" t="s">
        <v>130</v>
      </c>
      <c r="DJ80" s="417" t="s">
        <v>130</v>
      </c>
      <c r="DK80" s="417" t="s">
        <v>130</v>
      </c>
      <c r="DL80" s="417" t="s">
        <v>130</v>
      </c>
      <c r="DM80" s="417" t="s">
        <v>130</v>
      </c>
      <c r="DN80" s="417" t="s">
        <v>130</v>
      </c>
      <c r="DO80" s="417" t="s">
        <v>130</v>
      </c>
      <c r="DP80" s="417" t="s">
        <v>130</v>
      </c>
      <c r="DQ80" s="417" t="s">
        <v>130</v>
      </c>
      <c r="DS80" s="327">
        <v>0</v>
      </c>
      <c r="DT80" s="323">
        <v>0</v>
      </c>
      <c r="DU80" s="323">
        <v>0</v>
      </c>
      <c r="DV80" s="323">
        <v>0</v>
      </c>
      <c r="DW80" s="323">
        <v>0</v>
      </c>
      <c r="DX80" s="323">
        <v>0</v>
      </c>
      <c r="DY80" s="323">
        <v>0</v>
      </c>
      <c r="DZ80" s="328">
        <v>0</v>
      </c>
      <c r="EA80" s="4"/>
      <c r="EB80" s="418" t="s">
        <v>217</v>
      </c>
      <c r="EC80" s="419" t="s">
        <v>435</v>
      </c>
      <c r="ED80" s="340" t="e">
        <v>#DIV/0!</v>
      </c>
      <c r="EE80" s="340" t="e">
        <v>#DIV/0!</v>
      </c>
      <c r="EF80" s="340" t="e">
        <v>#DIV/0!</v>
      </c>
      <c r="EG80" s="323">
        <v>0</v>
      </c>
      <c r="EH80" s="420"/>
      <c r="EI80" s="420">
        <v>0</v>
      </c>
      <c r="EJ80" s="421"/>
      <c r="EK80" s="323">
        <v>0</v>
      </c>
      <c r="EL80" s="323">
        <v>0</v>
      </c>
      <c r="EM80" s="323">
        <v>0</v>
      </c>
      <c r="EN80" s="323">
        <v>0</v>
      </c>
      <c r="EO80" s="323">
        <v>0</v>
      </c>
      <c r="EP80" s="323">
        <v>0</v>
      </c>
      <c r="EQ80" s="323">
        <v>0</v>
      </c>
      <c r="ER80" s="323">
        <v>0</v>
      </c>
      <c r="ES80" s="323">
        <v>0</v>
      </c>
      <c r="ET80" s="323">
        <v>0</v>
      </c>
      <c r="EU80" s="323">
        <v>0</v>
      </c>
      <c r="EV80" s="323">
        <v>0</v>
      </c>
      <c r="EW80" s="347" t="e">
        <v>#DIV/0!</v>
      </c>
      <c r="EX80" s="323">
        <v>0</v>
      </c>
      <c r="EY80" s="323">
        <v>0</v>
      </c>
      <c r="EZ80" s="323">
        <v>0</v>
      </c>
      <c r="FA80" s="323">
        <v>0</v>
      </c>
      <c r="FB80" s="323">
        <v>0</v>
      </c>
      <c r="FC80" s="323">
        <v>0</v>
      </c>
      <c r="FD80" s="323">
        <v>0</v>
      </c>
      <c r="FE80" s="323">
        <v>0</v>
      </c>
      <c r="FF80" s="323">
        <v>0</v>
      </c>
      <c r="FG80" s="323">
        <v>0</v>
      </c>
      <c r="FH80" s="323">
        <v>0</v>
      </c>
      <c r="FI80" s="323">
        <v>0</v>
      </c>
      <c r="FJ80" s="4"/>
      <c r="FK80" s="323">
        <v>0</v>
      </c>
      <c r="FL80" s="323">
        <v>0</v>
      </c>
      <c r="FM80" s="2"/>
      <c r="FN80" s="323">
        <v>0</v>
      </c>
      <c r="FO80" s="323">
        <v>0</v>
      </c>
      <c r="FP80" s="323">
        <v>0</v>
      </c>
      <c r="FR80" s="418" t="s">
        <v>217</v>
      </c>
      <c r="FS80" s="419" t="s">
        <v>435</v>
      </c>
      <c r="FT80" s="340">
        <v>0</v>
      </c>
      <c r="FU80" s="340">
        <v>0</v>
      </c>
      <c r="FV80" s="340">
        <v>0</v>
      </c>
      <c r="FW80" s="323">
        <v>0</v>
      </c>
      <c r="FX80" s="420"/>
      <c r="FY80" s="420">
        <v>0</v>
      </c>
      <c r="FZ80" s="421"/>
      <c r="GA80" s="323">
        <v>15</v>
      </c>
      <c r="GB80" s="323">
        <v>15</v>
      </c>
      <c r="GC80" s="323">
        <v>15</v>
      </c>
      <c r="GD80" s="323">
        <v>16</v>
      </c>
      <c r="GE80" s="323">
        <v>16</v>
      </c>
      <c r="GF80" s="323">
        <v>0</v>
      </c>
      <c r="GG80" s="323">
        <v>0</v>
      </c>
      <c r="GH80" s="323">
        <v>0</v>
      </c>
      <c r="GI80" s="323">
        <v>0</v>
      </c>
      <c r="GJ80" s="323">
        <v>0</v>
      </c>
      <c r="GK80" s="323">
        <v>0</v>
      </c>
      <c r="GL80" s="323">
        <v>0</v>
      </c>
      <c r="GM80" s="347">
        <v>15.4</v>
      </c>
      <c r="GN80" s="341">
        <v>16</v>
      </c>
      <c r="GO80" s="323">
        <v>0</v>
      </c>
      <c r="GP80" s="323">
        <v>0</v>
      </c>
      <c r="GQ80" s="323">
        <v>0</v>
      </c>
      <c r="GR80" s="323">
        <v>0</v>
      </c>
      <c r="GS80" s="323">
        <v>0</v>
      </c>
      <c r="GT80" s="323">
        <v>0</v>
      </c>
      <c r="GU80" s="323">
        <v>0</v>
      </c>
      <c r="GV80" s="323">
        <v>0</v>
      </c>
      <c r="GW80" s="323">
        <v>0</v>
      </c>
      <c r="GX80" s="323">
        <v>0</v>
      </c>
      <c r="GY80" s="323">
        <v>0</v>
      </c>
      <c r="GZ80" s="4"/>
      <c r="HA80" s="323">
        <v>16</v>
      </c>
      <c r="HB80" s="323">
        <v>0</v>
      </c>
      <c r="HC80" s="2"/>
      <c r="HD80" s="323">
        <v>0</v>
      </c>
      <c r="HE80" s="323">
        <v>0</v>
      </c>
      <c r="HF80" s="323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1</v>
      </c>
      <c r="HU80">
        <v>1</v>
      </c>
      <c r="HV80">
        <v>1</v>
      </c>
    </row>
    <row r="81" spans="1:230" x14ac:dyDescent="0.25">
      <c r="A81" t="s">
        <v>546</v>
      </c>
      <c r="B81" s="4">
        <v>10063</v>
      </c>
      <c r="C81" s="444" t="s">
        <v>244</v>
      </c>
      <c r="D81" s="425" t="s">
        <v>217</v>
      </c>
      <c r="E81" s="426" t="s">
        <v>546</v>
      </c>
      <c r="F81" s="427">
        <v>0.18257302921168467</v>
      </c>
      <c r="G81" s="427">
        <v>7.3529411764705885E-2</v>
      </c>
      <c r="H81" s="427">
        <v>0</v>
      </c>
      <c r="I81" s="344">
        <v>1</v>
      </c>
      <c r="J81" s="428"/>
      <c r="K81" s="479">
        <v>2.4829931972789114</v>
      </c>
      <c r="L81" s="429"/>
      <c r="M81" s="344">
        <v>15</v>
      </c>
      <c r="N81" s="344">
        <v>14</v>
      </c>
      <c r="O81" s="344">
        <v>13</v>
      </c>
      <c r="P81" s="344">
        <v>13</v>
      </c>
      <c r="Q81" s="344">
        <v>13</v>
      </c>
      <c r="R81" s="344">
        <v>0</v>
      </c>
      <c r="S81" s="344">
        <v>0</v>
      </c>
      <c r="T81" s="344">
        <v>0</v>
      </c>
      <c r="U81" s="344">
        <v>0</v>
      </c>
      <c r="V81" s="344">
        <v>0</v>
      </c>
      <c r="W81" s="344">
        <v>0</v>
      </c>
      <c r="X81" s="344">
        <v>0</v>
      </c>
      <c r="Y81" s="430">
        <v>13.6</v>
      </c>
      <c r="Z81" s="344">
        <v>13</v>
      </c>
      <c r="AA81" s="344">
        <v>0</v>
      </c>
      <c r="AB81" s="344">
        <v>0</v>
      </c>
      <c r="AC81" s="344">
        <v>0</v>
      </c>
      <c r="AD81" s="344">
        <v>0</v>
      </c>
      <c r="AE81" s="344">
        <v>0</v>
      </c>
      <c r="AF81" s="344">
        <v>0</v>
      </c>
      <c r="AG81" s="344">
        <v>1</v>
      </c>
      <c r="AH81" s="344">
        <v>0</v>
      </c>
      <c r="AI81" s="344">
        <v>0</v>
      </c>
      <c r="AJ81" s="344">
        <v>1</v>
      </c>
      <c r="AK81" s="431">
        <v>0</v>
      </c>
      <c r="AL81" s="4" t="s">
        <v>217</v>
      </c>
      <c r="AM81" s="327">
        <v>13</v>
      </c>
      <c r="AN81" s="328">
        <v>0</v>
      </c>
      <c r="AO81" s="2"/>
      <c r="AP81" s="323">
        <v>1</v>
      </c>
      <c r="AQ81" s="323">
        <v>0</v>
      </c>
      <c r="AR81" s="323">
        <v>0</v>
      </c>
      <c r="AS81" s="2"/>
      <c r="AT81" s="323">
        <v>0</v>
      </c>
      <c r="AU81" s="323">
        <v>0</v>
      </c>
      <c r="AV81" s="323">
        <v>1</v>
      </c>
      <c r="AW81" s="323">
        <v>0</v>
      </c>
      <c r="AX81" s="323">
        <v>0</v>
      </c>
      <c r="AY81" s="323">
        <v>0</v>
      </c>
      <c r="AZ81" s="323">
        <v>0</v>
      </c>
      <c r="BA81" s="323">
        <v>0</v>
      </c>
      <c r="BB81" s="323">
        <v>0</v>
      </c>
      <c r="BC81" s="323">
        <v>0</v>
      </c>
      <c r="BD81" s="323">
        <v>0</v>
      </c>
      <c r="BE81" s="323">
        <v>0</v>
      </c>
      <c r="BF81" s="2" t="s">
        <v>546</v>
      </c>
      <c r="BG81" s="327">
        <v>0</v>
      </c>
      <c r="BH81" s="323">
        <v>0</v>
      </c>
      <c r="BI81" s="323">
        <v>0</v>
      </c>
      <c r="BJ81" s="323">
        <v>0</v>
      </c>
      <c r="BK81" s="323">
        <v>0</v>
      </c>
      <c r="BL81" s="323">
        <v>0</v>
      </c>
      <c r="BM81" s="323">
        <v>0</v>
      </c>
      <c r="BN81" s="323">
        <v>0</v>
      </c>
      <c r="BO81" s="323">
        <v>0</v>
      </c>
      <c r="BP81" s="323">
        <v>0</v>
      </c>
      <c r="BQ81" s="323">
        <v>0</v>
      </c>
      <c r="BR81" s="328">
        <v>0</v>
      </c>
      <c r="BS81" s="323">
        <v>0</v>
      </c>
      <c r="BT81" s="422">
        <v>0</v>
      </c>
      <c r="BU81" s="423">
        <v>0</v>
      </c>
      <c r="BV81" s="423">
        <v>0.28649921507064363</v>
      </c>
      <c r="BW81" s="423">
        <v>0.22307104660045837</v>
      </c>
      <c r="BX81" s="423">
        <v>0.18257302921168467</v>
      </c>
      <c r="BY81" s="423">
        <v>0.17695539754363282</v>
      </c>
      <c r="BZ81" s="423">
        <v>0.17892156862745101</v>
      </c>
      <c r="CA81" s="423">
        <v>0.18042511122095897</v>
      </c>
      <c r="CB81" s="423">
        <v>0.17986425339366516</v>
      </c>
      <c r="CC81" s="423">
        <v>0.18125854993160054</v>
      </c>
      <c r="CD81" s="423">
        <v>0.18241551939924905</v>
      </c>
      <c r="CE81" s="424">
        <v>0.1764705882352941</v>
      </c>
      <c r="CF81" s="2"/>
      <c r="CG81" s="327">
        <v>1</v>
      </c>
      <c r="CH81" s="323">
        <v>0</v>
      </c>
      <c r="CI81" s="323">
        <v>0</v>
      </c>
      <c r="CJ81" s="323">
        <v>0</v>
      </c>
      <c r="CK81" s="323">
        <v>0</v>
      </c>
      <c r="CL81" s="323">
        <v>0</v>
      </c>
      <c r="CM81" s="323">
        <v>0</v>
      </c>
      <c r="CN81" s="323">
        <v>0</v>
      </c>
      <c r="CO81" s="323">
        <v>0</v>
      </c>
      <c r="CP81" s="323">
        <v>0</v>
      </c>
      <c r="CQ81" s="323">
        <v>0</v>
      </c>
      <c r="CR81" s="332">
        <v>0</v>
      </c>
      <c r="CS81" s="327">
        <v>0</v>
      </c>
      <c r="CT81" s="323">
        <v>0</v>
      </c>
      <c r="CU81" s="323">
        <v>0</v>
      </c>
      <c r="CV81" s="323">
        <v>0</v>
      </c>
      <c r="CW81" s="323">
        <v>0</v>
      </c>
      <c r="CX81" s="323">
        <v>0</v>
      </c>
      <c r="CY81" s="323">
        <v>0</v>
      </c>
      <c r="CZ81" s="323">
        <v>0</v>
      </c>
      <c r="DA81" s="323">
        <v>0</v>
      </c>
      <c r="DB81" s="323">
        <v>0</v>
      </c>
      <c r="DC81" s="323">
        <v>0</v>
      </c>
      <c r="DD81" s="328">
        <v>0</v>
      </c>
      <c r="DE81" s="4"/>
      <c r="DF81" s="416">
        <v>0</v>
      </c>
      <c r="DG81" s="417">
        <v>0</v>
      </c>
      <c r="DH81" s="417">
        <v>0</v>
      </c>
      <c r="DI81" s="417">
        <v>0</v>
      </c>
      <c r="DJ81" s="417">
        <v>0</v>
      </c>
      <c r="DK81" s="417">
        <v>0</v>
      </c>
      <c r="DL81" s="417">
        <v>0</v>
      </c>
      <c r="DM81" s="417">
        <v>0</v>
      </c>
      <c r="DN81" s="417">
        <v>0</v>
      </c>
      <c r="DO81" s="417">
        <v>0</v>
      </c>
      <c r="DP81" s="417">
        <v>0</v>
      </c>
      <c r="DQ81" s="417">
        <v>0</v>
      </c>
      <c r="DS81" s="327">
        <v>0</v>
      </c>
      <c r="DT81" s="323">
        <v>0</v>
      </c>
      <c r="DU81" s="323">
        <v>0</v>
      </c>
      <c r="DV81" s="323">
        <v>0</v>
      </c>
      <c r="DW81" s="323">
        <v>0</v>
      </c>
      <c r="DX81" s="323">
        <v>0</v>
      </c>
      <c r="DY81" s="323">
        <v>0</v>
      </c>
      <c r="DZ81" s="328">
        <v>0</v>
      </c>
      <c r="EA81" s="4"/>
      <c r="EB81" s="425" t="s">
        <v>217</v>
      </c>
      <c r="EC81" s="426" t="s">
        <v>348</v>
      </c>
      <c r="ED81" s="340">
        <v>0.18257302921168467</v>
      </c>
      <c r="EE81" s="340">
        <v>7.3529411764705885E-2</v>
      </c>
      <c r="EF81" s="340">
        <v>0</v>
      </c>
      <c r="EG81" s="344">
        <v>1</v>
      </c>
      <c r="EH81" s="428"/>
      <c r="EI81" s="428">
        <v>2.4829931972789114</v>
      </c>
      <c r="EJ81" s="429"/>
      <c r="EK81" s="323">
        <v>15</v>
      </c>
      <c r="EL81" s="323">
        <v>14</v>
      </c>
      <c r="EM81" s="323">
        <v>13</v>
      </c>
      <c r="EN81" s="323">
        <v>13</v>
      </c>
      <c r="EO81" s="323">
        <v>13</v>
      </c>
      <c r="EP81" s="323">
        <v>0</v>
      </c>
      <c r="EQ81" s="323">
        <v>0</v>
      </c>
      <c r="ER81" s="323">
        <v>0</v>
      </c>
      <c r="ES81" s="323">
        <v>0</v>
      </c>
      <c r="ET81" s="323">
        <v>0</v>
      </c>
      <c r="EU81" s="323">
        <v>0</v>
      </c>
      <c r="EV81" s="323">
        <v>0</v>
      </c>
      <c r="EW81" s="347">
        <v>13.6</v>
      </c>
      <c r="EX81" s="344">
        <v>13</v>
      </c>
      <c r="EY81" s="323">
        <v>0</v>
      </c>
      <c r="EZ81" s="323">
        <v>0</v>
      </c>
      <c r="FA81" s="323">
        <v>0</v>
      </c>
      <c r="FB81" s="323">
        <v>0</v>
      </c>
      <c r="FC81" s="323">
        <v>0</v>
      </c>
      <c r="FD81" s="323">
        <v>0</v>
      </c>
      <c r="FE81" s="323">
        <v>1</v>
      </c>
      <c r="FF81" s="323">
        <v>0</v>
      </c>
      <c r="FG81" s="323">
        <v>0</v>
      </c>
      <c r="FH81" s="323">
        <v>1</v>
      </c>
      <c r="FI81" s="323">
        <v>0</v>
      </c>
      <c r="FJ81" s="4"/>
      <c r="FK81" s="323">
        <v>13</v>
      </c>
      <c r="FL81" s="323">
        <v>0</v>
      </c>
      <c r="FM81" s="2"/>
      <c r="FN81" s="323">
        <v>1</v>
      </c>
      <c r="FO81" s="323">
        <v>0</v>
      </c>
      <c r="FP81" s="323">
        <v>0</v>
      </c>
      <c r="FR81" s="425" t="s">
        <v>217</v>
      </c>
      <c r="FS81" s="426" t="s">
        <v>348</v>
      </c>
      <c r="FT81" s="340" t="e">
        <v>#DIV/0!</v>
      </c>
      <c r="FU81" s="340" t="e">
        <v>#DIV/0!</v>
      </c>
      <c r="FV81" s="340" t="e">
        <v>#DIV/0!</v>
      </c>
      <c r="FW81" s="344">
        <v>0</v>
      </c>
      <c r="FX81" s="428"/>
      <c r="FY81" s="428">
        <v>0</v>
      </c>
      <c r="FZ81" s="429"/>
      <c r="GA81" s="323">
        <v>0</v>
      </c>
      <c r="GB81" s="323">
        <v>0</v>
      </c>
      <c r="GC81" s="323">
        <v>0</v>
      </c>
      <c r="GD81" s="323">
        <v>0</v>
      </c>
      <c r="GE81" s="323">
        <v>0</v>
      </c>
      <c r="GF81" s="323">
        <v>0</v>
      </c>
      <c r="GG81" s="323">
        <v>0</v>
      </c>
      <c r="GH81" s="323">
        <v>0</v>
      </c>
      <c r="GI81" s="323">
        <v>0</v>
      </c>
      <c r="GJ81" s="323">
        <v>0</v>
      </c>
      <c r="GK81" s="323">
        <v>0</v>
      </c>
      <c r="GL81" s="323">
        <v>0</v>
      </c>
      <c r="GM81" s="347" t="e">
        <v>#DIV/0!</v>
      </c>
      <c r="GN81" s="341">
        <v>0</v>
      </c>
      <c r="GO81" s="323">
        <v>0</v>
      </c>
      <c r="GP81" s="323">
        <v>0</v>
      </c>
      <c r="GQ81" s="323">
        <v>0</v>
      </c>
      <c r="GR81" s="323">
        <v>0</v>
      </c>
      <c r="GS81" s="323">
        <v>0</v>
      </c>
      <c r="GT81" s="323">
        <v>0</v>
      </c>
      <c r="GU81" s="323">
        <v>0</v>
      </c>
      <c r="GV81" s="323">
        <v>0</v>
      </c>
      <c r="GW81" s="323">
        <v>0</v>
      </c>
      <c r="GX81" s="323">
        <v>0</v>
      </c>
      <c r="GY81" s="323">
        <v>0</v>
      </c>
      <c r="GZ81" s="4"/>
      <c r="HA81" s="323">
        <v>0</v>
      </c>
      <c r="HB81" s="323">
        <v>0</v>
      </c>
      <c r="HC81" s="2"/>
      <c r="HD81" s="323">
        <v>0</v>
      </c>
      <c r="HE81" s="323">
        <v>0</v>
      </c>
      <c r="HF81" s="323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1</v>
      </c>
      <c r="HS81">
        <v>6.25E-2</v>
      </c>
      <c r="HT81">
        <v>15</v>
      </c>
      <c r="HU81">
        <v>0.9375</v>
      </c>
      <c r="HV81">
        <v>16</v>
      </c>
    </row>
    <row r="82" spans="1:230" ht="15.75" thickBot="1" x14ac:dyDescent="0.3">
      <c r="A82" t="s">
        <v>564</v>
      </c>
      <c r="B82" s="4">
        <v>1461</v>
      </c>
      <c r="C82" s="444" t="s">
        <v>318</v>
      </c>
      <c r="D82" s="432" t="s">
        <v>207</v>
      </c>
      <c r="E82" s="433" t="s">
        <v>564</v>
      </c>
      <c r="F82" s="434">
        <v>0.84647495361781067</v>
      </c>
      <c r="G82" s="434">
        <v>0.34090909090909088</v>
      </c>
      <c r="H82" s="434">
        <v>5.6818181818181816E-2</v>
      </c>
      <c r="I82" s="435">
        <v>6</v>
      </c>
      <c r="J82" s="435"/>
      <c r="K82" s="480">
        <v>14.897959183673468</v>
      </c>
      <c r="L82" s="436"/>
      <c r="M82" s="435">
        <v>18</v>
      </c>
      <c r="N82" s="435">
        <v>17</v>
      </c>
      <c r="O82" s="435">
        <v>18</v>
      </c>
      <c r="P82" s="435">
        <v>16</v>
      </c>
      <c r="Q82" s="435">
        <v>19</v>
      </c>
      <c r="R82" s="435">
        <v>0</v>
      </c>
      <c r="S82" s="435">
        <v>0</v>
      </c>
      <c r="T82" s="435">
        <v>0</v>
      </c>
      <c r="U82" s="435">
        <v>0</v>
      </c>
      <c r="V82" s="435">
        <v>0</v>
      </c>
      <c r="W82" s="435">
        <v>0</v>
      </c>
      <c r="X82" s="435">
        <v>0</v>
      </c>
      <c r="Y82" s="437">
        <v>17.600000000000001</v>
      </c>
      <c r="Z82" s="435">
        <v>19</v>
      </c>
      <c r="AA82" s="435">
        <v>0</v>
      </c>
      <c r="AB82" s="435">
        <v>1</v>
      </c>
      <c r="AC82" s="435">
        <v>0</v>
      </c>
      <c r="AD82" s="435">
        <v>1</v>
      </c>
      <c r="AE82" s="435">
        <v>0</v>
      </c>
      <c r="AF82" s="435">
        <v>0</v>
      </c>
      <c r="AG82" s="435">
        <v>3</v>
      </c>
      <c r="AH82" s="435">
        <v>0</v>
      </c>
      <c r="AI82" s="435">
        <v>1</v>
      </c>
      <c r="AJ82" s="435">
        <v>6</v>
      </c>
      <c r="AK82" s="435">
        <v>1</v>
      </c>
      <c r="AL82" s="4"/>
      <c r="AM82" s="447">
        <v>17</v>
      </c>
      <c r="AN82" s="448">
        <v>2</v>
      </c>
      <c r="AO82" s="2"/>
      <c r="AP82" s="438">
        <v>5</v>
      </c>
      <c r="AQ82" s="438">
        <v>1</v>
      </c>
      <c r="AR82" s="438">
        <v>0</v>
      </c>
      <c r="AS82" s="2"/>
      <c r="AT82" s="438">
        <v>0</v>
      </c>
      <c r="AU82" s="438">
        <v>2</v>
      </c>
      <c r="AV82" s="438">
        <v>1</v>
      </c>
      <c r="AW82" s="438">
        <v>2</v>
      </c>
      <c r="AX82" s="438">
        <v>1</v>
      </c>
      <c r="AY82" s="438">
        <v>0</v>
      </c>
      <c r="AZ82" s="438">
        <v>0</v>
      </c>
      <c r="BA82" s="438">
        <v>0</v>
      </c>
      <c r="BB82" s="438">
        <v>0</v>
      </c>
      <c r="BC82" s="438">
        <v>0</v>
      </c>
      <c r="BD82" s="438">
        <v>0</v>
      </c>
      <c r="BE82" s="438">
        <v>0</v>
      </c>
      <c r="BF82" s="2" t="s">
        <v>564</v>
      </c>
      <c r="BG82" s="362">
        <v>0</v>
      </c>
      <c r="BH82" s="360">
        <v>0</v>
      </c>
      <c r="BI82" s="360">
        <v>0</v>
      </c>
      <c r="BJ82" s="360">
        <v>0</v>
      </c>
      <c r="BK82" s="360">
        <v>0</v>
      </c>
      <c r="BL82" s="360">
        <v>0</v>
      </c>
      <c r="BM82" s="360">
        <v>0</v>
      </c>
      <c r="BN82" s="360">
        <v>0</v>
      </c>
      <c r="BO82" s="360">
        <v>0</v>
      </c>
      <c r="BP82" s="360">
        <v>0</v>
      </c>
      <c r="BQ82" s="360">
        <v>0</v>
      </c>
      <c r="BR82" s="361">
        <v>0</v>
      </c>
      <c r="BS82" s="360">
        <v>0</v>
      </c>
      <c r="BT82" s="363">
        <v>0</v>
      </c>
      <c r="BU82" s="364">
        <v>0.74489795918367352</v>
      </c>
      <c r="BV82" s="364">
        <v>0.6811113414886999</v>
      </c>
      <c r="BW82" s="364">
        <v>0.88905127268298623</v>
      </c>
      <c r="BX82" s="364">
        <v>0.84647495361781055</v>
      </c>
      <c r="BY82" s="364">
        <v>0.82042957042957043</v>
      </c>
      <c r="BZ82" s="364">
        <v>0.82954545454545459</v>
      </c>
      <c r="CA82" s="364">
        <v>0.83651642475171895</v>
      </c>
      <c r="CB82" s="364">
        <v>0.83391608391608374</v>
      </c>
      <c r="CC82" s="364">
        <v>0.84038054968287512</v>
      </c>
      <c r="CD82" s="364">
        <v>0.8457446808510638</v>
      </c>
      <c r="CE82" s="365">
        <v>0.81818181818181823</v>
      </c>
      <c r="CF82" s="2"/>
      <c r="CG82" s="362">
        <v>0</v>
      </c>
      <c r="CH82" s="360">
        <v>0</v>
      </c>
      <c r="CI82" s="360">
        <v>0</v>
      </c>
      <c r="CJ82" s="360">
        <v>0</v>
      </c>
      <c r="CK82" s="360">
        <v>0</v>
      </c>
      <c r="CL82" s="360">
        <v>0</v>
      </c>
      <c r="CM82" s="360">
        <v>0</v>
      </c>
      <c r="CN82" s="360">
        <v>0</v>
      </c>
      <c r="CO82" s="360">
        <v>0</v>
      </c>
      <c r="CP82" s="360">
        <v>0</v>
      </c>
      <c r="CQ82" s="360">
        <v>0</v>
      </c>
      <c r="CR82" s="366">
        <v>0</v>
      </c>
      <c r="CS82" s="362">
        <v>0</v>
      </c>
      <c r="CT82" s="360">
        <v>0</v>
      </c>
      <c r="CU82" s="360">
        <v>0</v>
      </c>
      <c r="CV82" s="360">
        <v>0</v>
      </c>
      <c r="CW82" s="360">
        <v>0</v>
      </c>
      <c r="CX82" s="360">
        <v>0</v>
      </c>
      <c r="CY82" s="360">
        <v>0</v>
      </c>
      <c r="CZ82" s="360">
        <v>0</v>
      </c>
      <c r="DA82" s="360">
        <v>0</v>
      </c>
      <c r="DB82" s="360">
        <v>0</v>
      </c>
      <c r="DC82" s="360">
        <v>0</v>
      </c>
      <c r="DD82" s="361">
        <v>0</v>
      </c>
      <c r="DE82" s="4"/>
      <c r="DF82" s="416" t="s">
        <v>130</v>
      </c>
      <c r="DG82" s="417" t="s">
        <v>130</v>
      </c>
      <c r="DH82" s="417" t="s">
        <v>130</v>
      </c>
      <c r="DI82" s="417" t="s">
        <v>130</v>
      </c>
      <c r="DJ82" s="417" t="s">
        <v>130</v>
      </c>
      <c r="DK82" s="417" t="s">
        <v>130</v>
      </c>
      <c r="DL82" s="417" t="s">
        <v>130</v>
      </c>
      <c r="DM82" s="417" t="s">
        <v>130</v>
      </c>
      <c r="DN82" s="417" t="s">
        <v>130</v>
      </c>
      <c r="DO82" s="417" t="s">
        <v>130</v>
      </c>
      <c r="DP82" s="417" t="s">
        <v>130</v>
      </c>
      <c r="DQ82" s="417" t="s">
        <v>130</v>
      </c>
      <c r="DS82" s="362">
        <v>0</v>
      </c>
      <c r="DT82" s="360">
        <v>0</v>
      </c>
      <c r="DU82" s="360">
        <v>0</v>
      </c>
      <c r="DV82" s="360">
        <v>0</v>
      </c>
      <c r="DW82" s="360">
        <v>0</v>
      </c>
      <c r="DX82" s="360">
        <v>0</v>
      </c>
      <c r="DY82" s="360">
        <v>0</v>
      </c>
      <c r="DZ82" s="361">
        <v>0</v>
      </c>
      <c r="EA82" s="4"/>
      <c r="EB82" s="432" t="e">
        <v>#N/A</v>
      </c>
      <c r="EC82" s="433" t="e">
        <v>#N/A</v>
      </c>
      <c r="ED82" s="434" t="e">
        <v>#DIV/0!</v>
      </c>
      <c r="EE82" s="434" t="e">
        <v>#DIV/0!</v>
      </c>
      <c r="EF82" s="434" t="e">
        <v>#DIV/0!</v>
      </c>
      <c r="EG82" s="435">
        <v>0</v>
      </c>
      <c r="EH82" s="435"/>
      <c r="EI82" s="435">
        <v>0</v>
      </c>
      <c r="EJ82" s="436"/>
      <c r="EK82" s="435">
        <v>0</v>
      </c>
      <c r="EL82" s="435">
        <v>0</v>
      </c>
      <c r="EM82" s="435">
        <v>0</v>
      </c>
      <c r="EN82" s="435">
        <v>0</v>
      </c>
      <c r="EO82" s="435">
        <v>0</v>
      </c>
      <c r="EP82" s="435">
        <v>0</v>
      </c>
      <c r="EQ82" s="435">
        <v>0</v>
      </c>
      <c r="ER82" s="435">
        <v>0</v>
      </c>
      <c r="ES82" s="435">
        <v>0</v>
      </c>
      <c r="ET82" s="435">
        <v>0</v>
      </c>
      <c r="EU82" s="435">
        <v>0</v>
      </c>
      <c r="EV82" s="435">
        <v>0</v>
      </c>
      <c r="EW82" s="437" t="e">
        <v>#DIV/0!</v>
      </c>
      <c r="EX82" s="435">
        <v>0</v>
      </c>
      <c r="EY82" s="435">
        <v>0</v>
      </c>
      <c r="EZ82" s="435">
        <v>0</v>
      </c>
      <c r="FA82" s="435">
        <v>0</v>
      </c>
      <c r="FB82" s="435">
        <v>0</v>
      </c>
      <c r="FC82" s="435">
        <v>0</v>
      </c>
      <c r="FD82" s="435">
        <v>0</v>
      </c>
      <c r="FE82" s="435">
        <v>0</v>
      </c>
      <c r="FF82" s="435">
        <v>0</v>
      </c>
      <c r="FG82" s="435">
        <v>0</v>
      </c>
      <c r="FH82" s="435">
        <v>0</v>
      </c>
      <c r="FI82" s="435">
        <v>0</v>
      </c>
      <c r="FJ82" s="4"/>
      <c r="FK82" s="435">
        <v>0</v>
      </c>
      <c r="FL82" s="435">
        <v>0</v>
      </c>
      <c r="FM82" s="2"/>
      <c r="FN82" s="435">
        <v>0</v>
      </c>
      <c r="FO82" s="435">
        <v>0</v>
      </c>
      <c r="FP82" s="435">
        <v>0</v>
      </c>
      <c r="FR82" s="432" t="e">
        <v>#N/A</v>
      </c>
      <c r="FS82" s="433" t="e">
        <v>#N/A</v>
      </c>
      <c r="FT82" s="434">
        <v>0.84647495361781067</v>
      </c>
      <c r="FU82" s="434">
        <v>0.34090909090909088</v>
      </c>
      <c r="FV82" s="439">
        <v>5.6818181818181816E-2</v>
      </c>
      <c r="FW82" s="435">
        <v>6</v>
      </c>
      <c r="FX82" s="435"/>
      <c r="FY82" s="435">
        <v>14.897959183673468</v>
      </c>
      <c r="FZ82" s="436"/>
      <c r="GA82" s="435">
        <v>18</v>
      </c>
      <c r="GB82" s="435">
        <v>17</v>
      </c>
      <c r="GC82" s="435">
        <v>18</v>
      </c>
      <c r="GD82" s="435">
        <v>16</v>
      </c>
      <c r="GE82" s="435">
        <v>19</v>
      </c>
      <c r="GF82" s="435">
        <v>0</v>
      </c>
      <c r="GG82" s="435">
        <v>0</v>
      </c>
      <c r="GH82" s="435">
        <v>0</v>
      </c>
      <c r="GI82" s="435">
        <v>0</v>
      </c>
      <c r="GJ82" s="435">
        <v>0</v>
      </c>
      <c r="GK82" s="435">
        <v>0</v>
      </c>
      <c r="GL82" s="435">
        <v>0</v>
      </c>
      <c r="GM82" s="437">
        <v>17.600000000000001</v>
      </c>
      <c r="GN82" s="435">
        <v>19</v>
      </c>
      <c r="GO82" s="435">
        <v>0</v>
      </c>
      <c r="GP82" s="435">
        <v>1</v>
      </c>
      <c r="GQ82" s="435">
        <v>0</v>
      </c>
      <c r="GR82" s="435">
        <v>1</v>
      </c>
      <c r="GS82" s="435">
        <v>0</v>
      </c>
      <c r="GT82" s="435">
        <v>0</v>
      </c>
      <c r="GU82" s="435">
        <v>3</v>
      </c>
      <c r="GV82" s="435">
        <v>0</v>
      </c>
      <c r="GW82" s="435">
        <v>1</v>
      </c>
      <c r="GX82" s="435">
        <v>6</v>
      </c>
      <c r="GY82" s="435">
        <v>1</v>
      </c>
      <c r="GZ82" s="4"/>
      <c r="HA82" s="435">
        <v>17</v>
      </c>
      <c r="HB82" s="435">
        <v>2</v>
      </c>
      <c r="HC82" s="2"/>
      <c r="HD82" s="435">
        <v>5</v>
      </c>
      <c r="HE82" s="435">
        <v>1</v>
      </c>
      <c r="HF82" s="435">
        <v>0</v>
      </c>
      <c r="HH82">
        <v>0</v>
      </c>
      <c r="HI82" t="e">
        <v>#DIV/0!</v>
      </c>
      <c r="HJ82">
        <v>0</v>
      </c>
      <c r="HK82" t="e">
        <v>#DIV/0!</v>
      </c>
      <c r="HL82">
        <v>0</v>
      </c>
      <c r="HM82" t="e">
        <v>#DIV/0!</v>
      </c>
      <c r="HN82">
        <v>0</v>
      </c>
      <c r="HO82" t="e">
        <v>#DIV/0!</v>
      </c>
      <c r="HP82">
        <v>0</v>
      </c>
      <c r="HQ82" t="e">
        <v>#DIV/0!</v>
      </c>
      <c r="HR82">
        <v>0</v>
      </c>
      <c r="HS82" t="e">
        <v>#DIV/0!</v>
      </c>
      <c r="HT82">
        <v>0</v>
      </c>
      <c r="HU82" t="e">
        <v>#DIV/0!</v>
      </c>
      <c r="HV82">
        <v>0</v>
      </c>
    </row>
    <row r="83" spans="1:230" x14ac:dyDescent="0.25">
      <c r="B83" s="4"/>
      <c r="C83" s="444" t="s">
        <v>37</v>
      </c>
      <c r="D83" s="4"/>
      <c r="E83" s="14"/>
      <c r="F83" s="145"/>
      <c r="G83" s="145"/>
      <c r="H83" s="145"/>
      <c r="I83" s="2"/>
      <c r="K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20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85"/>
      <c r="AL83" s="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4"/>
      <c r="BT83" s="118"/>
      <c r="BU83" s="118"/>
      <c r="BV83" s="118"/>
      <c r="BW83" s="118"/>
      <c r="BX83" s="118"/>
      <c r="BY83" s="118"/>
      <c r="BZ83" s="118"/>
      <c r="CA83" s="118"/>
      <c r="CB83" s="118"/>
      <c r="CC83" s="118"/>
      <c r="CD83" s="118"/>
      <c r="CE83" s="118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4"/>
      <c r="DF83" s="118"/>
      <c r="DG83" s="118"/>
      <c r="DH83" s="118"/>
      <c r="DI83" s="118"/>
      <c r="DJ83" s="118"/>
      <c r="DK83" s="118"/>
      <c r="DL83" s="118"/>
      <c r="DM83" s="118"/>
      <c r="DN83" s="118"/>
      <c r="DO83" s="118"/>
      <c r="DP83" s="118"/>
      <c r="DQ83" s="118"/>
      <c r="DS83" s="2"/>
      <c r="DT83" s="2"/>
      <c r="DU83" s="2"/>
      <c r="DV83" s="2"/>
      <c r="DW83" s="2"/>
      <c r="DX83" s="2"/>
      <c r="DY83" s="2"/>
      <c r="DZ83" s="2"/>
      <c r="EA83" s="4"/>
    </row>
    <row r="84" spans="1:230" ht="15.75" thickBot="1" x14ac:dyDescent="0.3">
      <c r="B84" s="4"/>
      <c r="C84" s="444" t="s">
        <v>37</v>
      </c>
      <c r="D84" s="4"/>
      <c r="E84" s="14"/>
      <c r="F84" s="145"/>
      <c r="G84" s="145"/>
      <c r="H84" s="145"/>
      <c r="I84" s="2"/>
      <c r="K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20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4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U84" s="4"/>
      <c r="DV84" s="4"/>
      <c r="DW84" s="4"/>
      <c r="DX84" s="4"/>
      <c r="DY84" s="4"/>
      <c r="DZ84" s="4"/>
      <c r="EA84" s="4"/>
      <c r="EB84" s="13"/>
    </row>
    <row r="85" spans="1:230" ht="15.75" thickBot="1" x14ac:dyDescent="0.3">
      <c r="B85" s="13" t="s">
        <v>105</v>
      </c>
      <c r="C85" s="559"/>
      <c r="D85" t="s">
        <v>282</v>
      </c>
      <c r="M85" s="190" t="s">
        <v>105</v>
      </c>
      <c r="N85" s="191"/>
      <c r="O85" s="191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2"/>
      <c r="AL85" s="13"/>
      <c r="AM85" s="14"/>
      <c r="AN85" s="4"/>
      <c r="AO85" s="4"/>
      <c r="AP85" s="221" t="s">
        <v>1</v>
      </c>
      <c r="AQ85" s="251"/>
      <c r="AR85" s="252"/>
      <c r="AS85" s="4"/>
      <c r="AT85" s="194" t="s">
        <v>316</v>
      </c>
      <c r="AU85" s="195"/>
      <c r="AV85" s="195"/>
      <c r="AW85" s="195"/>
      <c r="AX85" s="195"/>
      <c r="AY85" s="195"/>
      <c r="AZ85" s="195"/>
      <c r="BA85" s="195"/>
      <c r="BB85" s="195"/>
      <c r="BC85" s="195"/>
      <c r="BD85" s="195"/>
      <c r="BE85" s="196"/>
      <c r="BF85" s="4"/>
      <c r="BG85" s="193" t="s">
        <v>203</v>
      </c>
      <c r="BH85" s="304"/>
      <c r="BI85" s="304"/>
      <c r="BJ85" s="304"/>
      <c r="BK85" s="304"/>
      <c r="BL85" s="304"/>
      <c r="BM85" s="304"/>
      <c r="BN85" s="304"/>
      <c r="BO85" s="304"/>
      <c r="BP85" s="304"/>
      <c r="BQ85" s="304"/>
      <c r="BR85" s="243"/>
      <c r="BS85" s="4"/>
      <c r="BT85" s="194" t="s">
        <v>177</v>
      </c>
      <c r="BU85" s="195"/>
      <c r="BV85" s="195"/>
      <c r="BW85" s="195"/>
      <c r="BX85" s="195"/>
      <c r="BY85" s="195"/>
      <c r="BZ85" s="195"/>
      <c r="CA85" s="195"/>
      <c r="CB85" s="195"/>
      <c r="CC85" s="195"/>
      <c r="CD85" s="195"/>
      <c r="CE85" s="196"/>
      <c r="CF85" s="4"/>
      <c r="CG85" s="190" t="s">
        <v>178</v>
      </c>
      <c r="CH85" s="191"/>
      <c r="CI85" s="191"/>
      <c r="CJ85" s="191"/>
      <c r="CK85" s="191"/>
      <c r="CL85" s="191"/>
      <c r="CM85" s="191"/>
      <c r="CN85" s="191"/>
      <c r="CO85" s="191"/>
      <c r="CP85" s="191"/>
      <c r="CQ85" s="191"/>
      <c r="CR85" s="192"/>
      <c r="CS85" s="193" t="s">
        <v>176</v>
      </c>
      <c r="CT85" s="304"/>
      <c r="CU85" s="304"/>
      <c r="CV85" s="304"/>
      <c r="CW85" s="304"/>
      <c r="CX85" s="304"/>
      <c r="CY85" s="304"/>
      <c r="CZ85" s="304"/>
      <c r="DA85" s="304"/>
      <c r="DB85" s="304"/>
      <c r="DC85" s="304"/>
      <c r="DD85" s="243"/>
      <c r="DE85" s="4"/>
      <c r="DF85" s="194" t="s">
        <v>177</v>
      </c>
      <c r="DG85" s="195"/>
      <c r="DH85" s="195"/>
      <c r="DI85" s="195"/>
      <c r="DJ85" s="195" t="s">
        <v>93</v>
      </c>
      <c r="DK85" s="195"/>
      <c r="DL85" s="195"/>
      <c r="DM85" s="195"/>
      <c r="DN85" s="195"/>
      <c r="DO85" s="195"/>
      <c r="DP85" s="195"/>
      <c r="DQ85" s="196"/>
      <c r="DS85" s="193" t="s">
        <v>190</v>
      </c>
      <c r="DT85" s="270"/>
      <c r="DU85" s="270"/>
      <c r="DV85" s="270"/>
      <c r="DW85" s="270"/>
      <c r="DX85" s="270"/>
      <c r="DY85" s="304"/>
      <c r="DZ85" s="243"/>
      <c r="EA85" s="4"/>
      <c r="EH85" s="2"/>
      <c r="EJ85" s="1"/>
      <c r="EK85" s="221" t="s">
        <v>3</v>
      </c>
      <c r="EL85" s="222"/>
      <c r="EM85" s="222"/>
      <c r="EN85" s="222"/>
      <c r="EO85" s="222"/>
      <c r="EP85" s="222"/>
      <c r="EQ85" s="222"/>
      <c r="ER85" s="222"/>
      <c r="ES85" s="222"/>
      <c r="ET85" s="222"/>
      <c r="EU85" s="222"/>
      <c r="EV85" s="222"/>
      <c r="EW85" s="222"/>
      <c r="EX85" s="222"/>
      <c r="EY85" s="222"/>
      <c r="EZ85" s="222"/>
      <c r="FA85" s="222"/>
      <c r="FB85" s="222"/>
      <c r="FC85" s="222"/>
      <c r="FD85" s="222"/>
      <c r="FE85" s="222"/>
      <c r="FF85" s="222"/>
      <c r="FG85" s="222"/>
      <c r="FH85" s="222"/>
      <c r="FI85" s="223"/>
      <c r="FX85" s="2"/>
      <c r="FZ85" s="1"/>
      <c r="GA85" s="221" t="s">
        <v>5</v>
      </c>
      <c r="GB85" s="222"/>
      <c r="GC85" s="222"/>
      <c r="GD85" s="222"/>
      <c r="GE85" s="222"/>
      <c r="GF85" s="222"/>
      <c r="GG85" s="222"/>
      <c r="GH85" s="222"/>
      <c r="GI85" s="222"/>
      <c r="GJ85" s="222"/>
      <c r="GK85" s="222"/>
      <c r="GL85" s="222"/>
      <c r="GM85" s="222"/>
      <c r="GN85" s="222"/>
      <c r="GO85" s="222"/>
      <c r="GP85" s="222"/>
      <c r="GQ85" s="222"/>
      <c r="GR85" s="222"/>
      <c r="GS85" s="222"/>
      <c r="GT85" s="222"/>
      <c r="GU85" s="222"/>
      <c r="GV85" s="222"/>
      <c r="GW85" s="222"/>
      <c r="GX85" s="222"/>
      <c r="GY85" s="223"/>
      <c r="HH85" t="s">
        <v>177</v>
      </c>
      <c r="HP85" t="s">
        <v>93</v>
      </c>
    </row>
    <row r="86" spans="1:230" ht="27" customHeight="1" thickBot="1" x14ac:dyDescent="0.3">
      <c r="B86" s="237" t="s">
        <v>1</v>
      </c>
      <c r="C86" s="444" t="s">
        <v>1</v>
      </c>
      <c r="D86" s="197" t="s">
        <v>1</v>
      </c>
      <c r="E86" s="198" t="s">
        <v>3</v>
      </c>
      <c r="F86" s="230" t="s">
        <v>81</v>
      </c>
      <c r="G86" s="230" t="s">
        <v>82</v>
      </c>
      <c r="H86" s="230" t="s">
        <v>80</v>
      </c>
      <c r="I86" s="231" t="s">
        <v>84</v>
      </c>
      <c r="J86" s="231" t="s">
        <v>85</v>
      </c>
      <c r="K86" s="232" t="s">
        <v>89</v>
      </c>
      <c r="L86" s="233" t="s">
        <v>83</v>
      </c>
      <c r="M86" s="213" t="s">
        <v>112</v>
      </c>
      <c r="N86" s="214" t="s">
        <v>113</v>
      </c>
      <c r="O86" s="214" t="s">
        <v>114</v>
      </c>
      <c r="P86" s="214" t="s">
        <v>115</v>
      </c>
      <c r="Q86" s="214" t="s">
        <v>116</v>
      </c>
      <c r="R86" s="214" t="s">
        <v>117</v>
      </c>
      <c r="S86" s="214" t="s">
        <v>118</v>
      </c>
      <c r="T86" s="214" t="s">
        <v>119</v>
      </c>
      <c r="U86" s="214" t="s">
        <v>120</v>
      </c>
      <c r="V86" s="214" t="s">
        <v>121</v>
      </c>
      <c r="W86" s="214" t="s">
        <v>122</v>
      </c>
      <c r="X86" s="214" t="s">
        <v>123</v>
      </c>
      <c r="Y86" s="234" t="s">
        <v>124</v>
      </c>
      <c r="Z86" s="234" t="s">
        <v>54</v>
      </c>
      <c r="AA86" s="214" t="s">
        <v>55</v>
      </c>
      <c r="AB86" s="214" t="s">
        <v>61</v>
      </c>
      <c r="AC86" s="214" t="s">
        <v>57</v>
      </c>
      <c r="AD86" s="214" t="s">
        <v>59</v>
      </c>
      <c r="AE86" s="214" t="s">
        <v>58</v>
      </c>
      <c r="AF86" s="214" t="s">
        <v>56</v>
      </c>
      <c r="AG86" s="214" t="s">
        <v>202</v>
      </c>
      <c r="AH86" s="214" t="s">
        <v>60</v>
      </c>
      <c r="AI86" s="307" t="s">
        <v>66</v>
      </c>
      <c r="AJ86" s="215" t="s">
        <v>20</v>
      </c>
      <c r="AK86" s="235" t="s">
        <v>21</v>
      </c>
      <c r="AL86" s="119"/>
      <c r="AM86" s="308"/>
      <c r="AN86" s="309"/>
      <c r="AO86" s="119"/>
      <c r="AP86" s="310" t="s">
        <v>47</v>
      </c>
      <c r="AQ86" s="311" t="s">
        <v>48</v>
      </c>
      <c r="AR86" s="312" t="s">
        <v>49</v>
      </c>
      <c r="AS86" s="119"/>
      <c r="AT86" s="207" t="s">
        <v>136</v>
      </c>
      <c r="AU86" s="208" t="s">
        <v>137</v>
      </c>
      <c r="AV86" s="208" t="s">
        <v>138</v>
      </c>
      <c r="AW86" s="208" t="s">
        <v>139</v>
      </c>
      <c r="AX86" s="208" t="s">
        <v>140</v>
      </c>
      <c r="AY86" s="208" t="s">
        <v>141</v>
      </c>
      <c r="AZ86" s="208" t="s">
        <v>142</v>
      </c>
      <c r="BA86" s="208" t="s">
        <v>143</v>
      </c>
      <c r="BB86" s="208" t="s">
        <v>144</v>
      </c>
      <c r="BC86" s="208" t="s">
        <v>145</v>
      </c>
      <c r="BD86" s="208" t="s">
        <v>146</v>
      </c>
      <c r="BE86" s="209" t="s">
        <v>147</v>
      </c>
      <c r="BF86" s="119"/>
      <c r="BG86" s="213" t="s">
        <v>148</v>
      </c>
      <c r="BH86" s="214" t="s">
        <v>149</v>
      </c>
      <c r="BI86" s="214" t="s">
        <v>150</v>
      </c>
      <c r="BJ86" s="214" t="s">
        <v>151</v>
      </c>
      <c r="BK86" s="214" t="s">
        <v>152</v>
      </c>
      <c r="BL86" s="214" t="s">
        <v>153</v>
      </c>
      <c r="BM86" s="214" t="s">
        <v>154</v>
      </c>
      <c r="BN86" s="214" t="s">
        <v>155</v>
      </c>
      <c r="BO86" s="214" t="s">
        <v>156</v>
      </c>
      <c r="BP86" s="214" t="s">
        <v>157</v>
      </c>
      <c r="BQ86" s="214" t="s">
        <v>158</v>
      </c>
      <c r="BR86" s="236" t="s">
        <v>159</v>
      </c>
      <c r="BS86" s="119"/>
      <c r="BT86" s="210" t="s">
        <v>160</v>
      </c>
      <c r="BU86" s="211" t="s">
        <v>161</v>
      </c>
      <c r="BV86" s="211" t="s">
        <v>162</v>
      </c>
      <c r="BW86" s="211" t="s">
        <v>163</v>
      </c>
      <c r="BX86" s="211" t="s">
        <v>164</v>
      </c>
      <c r="BY86" s="211" t="s">
        <v>165</v>
      </c>
      <c r="BZ86" s="211" t="s">
        <v>166</v>
      </c>
      <c r="CA86" s="211" t="s">
        <v>167</v>
      </c>
      <c r="CB86" s="211" t="s">
        <v>168</v>
      </c>
      <c r="CC86" s="211" t="s">
        <v>169</v>
      </c>
      <c r="CD86" s="211" t="s">
        <v>170</v>
      </c>
      <c r="CE86" s="212" t="s">
        <v>171</v>
      </c>
      <c r="CF86" s="119"/>
      <c r="CG86" s="213" t="s">
        <v>112</v>
      </c>
      <c r="CH86" s="214" t="s">
        <v>113</v>
      </c>
      <c r="CI86" s="214" t="s">
        <v>114</v>
      </c>
      <c r="CJ86" s="214" t="s">
        <v>115</v>
      </c>
      <c r="CK86" s="214" t="s">
        <v>116</v>
      </c>
      <c r="CL86" s="214" t="s">
        <v>117</v>
      </c>
      <c r="CM86" s="214" t="s">
        <v>118</v>
      </c>
      <c r="CN86" s="214" t="s">
        <v>119</v>
      </c>
      <c r="CO86" s="214" t="s">
        <v>120</v>
      </c>
      <c r="CP86" s="214" t="s">
        <v>121</v>
      </c>
      <c r="CQ86" s="214" t="s">
        <v>122</v>
      </c>
      <c r="CR86" s="215" t="s">
        <v>123</v>
      </c>
      <c r="CS86" s="207" t="s">
        <v>136</v>
      </c>
      <c r="CT86" s="208" t="s">
        <v>137</v>
      </c>
      <c r="CU86" s="208" t="s">
        <v>138</v>
      </c>
      <c r="CV86" s="208" t="s">
        <v>139</v>
      </c>
      <c r="CW86" s="208" t="s">
        <v>140</v>
      </c>
      <c r="CX86" s="208" t="s">
        <v>141</v>
      </c>
      <c r="CY86" s="208" t="s">
        <v>142</v>
      </c>
      <c r="CZ86" s="208" t="s">
        <v>143</v>
      </c>
      <c r="DA86" s="208" t="s">
        <v>144</v>
      </c>
      <c r="DB86" s="208" t="s">
        <v>145</v>
      </c>
      <c r="DC86" s="208" t="s">
        <v>146</v>
      </c>
      <c r="DD86" s="209" t="s">
        <v>147</v>
      </c>
      <c r="DE86" s="216"/>
      <c r="DF86" s="239" t="s">
        <v>160</v>
      </c>
      <c r="DG86" s="240" t="s">
        <v>161</v>
      </c>
      <c r="DH86" s="240" t="s">
        <v>162</v>
      </c>
      <c r="DI86" s="240" t="s">
        <v>163</v>
      </c>
      <c r="DJ86" s="240" t="s">
        <v>164</v>
      </c>
      <c r="DK86" s="240" t="s">
        <v>165</v>
      </c>
      <c r="DL86" s="240" t="s">
        <v>166</v>
      </c>
      <c r="DM86" s="240" t="s">
        <v>167</v>
      </c>
      <c r="DN86" s="240" t="s">
        <v>168</v>
      </c>
      <c r="DO86" s="240" t="s">
        <v>169</v>
      </c>
      <c r="DP86" s="240" t="s">
        <v>170</v>
      </c>
      <c r="DQ86" s="241" t="s">
        <v>171</v>
      </c>
      <c r="DS86" s="313" t="s">
        <v>188</v>
      </c>
      <c r="DT86" s="314">
        <v>0.8</v>
      </c>
      <c r="DU86" s="314">
        <v>0.81</v>
      </c>
      <c r="DV86" s="314">
        <v>0.82</v>
      </c>
      <c r="DW86" s="314">
        <v>0.83</v>
      </c>
      <c r="DX86" s="314">
        <v>0.84</v>
      </c>
      <c r="DY86" s="315" t="s">
        <v>194</v>
      </c>
      <c r="DZ86" s="316" t="s">
        <v>189</v>
      </c>
      <c r="EA86" s="4"/>
      <c r="EB86" s="197" t="s">
        <v>1</v>
      </c>
      <c r="EC86" s="198" t="s">
        <v>3</v>
      </c>
      <c r="ED86" s="199" t="s">
        <v>81</v>
      </c>
      <c r="EE86" s="199" t="s">
        <v>82</v>
      </c>
      <c r="EF86" s="199" t="s">
        <v>80</v>
      </c>
      <c r="EG86" s="231" t="s">
        <v>84</v>
      </c>
      <c r="EH86" s="231" t="s">
        <v>85</v>
      </c>
      <c r="EI86" s="232" t="s">
        <v>89</v>
      </c>
      <c r="EJ86" s="233" t="s">
        <v>83</v>
      </c>
      <c r="EK86" s="213" t="s">
        <v>112</v>
      </c>
      <c r="EL86" s="214" t="s">
        <v>113</v>
      </c>
      <c r="EM86" s="214" t="s">
        <v>114</v>
      </c>
      <c r="EN86" s="214" t="s">
        <v>115</v>
      </c>
      <c r="EO86" s="214" t="s">
        <v>116</v>
      </c>
      <c r="EP86" s="214" t="s">
        <v>117</v>
      </c>
      <c r="EQ86" s="214" t="s">
        <v>118</v>
      </c>
      <c r="ER86" s="214" t="s">
        <v>119</v>
      </c>
      <c r="ES86" s="214" t="s">
        <v>120</v>
      </c>
      <c r="ET86" s="214" t="s">
        <v>121</v>
      </c>
      <c r="EU86" s="214" t="s">
        <v>122</v>
      </c>
      <c r="EV86" s="214" t="s">
        <v>123</v>
      </c>
      <c r="EW86" s="234" t="s">
        <v>124</v>
      </c>
      <c r="EX86" s="234" t="s">
        <v>54</v>
      </c>
      <c r="EY86" s="214" t="s">
        <v>55</v>
      </c>
      <c r="EZ86" s="214" t="s">
        <v>61</v>
      </c>
      <c r="FA86" s="214" t="s">
        <v>57</v>
      </c>
      <c r="FB86" s="214" t="s">
        <v>59</v>
      </c>
      <c r="FC86" s="214" t="s">
        <v>58</v>
      </c>
      <c r="FD86" s="214" t="s">
        <v>56</v>
      </c>
      <c r="FE86" s="214" t="s">
        <v>202</v>
      </c>
      <c r="FF86" s="214" t="s">
        <v>60</v>
      </c>
      <c r="FG86" s="307" t="s">
        <v>66</v>
      </c>
      <c r="FH86" s="215" t="s">
        <v>20</v>
      </c>
      <c r="FI86" s="235" t="s">
        <v>21</v>
      </c>
      <c r="FR86" s="197" t="s">
        <v>1</v>
      </c>
      <c r="FS86" s="198" t="s">
        <v>5</v>
      </c>
      <c r="FT86" s="230" t="s">
        <v>81</v>
      </c>
      <c r="FU86" s="230" t="s">
        <v>82</v>
      </c>
      <c r="FV86" s="230" t="s">
        <v>80</v>
      </c>
      <c r="FW86" s="231" t="s">
        <v>84</v>
      </c>
      <c r="FX86" s="231" t="s">
        <v>85</v>
      </c>
      <c r="FY86" s="232" t="s">
        <v>89</v>
      </c>
      <c r="FZ86" s="233" t="s">
        <v>83</v>
      </c>
      <c r="GA86" s="213" t="s">
        <v>112</v>
      </c>
      <c r="GB86" s="214" t="s">
        <v>113</v>
      </c>
      <c r="GC86" s="214" t="s">
        <v>114</v>
      </c>
      <c r="GD86" s="214" t="s">
        <v>115</v>
      </c>
      <c r="GE86" s="214" t="s">
        <v>116</v>
      </c>
      <c r="GF86" s="214" t="s">
        <v>117</v>
      </c>
      <c r="GG86" s="214" t="s">
        <v>118</v>
      </c>
      <c r="GH86" s="214" t="s">
        <v>119</v>
      </c>
      <c r="GI86" s="214" t="s">
        <v>120</v>
      </c>
      <c r="GJ86" s="214" t="s">
        <v>121</v>
      </c>
      <c r="GK86" s="214" t="s">
        <v>122</v>
      </c>
      <c r="GL86" s="214" t="s">
        <v>123</v>
      </c>
      <c r="GM86" s="234" t="s">
        <v>124</v>
      </c>
      <c r="GN86" s="234" t="s">
        <v>54</v>
      </c>
      <c r="GO86" s="214" t="s">
        <v>55</v>
      </c>
      <c r="GP86" s="214" t="s">
        <v>61</v>
      </c>
      <c r="GQ86" s="214" t="s">
        <v>57</v>
      </c>
      <c r="GR86" s="214" t="s">
        <v>59</v>
      </c>
      <c r="GS86" s="214" t="s">
        <v>58</v>
      </c>
      <c r="GT86" s="214" t="s">
        <v>56</v>
      </c>
      <c r="GU86" s="214" t="s">
        <v>202</v>
      </c>
      <c r="GV86" s="214" t="s">
        <v>60</v>
      </c>
      <c r="GW86" s="307" t="s">
        <v>66</v>
      </c>
      <c r="GX86" s="215" t="s">
        <v>20</v>
      </c>
      <c r="GY86" s="235" t="s">
        <v>21</v>
      </c>
      <c r="HH86" t="s">
        <v>294</v>
      </c>
      <c r="HI86" t="s">
        <v>295</v>
      </c>
      <c r="HJ86" t="s">
        <v>296</v>
      </c>
      <c r="HK86" t="s">
        <v>297</v>
      </c>
      <c r="HL86" t="s">
        <v>298</v>
      </c>
      <c r="HM86" t="s">
        <v>299</v>
      </c>
      <c r="HN86" t="s">
        <v>300</v>
      </c>
      <c r="HO86" t="s">
        <v>301</v>
      </c>
      <c r="HP86" t="s">
        <v>302</v>
      </c>
      <c r="HQ86" t="s">
        <v>303</v>
      </c>
      <c r="HR86" t="s">
        <v>304</v>
      </c>
      <c r="HS86" t="s">
        <v>305</v>
      </c>
      <c r="HT86" t="s">
        <v>306</v>
      </c>
      <c r="HU86" t="s">
        <v>307</v>
      </c>
      <c r="HV86" t="s">
        <v>308</v>
      </c>
    </row>
    <row r="87" spans="1:230" x14ac:dyDescent="0.25">
      <c r="B87" s="4" t="s">
        <v>205</v>
      </c>
      <c r="C87" s="444" t="s">
        <v>205</v>
      </c>
      <c r="D87" s="317" t="s">
        <v>205</v>
      </c>
      <c r="E87" s="318"/>
      <c r="F87" s="319">
        <v>0.3495033264223682</v>
      </c>
      <c r="G87" s="320">
        <v>0.14075887392900857</v>
      </c>
      <c r="H87" s="320">
        <v>3.3047735618115054E-2</v>
      </c>
      <c r="I87" s="321">
        <v>115</v>
      </c>
      <c r="J87" s="321"/>
      <c r="K87" s="321">
        <v>285.54421768707482</v>
      </c>
      <c r="L87" s="322"/>
      <c r="M87" s="323">
        <v>834</v>
      </c>
      <c r="N87" s="323">
        <v>822</v>
      </c>
      <c r="O87" s="323">
        <v>813</v>
      </c>
      <c r="P87" s="323">
        <v>817</v>
      </c>
      <c r="Q87" s="323">
        <v>799</v>
      </c>
      <c r="R87" s="323">
        <v>0</v>
      </c>
      <c r="S87" s="323">
        <v>0</v>
      </c>
      <c r="T87" s="323">
        <v>0</v>
      </c>
      <c r="U87" s="323">
        <v>0</v>
      </c>
      <c r="V87" s="323">
        <v>0</v>
      </c>
      <c r="W87" s="323">
        <v>0</v>
      </c>
      <c r="X87" s="323">
        <v>0</v>
      </c>
      <c r="Y87" s="324">
        <v>817</v>
      </c>
      <c r="Z87" s="325">
        <v>799</v>
      </c>
      <c r="AA87" s="325">
        <v>0</v>
      </c>
      <c r="AB87" s="321">
        <v>9</v>
      </c>
      <c r="AC87" s="321">
        <v>11</v>
      </c>
      <c r="AD87" s="321">
        <v>5</v>
      </c>
      <c r="AE87" s="321">
        <v>1</v>
      </c>
      <c r="AF87" s="321">
        <v>1</v>
      </c>
      <c r="AG87" s="321">
        <v>88</v>
      </c>
      <c r="AH87" s="321">
        <v>0</v>
      </c>
      <c r="AI87" s="321">
        <v>0</v>
      </c>
      <c r="AJ87" s="321">
        <v>115</v>
      </c>
      <c r="AK87" s="326">
        <v>27</v>
      </c>
      <c r="AL87" s="2"/>
      <c r="AM87" s="220"/>
      <c r="AN87" s="14"/>
      <c r="AO87" s="2"/>
      <c r="AP87" s="327">
        <v>98</v>
      </c>
      <c r="AQ87" s="323">
        <v>17</v>
      </c>
      <c r="AR87" s="328">
        <v>0</v>
      </c>
      <c r="AS87" s="2"/>
      <c r="AT87" s="327">
        <v>24</v>
      </c>
      <c r="AU87" s="323">
        <v>18</v>
      </c>
      <c r="AV87" s="323">
        <v>30</v>
      </c>
      <c r="AW87" s="323">
        <v>16</v>
      </c>
      <c r="AX87" s="323">
        <v>27</v>
      </c>
      <c r="AY87" s="323">
        <v>0</v>
      </c>
      <c r="AZ87" s="323">
        <v>0</v>
      </c>
      <c r="BA87" s="323">
        <v>0</v>
      </c>
      <c r="BB87" s="323">
        <v>0</v>
      </c>
      <c r="BC87" s="323">
        <v>0</v>
      </c>
      <c r="BD87" s="323">
        <v>0</v>
      </c>
      <c r="BE87" s="328">
        <v>0</v>
      </c>
      <c r="BF87" s="4" t="s">
        <v>205</v>
      </c>
      <c r="BG87" s="327">
        <v>14</v>
      </c>
      <c r="BH87" s="323">
        <v>13</v>
      </c>
      <c r="BI87" s="323">
        <v>23</v>
      </c>
      <c r="BJ87" s="323">
        <v>22</v>
      </c>
      <c r="BK87" s="323">
        <v>17</v>
      </c>
      <c r="BL87" s="323">
        <v>0</v>
      </c>
      <c r="BM87" s="323">
        <v>0</v>
      </c>
      <c r="BN87" s="323">
        <v>0</v>
      </c>
      <c r="BO87" s="323">
        <v>0</v>
      </c>
      <c r="BP87" s="323">
        <v>0</v>
      </c>
      <c r="BQ87" s="323">
        <v>0</v>
      </c>
      <c r="BR87" s="328">
        <v>0</v>
      </c>
      <c r="BS87" s="4"/>
      <c r="BT87" s="329">
        <v>0.37512846865364857</v>
      </c>
      <c r="BU87" s="330">
        <v>0.33061594202898553</v>
      </c>
      <c r="BV87" s="330">
        <v>0.35090061821532048</v>
      </c>
      <c r="BW87" s="330">
        <v>0.32856477953323754</v>
      </c>
      <c r="BX87" s="330">
        <v>0.3495033264223682</v>
      </c>
      <c r="BY87" s="330">
        <v>0.33874937791706455</v>
      </c>
      <c r="BZ87" s="330">
        <v>0.34251325989392084</v>
      </c>
      <c r="CA87" s="330">
        <v>0.34539152258210504</v>
      </c>
      <c r="CB87" s="330">
        <v>0.34431786084172866</v>
      </c>
      <c r="CC87" s="330">
        <v>0.3469869915459281</v>
      </c>
      <c r="CD87" s="330">
        <v>0.34920180213026375</v>
      </c>
      <c r="CE87" s="331">
        <v>0.33782129742962053</v>
      </c>
      <c r="CF87" s="2"/>
      <c r="CG87" s="327">
        <v>133</v>
      </c>
      <c r="CH87" s="323">
        <v>138</v>
      </c>
      <c r="CI87" s="323">
        <v>149</v>
      </c>
      <c r="CJ87" s="323">
        <v>144</v>
      </c>
      <c r="CK87" s="323">
        <v>0</v>
      </c>
      <c r="CL87" s="323">
        <v>0</v>
      </c>
      <c r="CM87" s="323">
        <v>0</v>
      </c>
      <c r="CN87" s="323">
        <v>0</v>
      </c>
      <c r="CO87" s="323">
        <v>0</v>
      </c>
      <c r="CP87" s="323">
        <v>0</v>
      </c>
      <c r="CQ87" s="323">
        <v>0</v>
      </c>
      <c r="CR87" s="332">
        <v>0</v>
      </c>
      <c r="CS87" s="327">
        <v>0</v>
      </c>
      <c r="CT87" s="323">
        <v>0</v>
      </c>
      <c r="CU87" s="323">
        <v>0</v>
      </c>
      <c r="CV87" s="323">
        <v>0</v>
      </c>
      <c r="CW87" s="323">
        <v>0</v>
      </c>
      <c r="CX87" s="323">
        <v>0</v>
      </c>
      <c r="CY87" s="323">
        <v>0</v>
      </c>
      <c r="CZ87" s="323">
        <v>0</v>
      </c>
      <c r="DA87" s="323">
        <v>0</v>
      </c>
      <c r="DB87" s="323">
        <v>0</v>
      </c>
      <c r="DC87" s="323">
        <v>0</v>
      </c>
      <c r="DD87" s="328">
        <v>0</v>
      </c>
      <c r="DE87" s="4"/>
      <c r="DF87" s="330">
        <v>0</v>
      </c>
      <c r="DG87" s="330">
        <v>0</v>
      </c>
      <c r="DH87" s="330">
        <v>0</v>
      </c>
      <c r="DI87" s="330">
        <v>0</v>
      </c>
      <c r="DJ87" s="330">
        <v>0</v>
      </c>
      <c r="DK87" s="330">
        <v>0</v>
      </c>
      <c r="DL87" s="330">
        <v>0</v>
      </c>
      <c r="DM87" s="330">
        <v>0</v>
      </c>
      <c r="DN87" s="330">
        <v>0</v>
      </c>
      <c r="DO87" s="330">
        <v>0</v>
      </c>
      <c r="DP87" s="330">
        <v>0</v>
      </c>
      <c r="DQ87" s="330">
        <v>0</v>
      </c>
      <c r="DS87" s="327">
        <v>42</v>
      </c>
      <c r="DT87" s="323">
        <v>0</v>
      </c>
      <c r="DU87" s="323">
        <v>0</v>
      </c>
      <c r="DV87" s="323">
        <v>0</v>
      </c>
      <c r="DW87" s="323">
        <v>0</v>
      </c>
      <c r="DX87" s="323">
        <v>0</v>
      </c>
      <c r="DY87" s="323">
        <v>47</v>
      </c>
      <c r="DZ87" s="328">
        <v>89</v>
      </c>
      <c r="EA87" s="4"/>
      <c r="EB87" s="333" t="s">
        <v>443</v>
      </c>
      <c r="EC87" s="318"/>
      <c r="ED87" s="334">
        <v>0.39932344761642197</v>
      </c>
      <c r="EE87" s="334">
        <v>0.1608234158893535</v>
      </c>
      <c r="EF87" s="334">
        <v>3.3772917336764234E-2</v>
      </c>
      <c r="EG87" s="321">
        <v>100</v>
      </c>
      <c r="EH87" s="321"/>
      <c r="EI87" s="321">
        <v>248.29931972789115</v>
      </c>
      <c r="EJ87" s="322"/>
      <c r="EK87" s="321">
        <v>633</v>
      </c>
      <c r="EL87" s="321">
        <v>628</v>
      </c>
      <c r="EM87" s="321">
        <v>622</v>
      </c>
      <c r="EN87" s="321">
        <v>619</v>
      </c>
      <c r="EO87" s="321">
        <v>607</v>
      </c>
      <c r="EP87" s="321">
        <v>0</v>
      </c>
      <c r="EQ87" s="321">
        <v>0</v>
      </c>
      <c r="ER87" s="321">
        <v>0</v>
      </c>
      <c r="ES87" s="321">
        <v>0</v>
      </c>
      <c r="ET87" s="321">
        <v>0</v>
      </c>
      <c r="EU87" s="321">
        <v>0</v>
      </c>
      <c r="EV87" s="321">
        <v>0</v>
      </c>
      <c r="EW87" s="324">
        <v>621.79999999999995</v>
      </c>
      <c r="EX87" s="321">
        <v>607</v>
      </c>
      <c r="EY87" s="321">
        <v>0</v>
      </c>
      <c r="EZ87" s="321">
        <v>9</v>
      </c>
      <c r="FA87" s="321">
        <v>11</v>
      </c>
      <c r="FB87" s="321">
        <v>4</v>
      </c>
      <c r="FC87" s="321">
        <v>1</v>
      </c>
      <c r="FD87" s="321">
        <v>1</v>
      </c>
      <c r="FE87" s="321">
        <v>74</v>
      </c>
      <c r="FF87" s="321">
        <v>0</v>
      </c>
      <c r="FG87" s="321">
        <v>0</v>
      </c>
      <c r="FH87" s="321">
        <v>100</v>
      </c>
      <c r="FI87" s="326">
        <v>21</v>
      </c>
      <c r="FR87" s="333" t="s">
        <v>283</v>
      </c>
      <c r="FS87" s="318"/>
      <c r="FT87" s="319">
        <v>0.19198401009888491</v>
      </c>
      <c r="FU87" s="320">
        <v>7.7319587628865982E-2</v>
      </c>
      <c r="FV87" s="335">
        <v>3.0927835051546393E-2</v>
      </c>
      <c r="FW87" s="336">
        <v>15</v>
      </c>
      <c r="FX87" s="321"/>
      <c r="FY87" s="321">
        <v>37.244897959183675</v>
      </c>
      <c r="FZ87" s="322"/>
      <c r="GA87" s="321">
        <v>195</v>
      </c>
      <c r="GB87" s="321">
        <v>194</v>
      </c>
      <c r="GC87" s="321">
        <v>191</v>
      </c>
      <c r="GD87" s="321">
        <v>198</v>
      </c>
      <c r="GE87" s="321">
        <v>192</v>
      </c>
      <c r="GF87" s="321">
        <v>0</v>
      </c>
      <c r="GG87" s="321">
        <v>0</v>
      </c>
      <c r="GH87" s="321">
        <v>0</v>
      </c>
      <c r="GI87" s="321">
        <v>0</v>
      </c>
      <c r="GJ87" s="321">
        <v>0</v>
      </c>
      <c r="GK87" s="321">
        <v>0</v>
      </c>
      <c r="GL87" s="321">
        <v>0</v>
      </c>
      <c r="GM87" s="324">
        <v>194</v>
      </c>
      <c r="GN87" s="321">
        <v>192</v>
      </c>
      <c r="GO87" s="321">
        <v>0</v>
      </c>
      <c r="GP87" s="321">
        <v>0</v>
      </c>
      <c r="GQ87" s="321">
        <v>0</v>
      </c>
      <c r="GR87" s="321">
        <v>1</v>
      </c>
      <c r="GS87" s="321">
        <v>0</v>
      </c>
      <c r="GT87" s="321">
        <v>0</v>
      </c>
      <c r="GU87" s="321">
        <v>14</v>
      </c>
      <c r="GV87" s="321">
        <v>0</v>
      </c>
      <c r="GW87" s="321">
        <v>0</v>
      </c>
      <c r="GX87" s="321">
        <v>15</v>
      </c>
      <c r="GY87" s="326">
        <v>6</v>
      </c>
    </row>
    <row r="88" spans="1:230" x14ac:dyDescent="0.25">
      <c r="B88" s="4" t="s">
        <v>204</v>
      </c>
      <c r="C88" s="444" t="s">
        <v>204</v>
      </c>
      <c r="D88" s="337" t="s">
        <v>204</v>
      </c>
      <c r="E88" s="338"/>
      <c r="F88" s="339">
        <v>0.69702669203274525</v>
      </c>
      <c r="G88" s="340">
        <v>0.28072033898305082</v>
      </c>
      <c r="H88" s="340">
        <v>3.6016949152542374E-2</v>
      </c>
      <c r="I88" s="323">
        <v>265</v>
      </c>
      <c r="J88" s="323"/>
      <c r="K88" s="341">
        <v>657.99319727891157</v>
      </c>
      <c r="L88" s="342"/>
      <c r="M88" s="323">
        <v>933</v>
      </c>
      <c r="N88" s="323">
        <v>964</v>
      </c>
      <c r="O88" s="323">
        <v>943</v>
      </c>
      <c r="P88" s="323">
        <v>932</v>
      </c>
      <c r="Q88" s="323">
        <v>948</v>
      </c>
      <c r="R88" s="323">
        <v>0</v>
      </c>
      <c r="S88" s="323">
        <v>0</v>
      </c>
      <c r="T88" s="323">
        <v>0</v>
      </c>
      <c r="U88" s="323">
        <v>0</v>
      </c>
      <c r="V88" s="323">
        <v>0</v>
      </c>
      <c r="W88" s="323">
        <v>0</v>
      </c>
      <c r="X88" s="323">
        <v>0</v>
      </c>
      <c r="Y88" s="343">
        <v>944</v>
      </c>
      <c r="Z88" s="344">
        <v>948</v>
      </c>
      <c r="AA88" s="344">
        <v>5</v>
      </c>
      <c r="AB88" s="323">
        <v>82</v>
      </c>
      <c r="AC88" s="323">
        <v>21</v>
      </c>
      <c r="AD88" s="323">
        <v>15</v>
      </c>
      <c r="AE88" s="323">
        <v>0</v>
      </c>
      <c r="AF88" s="323">
        <v>3</v>
      </c>
      <c r="AG88" s="323">
        <v>133</v>
      </c>
      <c r="AH88" s="323">
        <v>0</v>
      </c>
      <c r="AI88" s="323">
        <v>6</v>
      </c>
      <c r="AJ88" s="323">
        <v>265</v>
      </c>
      <c r="AK88" s="328">
        <v>34</v>
      </c>
      <c r="AL88" s="2"/>
      <c r="AM88" s="220"/>
      <c r="AN88" s="14"/>
      <c r="AO88" s="2"/>
      <c r="AP88" s="327">
        <v>222</v>
      </c>
      <c r="AQ88" s="323">
        <v>43</v>
      </c>
      <c r="AR88" s="328">
        <v>0</v>
      </c>
      <c r="AS88" s="2"/>
      <c r="AT88" s="327">
        <v>54</v>
      </c>
      <c r="AU88" s="323">
        <v>40</v>
      </c>
      <c r="AV88" s="323">
        <v>83</v>
      </c>
      <c r="AW88" s="323">
        <v>54</v>
      </c>
      <c r="AX88" s="323">
        <v>34</v>
      </c>
      <c r="AY88" s="323">
        <v>0</v>
      </c>
      <c r="AZ88" s="323">
        <v>0</v>
      </c>
      <c r="BA88" s="323">
        <v>0</v>
      </c>
      <c r="BB88" s="323">
        <v>0</v>
      </c>
      <c r="BC88" s="323">
        <v>0</v>
      </c>
      <c r="BD88" s="323">
        <v>0</v>
      </c>
      <c r="BE88" s="328">
        <v>0</v>
      </c>
      <c r="BF88" s="4" t="s">
        <v>204</v>
      </c>
      <c r="BG88" s="327">
        <v>55</v>
      </c>
      <c r="BH88" s="323">
        <v>76</v>
      </c>
      <c r="BI88" s="323">
        <v>74</v>
      </c>
      <c r="BJ88" s="323">
        <v>52</v>
      </c>
      <c r="BK88" s="323">
        <v>64</v>
      </c>
      <c r="BL88" s="323">
        <v>0</v>
      </c>
      <c r="BM88" s="323">
        <v>0</v>
      </c>
      <c r="BN88" s="323">
        <v>0</v>
      </c>
      <c r="BO88" s="323">
        <v>0</v>
      </c>
      <c r="BP88" s="323">
        <v>0</v>
      </c>
      <c r="BQ88" s="323">
        <v>0</v>
      </c>
      <c r="BR88" s="328">
        <v>0</v>
      </c>
      <c r="BS88" s="4"/>
      <c r="BT88" s="329">
        <v>0.75447864033073042</v>
      </c>
      <c r="BU88" s="330">
        <v>0.64594472475336995</v>
      </c>
      <c r="BV88" s="330">
        <v>0.74994195944900177</v>
      </c>
      <c r="BW88" s="330">
        <v>0.75135674630403604</v>
      </c>
      <c r="BX88" s="330">
        <v>0.69702669203274525</v>
      </c>
      <c r="BY88" s="330">
        <v>0.67557971689327623</v>
      </c>
      <c r="BZ88" s="330">
        <v>0.6830861581920904</v>
      </c>
      <c r="CA88" s="330">
        <v>0.68882637800883062</v>
      </c>
      <c r="CB88" s="330">
        <v>0.68668513689700128</v>
      </c>
      <c r="CC88" s="330">
        <v>0.69200827749310201</v>
      </c>
      <c r="CD88" s="330">
        <v>0.69642535160476027</v>
      </c>
      <c r="CE88" s="331">
        <v>0.67372881355932202</v>
      </c>
      <c r="CF88" s="2"/>
      <c r="CG88" s="327">
        <v>345</v>
      </c>
      <c r="CH88" s="323">
        <v>369</v>
      </c>
      <c r="CI88" s="323">
        <v>346</v>
      </c>
      <c r="CJ88" s="323">
        <v>331</v>
      </c>
      <c r="CK88" s="323">
        <v>0</v>
      </c>
      <c r="CL88" s="323">
        <v>0</v>
      </c>
      <c r="CM88" s="323">
        <v>0</v>
      </c>
      <c r="CN88" s="323">
        <v>0</v>
      </c>
      <c r="CO88" s="323">
        <v>0</v>
      </c>
      <c r="CP88" s="323">
        <v>0</v>
      </c>
      <c r="CQ88" s="323">
        <v>0</v>
      </c>
      <c r="CR88" s="332">
        <v>0</v>
      </c>
      <c r="CS88" s="327">
        <v>0</v>
      </c>
      <c r="CT88" s="323">
        <v>0</v>
      </c>
      <c r="CU88" s="323">
        <v>0</v>
      </c>
      <c r="CV88" s="323">
        <v>0</v>
      </c>
      <c r="CW88" s="323">
        <v>0</v>
      </c>
      <c r="CX88" s="323">
        <v>0</v>
      </c>
      <c r="CY88" s="323">
        <v>0</v>
      </c>
      <c r="CZ88" s="323">
        <v>0</v>
      </c>
      <c r="DA88" s="323">
        <v>0</v>
      </c>
      <c r="DB88" s="323">
        <v>0</v>
      </c>
      <c r="DC88" s="323">
        <v>0</v>
      </c>
      <c r="DD88" s="328">
        <v>0</v>
      </c>
      <c r="DE88" s="4"/>
      <c r="DF88" s="330">
        <v>0</v>
      </c>
      <c r="DG88" s="330">
        <v>0</v>
      </c>
      <c r="DH88" s="330">
        <v>0</v>
      </c>
      <c r="DI88" s="330">
        <v>0</v>
      </c>
      <c r="DJ88" s="330">
        <v>0</v>
      </c>
      <c r="DK88" s="330">
        <v>0</v>
      </c>
      <c r="DL88" s="330">
        <v>0</v>
      </c>
      <c r="DM88" s="330">
        <v>0</v>
      </c>
      <c r="DN88" s="330">
        <v>0</v>
      </c>
      <c r="DO88" s="330">
        <v>0</v>
      </c>
      <c r="DP88" s="330">
        <v>0</v>
      </c>
      <c r="DQ88" s="330">
        <v>0</v>
      </c>
      <c r="DS88" s="327">
        <v>137</v>
      </c>
      <c r="DT88" s="323">
        <v>0</v>
      </c>
      <c r="DU88" s="323">
        <v>0</v>
      </c>
      <c r="DV88" s="323">
        <v>0</v>
      </c>
      <c r="DW88" s="323">
        <v>0</v>
      </c>
      <c r="DX88" s="323">
        <v>0</v>
      </c>
      <c r="DY88" s="323">
        <v>184</v>
      </c>
      <c r="DZ88" s="328">
        <v>321</v>
      </c>
      <c r="EA88" s="4"/>
      <c r="EB88" s="345" t="s">
        <v>444</v>
      </c>
      <c r="EC88" s="346"/>
      <c r="ED88" s="340">
        <v>0.71697371957901701</v>
      </c>
      <c r="EE88" s="340">
        <v>0.28875379939209728</v>
      </c>
      <c r="EF88" s="340">
        <v>3.6727456940222898E-2</v>
      </c>
      <c r="EG88" s="323">
        <v>228</v>
      </c>
      <c r="EH88" s="323"/>
      <c r="EI88" s="341">
        <v>566.12244897959181</v>
      </c>
      <c r="EJ88" s="342"/>
      <c r="EK88" s="323">
        <v>772</v>
      </c>
      <c r="EL88" s="323">
        <v>806</v>
      </c>
      <c r="EM88" s="323">
        <v>794</v>
      </c>
      <c r="EN88" s="323">
        <v>783</v>
      </c>
      <c r="EO88" s="323">
        <v>793</v>
      </c>
      <c r="EP88" s="323">
        <v>0</v>
      </c>
      <c r="EQ88" s="323">
        <v>0</v>
      </c>
      <c r="ER88" s="323">
        <v>0</v>
      </c>
      <c r="ES88" s="323">
        <v>0</v>
      </c>
      <c r="ET88" s="323">
        <v>0</v>
      </c>
      <c r="EU88" s="323">
        <v>0</v>
      </c>
      <c r="EV88" s="323">
        <v>0</v>
      </c>
      <c r="EW88" s="347">
        <v>789.6</v>
      </c>
      <c r="EX88" s="323">
        <v>793</v>
      </c>
      <c r="EY88" s="323">
        <v>5</v>
      </c>
      <c r="EZ88" s="323">
        <v>76</v>
      </c>
      <c r="FA88" s="323">
        <v>20</v>
      </c>
      <c r="FB88" s="323">
        <v>10</v>
      </c>
      <c r="FC88" s="323">
        <v>0</v>
      </c>
      <c r="FD88" s="323">
        <v>0</v>
      </c>
      <c r="FE88" s="323">
        <v>115</v>
      </c>
      <c r="FF88" s="323">
        <v>0</v>
      </c>
      <c r="FG88" s="323">
        <v>2</v>
      </c>
      <c r="FH88" s="323">
        <v>228</v>
      </c>
      <c r="FI88" s="328">
        <v>29</v>
      </c>
      <c r="FR88" s="345" t="s">
        <v>209</v>
      </c>
      <c r="FS88" s="338"/>
      <c r="FT88" s="348">
        <v>0.59889666427196686</v>
      </c>
      <c r="FU88" s="340">
        <v>0.24119947848761408</v>
      </c>
      <c r="FV88" s="349">
        <v>3.259452411994785E-2</v>
      </c>
      <c r="FW88" s="350">
        <v>37</v>
      </c>
      <c r="FX88" s="323"/>
      <c r="FY88" s="341">
        <v>91.870748299319729</v>
      </c>
      <c r="FZ88" s="342"/>
      <c r="GA88" s="323">
        <v>156</v>
      </c>
      <c r="GB88" s="323">
        <v>158</v>
      </c>
      <c r="GC88" s="323">
        <v>149</v>
      </c>
      <c r="GD88" s="323">
        <v>149</v>
      </c>
      <c r="GE88" s="323">
        <v>155</v>
      </c>
      <c r="GF88" s="323">
        <v>0</v>
      </c>
      <c r="GG88" s="323">
        <v>0</v>
      </c>
      <c r="GH88" s="323">
        <v>0</v>
      </c>
      <c r="GI88" s="323">
        <v>0</v>
      </c>
      <c r="GJ88" s="323">
        <v>0</v>
      </c>
      <c r="GK88" s="323">
        <v>0</v>
      </c>
      <c r="GL88" s="323">
        <v>0</v>
      </c>
      <c r="GM88" s="347">
        <v>153.4</v>
      </c>
      <c r="GN88" s="323">
        <v>155</v>
      </c>
      <c r="GO88" s="323">
        <v>0</v>
      </c>
      <c r="GP88" s="323">
        <v>6</v>
      </c>
      <c r="GQ88" s="323">
        <v>1</v>
      </c>
      <c r="GR88" s="323">
        <v>5</v>
      </c>
      <c r="GS88" s="323">
        <v>0</v>
      </c>
      <c r="GT88" s="323">
        <v>3</v>
      </c>
      <c r="GU88" s="323">
        <v>18</v>
      </c>
      <c r="GV88" s="323">
        <v>0</v>
      </c>
      <c r="GW88" s="323">
        <v>4</v>
      </c>
      <c r="GX88" s="323">
        <v>37</v>
      </c>
      <c r="GY88" s="328">
        <v>5</v>
      </c>
    </row>
    <row r="89" spans="1:230" x14ac:dyDescent="0.25">
      <c r="B89" s="4" t="s">
        <v>207</v>
      </c>
      <c r="C89" s="444" t="s">
        <v>207</v>
      </c>
      <c r="D89" s="337" t="s">
        <v>207</v>
      </c>
      <c r="E89" s="338"/>
      <c r="F89" s="339">
        <v>0.56713821892393323</v>
      </c>
      <c r="G89" s="340">
        <v>0.22840909090909092</v>
      </c>
      <c r="H89" s="340">
        <v>5.113636363636364E-2</v>
      </c>
      <c r="I89" s="323">
        <v>201</v>
      </c>
      <c r="J89" s="323"/>
      <c r="K89" s="341">
        <v>499.08163265306121</v>
      </c>
      <c r="L89" s="342"/>
      <c r="M89" s="323">
        <v>880</v>
      </c>
      <c r="N89" s="323">
        <v>875</v>
      </c>
      <c r="O89" s="323">
        <v>878</v>
      </c>
      <c r="P89" s="323">
        <v>885</v>
      </c>
      <c r="Q89" s="323">
        <v>882</v>
      </c>
      <c r="R89" s="323">
        <v>0</v>
      </c>
      <c r="S89" s="323">
        <v>0</v>
      </c>
      <c r="T89" s="323">
        <v>0</v>
      </c>
      <c r="U89" s="323">
        <v>0</v>
      </c>
      <c r="V89" s="323">
        <v>0</v>
      </c>
      <c r="W89" s="323">
        <v>0</v>
      </c>
      <c r="X89" s="323">
        <v>0</v>
      </c>
      <c r="Y89" s="343">
        <v>880</v>
      </c>
      <c r="Z89" s="344">
        <v>882</v>
      </c>
      <c r="AA89" s="344">
        <v>5</v>
      </c>
      <c r="AB89" s="323">
        <v>60</v>
      </c>
      <c r="AC89" s="323">
        <v>13</v>
      </c>
      <c r="AD89" s="323">
        <v>5</v>
      </c>
      <c r="AE89" s="323">
        <v>4</v>
      </c>
      <c r="AF89" s="323">
        <v>2</v>
      </c>
      <c r="AG89" s="323">
        <v>109</v>
      </c>
      <c r="AH89" s="323">
        <v>0</v>
      </c>
      <c r="AI89" s="323">
        <v>3</v>
      </c>
      <c r="AJ89" s="323">
        <v>201</v>
      </c>
      <c r="AK89" s="328">
        <v>45</v>
      </c>
      <c r="AL89" s="2"/>
      <c r="AM89" s="220"/>
      <c r="AN89" s="14"/>
      <c r="AO89" s="2"/>
      <c r="AP89" s="327">
        <v>179</v>
      </c>
      <c r="AQ89" s="323">
        <v>22</v>
      </c>
      <c r="AR89" s="328">
        <v>0</v>
      </c>
      <c r="AS89" s="2"/>
      <c r="AT89" s="327">
        <v>27</v>
      </c>
      <c r="AU89" s="323">
        <v>36</v>
      </c>
      <c r="AV89" s="323">
        <v>43</v>
      </c>
      <c r="AW89" s="323">
        <v>50</v>
      </c>
      <c r="AX89" s="323">
        <v>45</v>
      </c>
      <c r="AY89" s="323">
        <v>0</v>
      </c>
      <c r="AZ89" s="323">
        <v>0</v>
      </c>
      <c r="BA89" s="323">
        <v>0</v>
      </c>
      <c r="BB89" s="323">
        <v>0</v>
      </c>
      <c r="BC89" s="323">
        <v>0</v>
      </c>
      <c r="BD89" s="323">
        <v>0</v>
      </c>
      <c r="BE89" s="328">
        <v>0</v>
      </c>
      <c r="BF89" s="4" t="s">
        <v>207</v>
      </c>
      <c r="BG89" s="327">
        <v>50</v>
      </c>
      <c r="BH89" s="323">
        <v>34</v>
      </c>
      <c r="BI89" s="323">
        <v>55</v>
      </c>
      <c r="BJ89" s="323">
        <v>64</v>
      </c>
      <c r="BK89" s="323">
        <v>67</v>
      </c>
      <c r="BL89" s="323">
        <v>0</v>
      </c>
      <c r="BM89" s="323">
        <v>0</v>
      </c>
      <c r="BN89" s="323">
        <v>0</v>
      </c>
      <c r="BO89" s="323">
        <v>0</v>
      </c>
      <c r="BP89" s="323">
        <v>0</v>
      </c>
      <c r="BQ89" s="323">
        <v>0</v>
      </c>
      <c r="BR89" s="328">
        <v>0</v>
      </c>
      <c r="BS89" s="4"/>
      <c r="BT89" s="329">
        <v>0.39995941558441561</v>
      </c>
      <c r="BU89" s="330">
        <v>0.46794871794871795</v>
      </c>
      <c r="BV89" s="330">
        <v>0.48442632187410006</v>
      </c>
      <c r="BW89" s="330">
        <v>0.54404479244796267</v>
      </c>
      <c r="BX89" s="330">
        <v>0.56713821892393323</v>
      </c>
      <c r="BY89" s="330">
        <v>0.54968781218781215</v>
      </c>
      <c r="BZ89" s="330">
        <v>0.55579545454545465</v>
      </c>
      <c r="CA89" s="330">
        <v>0.5604660045836517</v>
      </c>
      <c r="CB89" s="330">
        <v>0.55872377622377623</v>
      </c>
      <c r="CC89" s="330">
        <v>0.56305496828752644</v>
      </c>
      <c r="CD89" s="330">
        <v>0.56664893617021272</v>
      </c>
      <c r="CE89" s="331">
        <v>0.5481818181818181</v>
      </c>
      <c r="CF89" s="2"/>
      <c r="CG89" s="327">
        <v>364</v>
      </c>
      <c r="CH89" s="323">
        <v>345</v>
      </c>
      <c r="CI89" s="323">
        <v>337</v>
      </c>
      <c r="CJ89" s="323">
        <v>322</v>
      </c>
      <c r="CK89" s="323">
        <v>0</v>
      </c>
      <c r="CL89" s="323">
        <v>0</v>
      </c>
      <c r="CM89" s="323">
        <v>0</v>
      </c>
      <c r="CN89" s="323">
        <v>0</v>
      </c>
      <c r="CO89" s="323">
        <v>0</v>
      </c>
      <c r="CP89" s="323">
        <v>0</v>
      </c>
      <c r="CQ89" s="323">
        <v>0</v>
      </c>
      <c r="CR89" s="332">
        <v>0</v>
      </c>
      <c r="CS89" s="327">
        <v>0</v>
      </c>
      <c r="CT89" s="323">
        <v>0</v>
      </c>
      <c r="CU89" s="323">
        <v>0</v>
      </c>
      <c r="CV89" s="323">
        <v>0</v>
      </c>
      <c r="CW89" s="323">
        <v>0</v>
      </c>
      <c r="CX89" s="323">
        <v>0</v>
      </c>
      <c r="CY89" s="323">
        <v>0</v>
      </c>
      <c r="CZ89" s="323">
        <v>0</v>
      </c>
      <c r="DA89" s="323">
        <v>0</v>
      </c>
      <c r="DB89" s="323">
        <v>0</v>
      </c>
      <c r="DC89" s="323">
        <v>0</v>
      </c>
      <c r="DD89" s="328">
        <v>0</v>
      </c>
      <c r="DE89" s="4"/>
      <c r="DF89" s="330">
        <v>0</v>
      </c>
      <c r="DG89" s="330">
        <v>0</v>
      </c>
      <c r="DH89" s="330">
        <v>0</v>
      </c>
      <c r="DI89" s="330">
        <v>0</v>
      </c>
      <c r="DJ89" s="330">
        <v>0</v>
      </c>
      <c r="DK89" s="330">
        <v>0</v>
      </c>
      <c r="DL89" s="330">
        <v>0</v>
      </c>
      <c r="DM89" s="330">
        <v>0</v>
      </c>
      <c r="DN89" s="330">
        <v>0</v>
      </c>
      <c r="DO89" s="330">
        <v>0</v>
      </c>
      <c r="DP89" s="330">
        <v>0</v>
      </c>
      <c r="DQ89" s="330">
        <v>0</v>
      </c>
      <c r="DS89" s="327">
        <v>119</v>
      </c>
      <c r="DT89" s="323">
        <v>0</v>
      </c>
      <c r="DU89" s="323">
        <v>0</v>
      </c>
      <c r="DV89" s="323">
        <v>0</v>
      </c>
      <c r="DW89" s="323">
        <v>0</v>
      </c>
      <c r="DX89" s="323">
        <v>0</v>
      </c>
      <c r="DY89" s="323">
        <v>151</v>
      </c>
      <c r="DZ89" s="328">
        <v>270</v>
      </c>
      <c r="EA89" s="4"/>
      <c r="EB89" s="345" t="s">
        <v>445</v>
      </c>
      <c r="EC89" s="346"/>
      <c r="ED89" s="340">
        <v>0.59947655074490858</v>
      </c>
      <c r="EE89" s="340">
        <v>0.24143302180685358</v>
      </c>
      <c r="EF89" s="340">
        <v>5.9190031152647975E-2</v>
      </c>
      <c r="EG89" s="323">
        <v>155</v>
      </c>
      <c r="EH89" s="323"/>
      <c r="EI89" s="341">
        <v>384.86394557823127</v>
      </c>
      <c r="EJ89" s="342"/>
      <c r="EK89" s="323">
        <v>638</v>
      </c>
      <c r="EL89" s="323">
        <v>643</v>
      </c>
      <c r="EM89" s="323">
        <v>640</v>
      </c>
      <c r="EN89" s="323">
        <v>650</v>
      </c>
      <c r="EO89" s="323">
        <v>639</v>
      </c>
      <c r="EP89" s="323">
        <v>0</v>
      </c>
      <c r="EQ89" s="323">
        <v>0</v>
      </c>
      <c r="ER89" s="323">
        <v>0</v>
      </c>
      <c r="ES89" s="323">
        <v>0</v>
      </c>
      <c r="ET89" s="323">
        <v>0</v>
      </c>
      <c r="EU89" s="323">
        <v>0</v>
      </c>
      <c r="EV89" s="323">
        <v>0</v>
      </c>
      <c r="EW89" s="347">
        <v>642</v>
      </c>
      <c r="EX89" s="323">
        <v>639</v>
      </c>
      <c r="EY89" s="323">
        <v>5</v>
      </c>
      <c r="EZ89" s="323">
        <v>53</v>
      </c>
      <c r="FA89" s="323">
        <v>10</v>
      </c>
      <c r="FB89" s="323">
        <v>3</v>
      </c>
      <c r="FC89" s="323">
        <v>1</v>
      </c>
      <c r="FD89" s="323">
        <v>0</v>
      </c>
      <c r="FE89" s="323">
        <v>81</v>
      </c>
      <c r="FF89" s="323">
        <v>0</v>
      </c>
      <c r="FG89" s="323">
        <v>2</v>
      </c>
      <c r="FH89" s="323">
        <v>155</v>
      </c>
      <c r="FI89" s="328">
        <v>38</v>
      </c>
      <c r="FR89" s="345" t="s">
        <v>212</v>
      </c>
      <c r="FS89" s="338"/>
      <c r="FT89" s="348">
        <v>0.48193116909210937</v>
      </c>
      <c r="FU89" s="340">
        <v>0.1940928270042194</v>
      </c>
      <c r="FV89" s="349">
        <v>2.9535864978902954E-2</v>
      </c>
      <c r="FW89" s="350">
        <v>46</v>
      </c>
      <c r="FX89" s="323"/>
      <c r="FY89" s="341">
        <v>114.21768707482993</v>
      </c>
      <c r="FZ89" s="342"/>
      <c r="GA89" s="323">
        <v>237</v>
      </c>
      <c r="GB89" s="323">
        <v>232</v>
      </c>
      <c r="GC89" s="323">
        <v>238</v>
      </c>
      <c r="GD89" s="323">
        <v>235</v>
      </c>
      <c r="GE89" s="323">
        <v>243</v>
      </c>
      <c r="GF89" s="323">
        <v>0</v>
      </c>
      <c r="GG89" s="323">
        <v>0</v>
      </c>
      <c r="GH89" s="323">
        <v>0</v>
      </c>
      <c r="GI89" s="323">
        <v>0</v>
      </c>
      <c r="GJ89" s="323">
        <v>0</v>
      </c>
      <c r="GK89" s="323">
        <v>0</v>
      </c>
      <c r="GL89" s="323">
        <v>0</v>
      </c>
      <c r="GM89" s="347">
        <v>237</v>
      </c>
      <c r="GN89" s="323">
        <v>243</v>
      </c>
      <c r="GO89" s="323">
        <v>0</v>
      </c>
      <c r="GP89" s="323">
        <v>7</v>
      </c>
      <c r="GQ89" s="323">
        <v>3</v>
      </c>
      <c r="GR89" s="323">
        <v>2</v>
      </c>
      <c r="GS89" s="323">
        <v>3</v>
      </c>
      <c r="GT89" s="323">
        <v>2</v>
      </c>
      <c r="GU89" s="323">
        <v>28</v>
      </c>
      <c r="GV89" s="323">
        <v>0</v>
      </c>
      <c r="GW89" s="323">
        <v>1</v>
      </c>
      <c r="GX89" s="323">
        <v>46</v>
      </c>
      <c r="GY89" s="328">
        <v>7</v>
      </c>
    </row>
    <row r="90" spans="1:230" ht="15" customHeight="1" x14ac:dyDescent="0.25">
      <c r="B90" s="4" t="s">
        <v>208</v>
      </c>
      <c r="C90" s="444" t="s">
        <v>208</v>
      </c>
      <c r="D90" s="337" t="s">
        <v>208</v>
      </c>
      <c r="E90" s="338"/>
      <c r="F90" s="348">
        <v>0.75314289189494432</v>
      </c>
      <c r="G90" s="340">
        <v>0.30332056194125157</v>
      </c>
      <c r="H90" s="340">
        <v>4.8957002979991483E-2</v>
      </c>
      <c r="I90" s="323">
        <v>285</v>
      </c>
      <c r="J90" s="323"/>
      <c r="K90" s="323">
        <v>707.65306122448976</v>
      </c>
      <c r="L90" s="342"/>
      <c r="M90" s="323">
        <v>918</v>
      </c>
      <c r="N90" s="323">
        <v>944</v>
      </c>
      <c r="O90" s="323">
        <v>947</v>
      </c>
      <c r="P90" s="323">
        <v>947</v>
      </c>
      <c r="Q90" s="323">
        <v>942</v>
      </c>
      <c r="R90" s="323">
        <v>0</v>
      </c>
      <c r="S90" s="323">
        <v>0</v>
      </c>
      <c r="T90" s="323">
        <v>0</v>
      </c>
      <c r="U90" s="323">
        <v>0</v>
      </c>
      <c r="V90" s="323">
        <v>0</v>
      </c>
      <c r="W90" s="323">
        <v>0</v>
      </c>
      <c r="X90" s="323">
        <v>0</v>
      </c>
      <c r="Y90" s="347">
        <v>939.6</v>
      </c>
      <c r="Z90" s="344">
        <v>942</v>
      </c>
      <c r="AA90" s="344">
        <v>0</v>
      </c>
      <c r="AB90" s="323">
        <v>94</v>
      </c>
      <c r="AC90" s="323">
        <v>17</v>
      </c>
      <c r="AD90" s="323">
        <v>10</v>
      </c>
      <c r="AE90" s="323">
        <v>2</v>
      </c>
      <c r="AF90" s="323">
        <v>1</v>
      </c>
      <c r="AG90" s="323">
        <v>160</v>
      </c>
      <c r="AH90" s="323">
        <v>0</v>
      </c>
      <c r="AI90" s="323">
        <v>1</v>
      </c>
      <c r="AJ90" s="323">
        <v>285</v>
      </c>
      <c r="AK90" s="328">
        <v>46</v>
      </c>
      <c r="AL90" s="2"/>
      <c r="AM90" s="220"/>
      <c r="AN90" s="14"/>
      <c r="AO90" s="2"/>
      <c r="AP90" s="327">
        <v>256</v>
      </c>
      <c r="AQ90" s="323">
        <v>29</v>
      </c>
      <c r="AR90" s="328">
        <v>0</v>
      </c>
      <c r="AS90" s="2"/>
      <c r="AT90" s="327">
        <v>51</v>
      </c>
      <c r="AU90" s="323">
        <v>53</v>
      </c>
      <c r="AV90" s="323">
        <v>74</v>
      </c>
      <c r="AW90" s="323">
        <v>61</v>
      </c>
      <c r="AX90" s="323">
        <v>46</v>
      </c>
      <c r="AY90" s="323">
        <v>0</v>
      </c>
      <c r="AZ90" s="323">
        <v>0</v>
      </c>
      <c r="BA90" s="323">
        <v>0</v>
      </c>
      <c r="BB90" s="323">
        <v>0</v>
      </c>
      <c r="BC90" s="323">
        <v>0</v>
      </c>
      <c r="BD90" s="323">
        <v>0</v>
      </c>
      <c r="BE90" s="328">
        <v>0</v>
      </c>
      <c r="BF90" s="4" t="s">
        <v>208</v>
      </c>
      <c r="BG90" s="327">
        <v>52</v>
      </c>
      <c r="BH90" s="323">
        <v>72</v>
      </c>
      <c r="BI90" s="323">
        <v>94</v>
      </c>
      <c r="BJ90" s="323">
        <v>81</v>
      </c>
      <c r="BK90" s="323">
        <v>51</v>
      </c>
      <c r="BL90" s="323">
        <v>0</v>
      </c>
      <c r="BM90" s="323">
        <v>0</v>
      </c>
      <c r="BN90" s="323">
        <v>0</v>
      </c>
      <c r="BO90" s="323">
        <v>0</v>
      </c>
      <c r="BP90" s="323">
        <v>0</v>
      </c>
      <c r="BQ90" s="323">
        <v>0</v>
      </c>
      <c r="BR90" s="328">
        <v>0</v>
      </c>
      <c r="BS90" s="4"/>
      <c r="BT90" s="329">
        <v>0.72420634920634919</v>
      </c>
      <c r="BU90" s="330">
        <v>0.7280957495780267</v>
      </c>
      <c r="BV90" s="330">
        <v>0.76250200493703513</v>
      </c>
      <c r="BW90" s="330">
        <v>0.78068927251411757</v>
      </c>
      <c r="BX90" s="330">
        <v>0.75314289189494443</v>
      </c>
      <c r="BY90" s="330">
        <v>0.72996926445202304</v>
      </c>
      <c r="BZ90" s="330">
        <v>0.73808003405704559</v>
      </c>
      <c r="CA90" s="330">
        <v>0.74428238728441565</v>
      </c>
      <c r="CB90" s="330">
        <v>0.7419687592101385</v>
      </c>
      <c r="CC90" s="330">
        <v>0.74772045501796902</v>
      </c>
      <c r="CD90" s="330">
        <v>0.75249313877340285</v>
      </c>
      <c r="CE90" s="331">
        <v>0.72796934865900387</v>
      </c>
      <c r="CF90" s="2"/>
      <c r="CG90" s="327">
        <v>393</v>
      </c>
      <c r="CH90" s="323">
        <v>396</v>
      </c>
      <c r="CI90" s="323">
        <v>371</v>
      </c>
      <c r="CJ90" s="323">
        <v>348</v>
      </c>
      <c r="CK90" s="323">
        <v>0</v>
      </c>
      <c r="CL90" s="323">
        <v>0</v>
      </c>
      <c r="CM90" s="323">
        <v>0</v>
      </c>
      <c r="CN90" s="323">
        <v>0</v>
      </c>
      <c r="CO90" s="323">
        <v>0</v>
      </c>
      <c r="CP90" s="323">
        <v>0</v>
      </c>
      <c r="CQ90" s="323">
        <v>0</v>
      </c>
      <c r="CR90" s="332">
        <v>0</v>
      </c>
      <c r="CS90" s="327">
        <v>0</v>
      </c>
      <c r="CT90" s="323">
        <v>0</v>
      </c>
      <c r="CU90" s="323">
        <v>0</v>
      </c>
      <c r="CV90" s="323">
        <v>0</v>
      </c>
      <c r="CW90" s="323">
        <v>0</v>
      </c>
      <c r="CX90" s="323">
        <v>0</v>
      </c>
      <c r="CY90" s="323">
        <v>0</v>
      </c>
      <c r="CZ90" s="323">
        <v>0</v>
      </c>
      <c r="DA90" s="323">
        <v>0</v>
      </c>
      <c r="DB90" s="323">
        <v>0</v>
      </c>
      <c r="DC90" s="323">
        <v>0</v>
      </c>
      <c r="DD90" s="328">
        <v>0</v>
      </c>
      <c r="DE90" s="4"/>
      <c r="DF90" s="330">
        <v>0</v>
      </c>
      <c r="DG90" s="330">
        <v>0</v>
      </c>
      <c r="DH90" s="330">
        <v>0</v>
      </c>
      <c r="DI90" s="330">
        <v>0</v>
      </c>
      <c r="DJ90" s="330">
        <v>0</v>
      </c>
      <c r="DK90" s="330">
        <v>0</v>
      </c>
      <c r="DL90" s="330">
        <v>0</v>
      </c>
      <c r="DM90" s="330">
        <v>0</v>
      </c>
      <c r="DN90" s="330">
        <v>0</v>
      </c>
      <c r="DO90" s="330">
        <v>0</v>
      </c>
      <c r="DP90" s="330">
        <v>0</v>
      </c>
      <c r="DQ90" s="330">
        <v>0</v>
      </c>
      <c r="DS90" s="327">
        <v>153</v>
      </c>
      <c r="DT90" s="323">
        <v>0</v>
      </c>
      <c r="DU90" s="323">
        <v>0</v>
      </c>
      <c r="DV90" s="323">
        <v>0</v>
      </c>
      <c r="DW90" s="323">
        <v>0</v>
      </c>
      <c r="DX90" s="323">
        <v>0</v>
      </c>
      <c r="DY90" s="323">
        <v>197</v>
      </c>
      <c r="DZ90" s="328">
        <v>350</v>
      </c>
      <c r="EA90" s="4"/>
      <c r="EB90" s="345" t="s">
        <v>446</v>
      </c>
      <c r="EC90" s="346"/>
      <c r="ED90" s="340">
        <v>0.81446849518688802</v>
      </c>
      <c r="EE90" s="340">
        <v>0.32801881860951382</v>
      </c>
      <c r="EF90" s="340">
        <v>5.0967067433350756E-2</v>
      </c>
      <c r="EG90" s="344">
        <v>251</v>
      </c>
      <c r="EH90" s="344"/>
      <c r="EI90" s="344">
        <v>623.23129251700675</v>
      </c>
      <c r="EJ90" s="351"/>
      <c r="EK90" s="323">
        <v>744</v>
      </c>
      <c r="EL90" s="323">
        <v>769</v>
      </c>
      <c r="EM90" s="323">
        <v>773</v>
      </c>
      <c r="EN90" s="323">
        <v>773</v>
      </c>
      <c r="EO90" s="323">
        <v>767</v>
      </c>
      <c r="EP90" s="323">
        <v>0</v>
      </c>
      <c r="EQ90" s="323">
        <v>0</v>
      </c>
      <c r="ER90" s="323">
        <v>0</v>
      </c>
      <c r="ES90" s="323">
        <v>0</v>
      </c>
      <c r="ET90" s="323">
        <v>0</v>
      </c>
      <c r="EU90" s="323">
        <v>0</v>
      </c>
      <c r="EV90" s="323">
        <v>0</v>
      </c>
      <c r="EW90" s="347">
        <v>765.2</v>
      </c>
      <c r="EX90" s="323">
        <v>767</v>
      </c>
      <c r="EY90" s="323">
        <v>0</v>
      </c>
      <c r="EZ90" s="323">
        <v>89</v>
      </c>
      <c r="FA90" s="323">
        <v>15</v>
      </c>
      <c r="FB90" s="323">
        <v>4</v>
      </c>
      <c r="FC90" s="323">
        <v>2</v>
      </c>
      <c r="FD90" s="323">
        <v>0</v>
      </c>
      <c r="FE90" s="323">
        <v>140</v>
      </c>
      <c r="FF90" s="323">
        <v>0</v>
      </c>
      <c r="FG90" s="323">
        <v>1</v>
      </c>
      <c r="FH90" s="323">
        <v>251</v>
      </c>
      <c r="FI90" s="328">
        <v>39</v>
      </c>
      <c r="FR90" s="345" t="s">
        <v>211</v>
      </c>
      <c r="FS90" s="338"/>
      <c r="FT90" s="348">
        <v>0.484625537930442</v>
      </c>
      <c r="FU90" s="340">
        <v>0.19517795637198623</v>
      </c>
      <c r="FV90" s="349">
        <v>4.0183696900114814E-2</v>
      </c>
      <c r="FW90" s="352">
        <v>34</v>
      </c>
      <c r="FX90" s="344"/>
      <c r="FY90" s="344">
        <v>84.421768707482983</v>
      </c>
      <c r="FZ90" s="351"/>
      <c r="GA90" s="323">
        <v>173</v>
      </c>
      <c r="GB90" s="323">
        <v>175</v>
      </c>
      <c r="GC90" s="323">
        <v>174</v>
      </c>
      <c r="GD90" s="323">
        <v>174</v>
      </c>
      <c r="GE90" s="323">
        <v>175</v>
      </c>
      <c r="GF90" s="323">
        <v>0</v>
      </c>
      <c r="GG90" s="323">
        <v>0</v>
      </c>
      <c r="GH90" s="323">
        <v>0</v>
      </c>
      <c r="GI90" s="323">
        <v>0</v>
      </c>
      <c r="GJ90" s="323">
        <v>0</v>
      </c>
      <c r="GK90" s="323">
        <v>0</v>
      </c>
      <c r="GL90" s="323">
        <v>0</v>
      </c>
      <c r="GM90" s="347">
        <v>174.2</v>
      </c>
      <c r="GN90" s="323">
        <v>175</v>
      </c>
      <c r="GO90" s="323">
        <v>0</v>
      </c>
      <c r="GP90" s="323">
        <v>5</v>
      </c>
      <c r="GQ90" s="323">
        <v>2</v>
      </c>
      <c r="GR90" s="323">
        <v>6</v>
      </c>
      <c r="GS90" s="323">
        <v>0</v>
      </c>
      <c r="GT90" s="323">
        <v>1</v>
      </c>
      <c r="GU90" s="323">
        <v>20</v>
      </c>
      <c r="GV90" s="323">
        <v>0</v>
      </c>
      <c r="GW90" s="323">
        <v>0</v>
      </c>
      <c r="GX90" s="323">
        <v>34</v>
      </c>
      <c r="GY90" s="328">
        <v>7</v>
      </c>
    </row>
    <row r="91" spans="1:230" ht="15" customHeight="1" thickBot="1" x14ac:dyDescent="0.3">
      <c r="B91" s="4" t="s">
        <v>217</v>
      </c>
      <c r="C91" s="444" t="s">
        <v>217</v>
      </c>
      <c r="D91" s="353" t="s">
        <v>217</v>
      </c>
      <c r="E91" s="354"/>
      <c r="F91" s="355">
        <v>0</v>
      </c>
      <c r="G91" s="356">
        <v>0</v>
      </c>
      <c r="H91" s="356">
        <v>0</v>
      </c>
      <c r="I91" s="357">
        <v>0</v>
      </c>
      <c r="J91" s="357"/>
      <c r="K91" s="357">
        <v>0</v>
      </c>
      <c r="L91" s="358"/>
      <c r="M91" s="323">
        <v>30</v>
      </c>
      <c r="N91" s="323">
        <v>30</v>
      </c>
      <c r="O91" s="323">
        <v>0</v>
      </c>
      <c r="P91" s="323">
        <v>0</v>
      </c>
      <c r="Q91" s="323">
        <v>30</v>
      </c>
      <c r="R91" s="323">
        <v>0</v>
      </c>
      <c r="S91" s="323">
        <v>0</v>
      </c>
      <c r="T91" s="323">
        <v>0</v>
      </c>
      <c r="U91" s="323">
        <v>0</v>
      </c>
      <c r="V91" s="323">
        <v>0</v>
      </c>
      <c r="W91" s="323">
        <v>0</v>
      </c>
      <c r="X91" s="323">
        <v>0</v>
      </c>
      <c r="Y91" s="359">
        <v>30</v>
      </c>
      <c r="Z91" s="360">
        <v>30</v>
      </c>
      <c r="AA91" s="360">
        <v>0</v>
      </c>
      <c r="AB91" s="360">
        <v>0</v>
      </c>
      <c r="AC91" s="360">
        <v>0</v>
      </c>
      <c r="AD91" s="360">
        <v>0</v>
      </c>
      <c r="AE91" s="360">
        <v>0</v>
      </c>
      <c r="AF91" s="360">
        <v>0</v>
      </c>
      <c r="AG91" s="360">
        <v>0</v>
      </c>
      <c r="AH91" s="360">
        <v>0</v>
      </c>
      <c r="AI91" s="360">
        <v>0</v>
      </c>
      <c r="AJ91" s="360">
        <v>0</v>
      </c>
      <c r="AK91" s="361">
        <v>0</v>
      </c>
      <c r="AL91" s="2"/>
      <c r="AM91" s="220"/>
      <c r="AN91" s="14"/>
      <c r="AO91" s="2"/>
      <c r="AP91" s="362">
        <v>0</v>
      </c>
      <c r="AQ91" s="360">
        <v>0</v>
      </c>
      <c r="AR91" s="361">
        <v>0</v>
      </c>
      <c r="AS91" s="2"/>
      <c r="AT91" s="362">
        <v>0</v>
      </c>
      <c r="AU91" s="360">
        <v>0</v>
      </c>
      <c r="AV91" s="360">
        <v>0</v>
      </c>
      <c r="AW91" s="360">
        <v>0</v>
      </c>
      <c r="AX91" s="360">
        <v>0</v>
      </c>
      <c r="AY91" s="360">
        <v>0</v>
      </c>
      <c r="AZ91" s="360">
        <v>0</v>
      </c>
      <c r="BA91" s="360">
        <v>0</v>
      </c>
      <c r="BB91" s="360">
        <v>0</v>
      </c>
      <c r="BC91" s="360">
        <v>0</v>
      </c>
      <c r="BD91" s="360">
        <v>0</v>
      </c>
      <c r="BE91" s="361">
        <v>0</v>
      </c>
      <c r="BF91" s="4" t="s">
        <v>217</v>
      </c>
      <c r="BG91" s="362">
        <v>0</v>
      </c>
      <c r="BH91" s="360">
        <v>0</v>
      </c>
      <c r="BI91" s="360">
        <v>0</v>
      </c>
      <c r="BJ91" s="360">
        <v>0</v>
      </c>
      <c r="BK91" s="360">
        <v>0</v>
      </c>
      <c r="BL91" s="360">
        <v>0</v>
      </c>
      <c r="BM91" s="360">
        <v>0</v>
      </c>
      <c r="BN91" s="360">
        <v>0</v>
      </c>
      <c r="BO91" s="360">
        <v>0</v>
      </c>
      <c r="BP91" s="360">
        <v>0</v>
      </c>
      <c r="BQ91" s="360">
        <v>0</v>
      </c>
      <c r="BR91" s="361">
        <v>0</v>
      </c>
      <c r="BS91" s="4"/>
      <c r="BT91" s="363">
        <v>0</v>
      </c>
      <c r="BU91" s="364">
        <v>0</v>
      </c>
      <c r="BV91" s="364">
        <v>0</v>
      </c>
      <c r="BW91" s="364">
        <v>0</v>
      </c>
      <c r="BX91" s="364">
        <v>0</v>
      </c>
      <c r="BY91" s="364">
        <v>0</v>
      </c>
      <c r="BZ91" s="364">
        <v>0</v>
      </c>
      <c r="CA91" s="364">
        <v>0</v>
      </c>
      <c r="CB91" s="364">
        <v>0</v>
      </c>
      <c r="CC91" s="364">
        <v>0</v>
      </c>
      <c r="CD91" s="364">
        <v>0</v>
      </c>
      <c r="CE91" s="365">
        <v>0</v>
      </c>
      <c r="CF91" s="2"/>
      <c r="CG91" s="362">
        <v>1</v>
      </c>
      <c r="CH91" s="360">
        <v>0</v>
      </c>
      <c r="CI91" s="360">
        <v>0</v>
      </c>
      <c r="CJ91" s="360">
        <v>0</v>
      </c>
      <c r="CK91" s="360">
        <v>0</v>
      </c>
      <c r="CL91" s="360">
        <v>0</v>
      </c>
      <c r="CM91" s="360">
        <v>0</v>
      </c>
      <c r="CN91" s="360">
        <v>0</v>
      </c>
      <c r="CO91" s="360">
        <v>0</v>
      </c>
      <c r="CP91" s="360">
        <v>0</v>
      </c>
      <c r="CQ91" s="360">
        <v>0</v>
      </c>
      <c r="CR91" s="366">
        <v>0</v>
      </c>
      <c r="CS91" s="362">
        <v>0</v>
      </c>
      <c r="CT91" s="360">
        <v>0</v>
      </c>
      <c r="CU91" s="360">
        <v>0</v>
      </c>
      <c r="CV91" s="360">
        <v>0</v>
      </c>
      <c r="CW91" s="360">
        <v>0</v>
      </c>
      <c r="CX91" s="360">
        <v>0</v>
      </c>
      <c r="CY91" s="360">
        <v>0</v>
      </c>
      <c r="CZ91" s="360">
        <v>0</v>
      </c>
      <c r="DA91" s="360">
        <v>0</v>
      </c>
      <c r="DB91" s="360">
        <v>0</v>
      </c>
      <c r="DC91" s="360">
        <v>0</v>
      </c>
      <c r="DD91" s="361">
        <v>0</v>
      </c>
      <c r="DE91" s="4"/>
      <c r="DF91" s="330">
        <v>0</v>
      </c>
      <c r="DG91" s="330">
        <v>0</v>
      </c>
      <c r="DH91" s="330">
        <v>0</v>
      </c>
      <c r="DI91" s="330">
        <v>0</v>
      </c>
      <c r="DJ91" s="330">
        <v>0</v>
      </c>
      <c r="DK91" s="330">
        <v>0</v>
      </c>
      <c r="DL91" s="330">
        <v>0</v>
      </c>
      <c r="DM91" s="330">
        <v>0</v>
      </c>
      <c r="DN91" s="330">
        <v>0</v>
      </c>
      <c r="DO91" s="330">
        <v>0</v>
      </c>
      <c r="DP91" s="330">
        <v>0</v>
      </c>
      <c r="DQ91" s="330">
        <v>0</v>
      </c>
      <c r="DS91" s="362">
        <v>0</v>
      </c>
      <c r="DT91" s="360">
        <v>0</v>
      </c>
      <c r="DU91" s="360">
        <v>0</v>
      </c>
      <c r="DV91" s="360">
        <v>0</v>
      </c>
      <c r="DW91" s="360">
        <v>0</v>
      </c>
      <c r="DX91" s="360">
        <v>0</v>
      </c>
      <c r="DY91" s="360">
        <v>0</v>
      </c>
      <c r="DZ91" s="361">
        <v>0</v>
      </c>
      <c r="EA91" s="4"/>
      <c r="EB91" s="367" t="s">
        <v>447</v>
      </c>
      <c r="EC91" s="368"/>
      <c r="ED91" s="355">
        <v>0</v>
      </c>
      <c r="EE91" s="369">
        <v>0</v>
      </c>
      <c r="EF91" s="369">
        <v>0</v>
      </c>
      <c r="EG91" s="360">
        <v>0</v>
      </c>
      <c r="EH91" s="360"/>
      <c r="EI91" s="360">
        <v>0</v>
      </c>
      <c r="EJ91" s="370"/>
      <c r="EK91" s="360">
        <v>15</v>
      </c>
      <c r="EL91" s="360">
        <v>15</v>
      </c>
      <c r="EM91" s="360">
        <v>0</v>
      </c>
      <c r="EN91" s="360">
        <v>0</v>
      </c>
      <c r="EO91" s="360">
        <v>14</v>
      </c>
      <c r="EP91" s="360">
        <v>0</v>
      </c>
      <c r="EQ91" s="360">
        <v>0</v>
      </c>
      <c r="ER91" s="360">
        <v>0</v>
      </c>
      <c r="ES91" s="360">
        <v>0</v>
      </c>
      <c r="ET91" s="360">
        <v>0</v>
      </c>
      <c r="EU91" s="360">
        <v>0</v>
      </c>
      <c r="EV91" s="360">
        <v>0</v>
      </c>
      <c r="EW91" s="359">
        <v>14.666666666666666</v>
      </c>
      <c r="EX91" s="360">
        <v>14</v>
      </c>
      <c r="EY91" s="360">
        <v>0</v>
      </c>
      <c r="EZ91" s="360">
        <v>0</v>
      </c>
      <c r="FA91" s="360">
        <v>0</v>
      </c>
      <c r="FB91" s="360">
        <v>0</v>
      </c>
      <c r="FC91" s="360">
        <v>0</v>
      </c>
      <c r="FD91" s="360">
        <v>0</v>
      </c>
      <c r="FE91" s="360">
        <v>0</v>
      </c>
      <c r="FF91" s="360">
        <v>0</v>
      </c>
      <c r="FG91" s="360">
        <v>0</v>
      </c>
      <c r="FH91" s="360">
        <v>0</v>
      </c>
      <c r="FI91" s="361">
        <v>0</v>
      </c>
      <c r="FR91" s="367" t="s">
        <v>284</v>
      </c>
      <c r="FS91" s="354"/>
      <c r="FT91" s="355">
        <v>0</v>
      </c>
      <c r="FU91" s="369">
        <v>0</v>
      </c>
      <c r="FV91" s="371">
        <v>0</v>
      </c>
      <c r="FW91" s="372">
        <v>0</v>
      </c>
      <c r="FX91" s="360"/>
      <c r="FY91" s="360">
        <v>0</v>
      </c>
      <c r="FZ91" s="370"/>
      <c r="GA91" s="360">
        <v>15</v>
      </c>
      <c r="GB91" s="360">
        <v>15</v>
      </c>
      <c r="GC91" s="360">
        <v>0</v>
      </c>
      <c r="GD91" s="360">
        <v>0</v>
      </c>
      <c r="GE91" s="360">
        <v>16</v>
      </c>
      <c r="GF91" s="360">
        <v>0</v>
      </c>
      <c r="GG91" s="360">
        <v>0</v>
      </c>
      <c r="GH91" s="360">
        <v>0</v>
      </c>
      <c r="GI91" s="360">
        <v>0</v>
      </c>
      <c r="GJ91" s="360">
        <v>0</v>
      </c>
      <c r="GK91" s="360">
        <v>0</v>
      </c>
      <c r="GL91" s="360">
        <v>0</v>
      </c>
      <c r="GM91" s="359">
        <v>15.333333333333334</v>
      </c>
      <c r="GN91" s="360">
        <v>16</v>
      </c>
      <c r="GO91" s="360">
        <v>0</v>
      </c>
      <c r="GP91" s="360">
        <v>0</v>
      </c>
      <c r="GQ91" s="360">
        <v>0</v>
      </c>
      <c r="GR91" s="360">
        <v>0</v>
      </c>
      <c r="GS91" s="360">
        <v>0</v>
      </c>
      <c r="GT91" s="360">
        <v>0</v>
      </c>
      <c r="GU91" s="360">
        <v>0</v>
      </c>
      <c r="GV91" s="360">
        <v>0</v>
      </c>
      <c r="GW91" s="360">
        <v>0</v>
      </c>
      <c r="GX91" s="360">
        <v>0</v>
      </c>
      <c r="GY91" s="361">
        <v>0</v>
      </c>
    </row>
    <row r="92" spans="1:230" ht="15.75" thickBot="1" x14ac:dyDescent="0.3">
      <c r="AR92"/>
      <c r="BS92" s="13"/>
      <c r="BT92" s="118"/>
      <c r="BU92" s="118"/>
      <c r="BV92" s="118"/>
      <c r="BW92" s="118"/>
      <c r="BX92" s="118"/>
      <c r="BY92" s="118"/>
      <c r="BZ92" s="118"/>
      <c r="CA92" s="118"/>
      <c r="CB92" s="118"/>
      <c r="CC92" s="118"/>
      <c r="CD92" s="118"/>
      <c r="CE92" s="118"/>
      <c r="DE92" s="2"/>
      <c r="DF92" s="118"/>
      <c r="DG92" s="118"/>
      <c r="DH92" s="118"/>
      <c r="DI92" s="118"/>
      <c r="DJ92" s="118"/>
      <c r="DK92" s="118"/>
      <c r="DL92" s="118"/>
      <c r="DM92" s="118"/>
      <c r="DN92" s="118"/>
      <c r="DO92" s="118"/>
      <c r="DP92" s="118"/>
      <c r="DQ92" s="118"/>
      <c r="DU92" s="4"/>
      <c r="DV92" s="4"/>
      <c r="DW92" s="4"/>
      <c r="DX92" s="4"/>
      <c r="DY92" s="4"/>
      <c r="DZ92" s="4"/>
      <c r="EA92" s="4"/>
    </row>
    <row r="93" spans="1:230" ht="15.75" thickBot="1" x14ac:dyDescent="0.3">
      <c r="B93" s="4" t="s">
        <v>78</v>
      </c>
      <c r="C93" s="444" t="s">
        <v>78</v>
      </c>
      <c r="D93" s="373" t="s">
        <v>179</v>
      </c>
      <c r="E93" s="374" t="s">
        <v>78</v>
      </c>
      <c r="F93" s="375">
        <v>0.59626498505451364</v>
      </c>
      <c r="G93" s="376">
        <v>0.24013959672058496</v>
      </c>
      <c r="H93" s="376">
        <v>4.2100598271659649E-2</v>
      </c>
      <c r="I93" s="377">
        <v>0</v>
      </c>
      <c r="J93" s="377"/>
      <c r="K93" s="377">
        <v>0</v>
      </c>
      <c r="L93" s="378"/>
      <c r="M93" s="377">
        <v>3595</v>
      </c>
      <c r="N93" s="377">
        <v>3635</v>
      </c>
      <c r="O93" s="377">
        <v>3610</v>
      </c>
      <c r="P93" s="377">
        <v>3611</v>
      </c>
      <c r="Q93" s="377">
        <v>3601</v>
      </c>
      <c r="R93" s="377">
        <v>0</v>
      </c>
      <c r="S93" s="377">
        <v>0</v>
      </c>
      <c r="T93" s="377">
        <v>0</v>
      </c>
      <c r="U93" s="377">
        <v>0</v>
      </c>
      <c r="V93" s="377">
        <v>0</v>
      </c>
      <c r="W93" s="377">
        <v>0</v>
      </c>
      <c r="X93" s="377">
        <v>0</v>
      </c>
      <c r="Y93" s="379">
        <v>3610.4</v>
      </c>
      <c r="Z93" s="377">
        <v>3601</v>
      </c>
      <c r="AA93" s="377">
        <v>10</v>
      </c>
      <c r="AB93" s="377">
        <v>245</v>
      </c>
      <c r="AC93" s="377">
        <v>62</v>
      </c>
      <c r="AD93" s="377">
        <v>35</v>
      </c>
      <c r="AE93" s="377">
        <v>7</v>
      </c>
      <c r="AF93" s="377">
        <v>7</v>
      </c>
      <c r="AG93" s="377">
        <v>491</v>
      </c>
      <c r="AH93" s="377">
        <v>0</v>
      </c>
      <c r="AI93" s="377">
        <v>10</v>
      </c>
      <c r="AJ93" s="377">
        <v>867</v>
      </c>
      <c r="AK93" s="380">
        <v>152</v>
      </c>
      <c r="AL93" s="1"/>
      <c r="AM93" s="220"/>
      <c r="AN93" s="14" t="s">
        <v>78</v>
      </c>
      <c r="AO93" s="2"/>
      <c r="AP93" s="381">
        <v>756</v>
      </c>
      <c r="AQ93" s="377">
        <v>111</v>
      </c>
      <c r="AR93" s="380">
        <v>0</v>
      </c>
      <c r="AS93" s="2"/>
      <c r="AT93" s="381">
        <v>156</v>
      </c>
      <c r="AU93" s="377">
        <v>147</v>
      </c>
      <c r="AV93" s="377">
        <v>231</v>
      </c>
      <c r="AW93" s="377">
        <v>181</v>
      </c>
      <c r="AX93" s="377">
        <v>152</v>
      </c>
      <c r="AY93" s="377">
        <v>0</v>
      </c>
      <c r="AZ93" s="377">
        <v>0</v>
      </c>
      <c r="BA93" s="377">
        <v>0</v>
      </c>
      <c r="BB93" s="377">
        <v>0</v>
      </c>
      <c r="BC93" s="377">
        <v>0</v>
      </c>
      <c r="BD93" s="377">
        <v>0</v>
      </c>
      <c r="BE93" s="380">
        <v>0</v>
      </c>
      <c r="BF93" s="2" t="s">
        <v>95</v>
      </c>
      <c r="BG93" s="381">
        <v>171</v>
      </c>
      <c r="BH93" s="377">
        <v>197</v>
      </c>
      <c r="BI93" s="377">
        <v>247</v>
      </c>
      <c r="BJ93" s="377">
        <v>220</v>
      </c>
      <c r="BK93" s="377">
        <v>200</v>
      </c>
      <c r="BL93" s="377">
        <v>0</v>
      </c>
      <c r="BM93" s="377">
        <v>0</v>
      </c>
      <c r="BN93" s="377">
        <v>0</v>
      </c>
      <c r="BO93" s="377">
        <v>0</v>
      </c>
      <c r="BP93" s="377">
        <v>0</v>
      </c>
      <c r="BQ93" s="377">
        <v>0</v>
      </c>
      <c r="BR93" s="380">
        <v>0</v>
      </c>
      <c r="BS93" s="4" t="s">
        <v>95</v>
      </c>
      <c r="BT93" s="382">
        <v>0.56566660043711503</v>
      </c>
      <c r="BU93" s="383">
        <v>0.54631001778304689</v>
      </c>
      <c r="BV93" s="383">
        <v>0.59276793317383725</v>
      </c>
      <c r="BW93" s="383">
        <v>0.60703542367746355</v>
      </c>
      <c r="BX93" s="383">
        <v>0.59626498505451375</v>
      </c>
      <c r="BY93" s="383">
        <v>0.57791837012975944</v>
      </c>
      <c r="BZ93" s="383">
        <v>0.58433968535342351</v>
      </c>
      <c r="CA93" s="383">
        <v>0.58925010287740187</v>
      </c>
      <c r="CB93" s="383">
        <v>0.58741839813189245</v>
      </c>
      <c r="CC93" s="383">
        <v>0.591972029125163</v>
      </c>
      <c r="CD93" s="383">
        <v>0.59575057399191933</v>
      </c>
      <c r="CE93" s="384">
        <v>0.57633503212940396</v>
      </c>
      <c r="CF93" s="2"/>
      <c r="CG93" s="381">
        <v>1236</v>
      </c>
      <c r="CH93" s="377">
        <v>1248</v>
      </c>
      <c r="CI93" s="377">
        <v>1203</v>
      </c>
      <c r="CJ93" s="377">
        <v>1145</v>
      </c>
      <c r="CK93" s="377">
        <v>0</v>
      </c>
      <c r="CL93" s="377">
        <v>0</v>
      </c>
      <c r="CM93" s="377">
        <v>0</v>
      </c>
      <c r="CN93" s="377">
        <v>0</v>
      </c>
      <c r="CO93" s="377">
        <v>0</v>
      </c>
      <c r="CP93" s="377">
        <v>0</v>
      </c>
      <c r="CQ93" s="377">
        <v>0</v>
      </c>
      <c r="CR93" s="385">
        <v>0</v>
      </c>
      <c r="CS93" s="381">
        <v>0</v>
      </c>
      <c r="CT93" s="377">
        <v>0</v>
      </c>
      <c r="CU93" s="377">
        <v>0</v>
      </c>
      <c r="CV93" s="377">
        <v>0</v>
      </c>
      <c r="CW93" s="377">
        <v>0</v>
      </c>
      <c r="CX93" s="377">
        <v>0</v>
      </c>
      <c r="CY93" s="377">
        <v>0</v>
      </c>
      <c r="CZ93" s="377">
        <v>0</v>
      </c>
      <c r="DA93" s="377">
        <v>0</v>
      </c>
      <c r="DB93" s="377">
        <v>0</v>
      </c>
      <c r="DC93" s="377">
        <v>0</v>
      </c>
      <c r="DD93" s="380">
        <v>0</v>
      </c>
      <c r="DE93" s="4"/>
      <c r="DF93" s="382">
        <v>0</v>
      </c>
      <c r="DG93" s="383">
        <v>0</v>
      </c>
      <c r="DH93" s="383">
        <v>0</v>
      </c>
      <c r="DI93" s="383">
        <v>0</v>
      </c>
      <c r="DJ93" s="383">
        <v>0</v>
      </c>
      <c r="DK93" s="383">
        <v>0</v>
      </c>
      <c r="DL93" s="383">
        <v>0</v>
      </c>
      <c r="DM93" s="383">
        <v>0</v>
      </c>
      <c r="DN93" s="383">
        <v>0</v>
      </c>
      <c r="DO93" s="383">
        <v>0</v>
      </c>
      <c r="DP93" s="383">
        <v>0</v>
      </c>
      <c r="DQ93" s="384">
        <v>0</v>
      </c>
      <c r="DR93" s="272"/>
      <c r="DS93" s="381">
        <v>451</v>
      </c>
      <c r="DT93" s="377">
        <v>0</v>
      </c>
      <c r="DU93" s="377">
        <v>0</v>
      </c>
      <c r="DV93" s="377">
        <v>0</v>
      </c>
      <c r="DW93" s="377">
        <v>0</v>
      </c>
      <c r="DX93" s="377">
        <v>0</v>
      </c>
      <c r="DY93" s="377">
        <v>584</v>
      </c>
      <c r="DZ93" s="380">
        <v>1035</v>
      </c>
      <c r="EA93" s="272"/>
      <c r="HH93">
        <v>162</v>
      </c>
      <c r="HI93">
        <v>3.4548944337811902E-2</v>
      </c>
      <c r="HJ93">
        <v>305</v>
      </c>
      <c r="HK93">
        <v>6.5045851994028583E-2</v>
      </c>
      <c r="HL93">
        <v>436</v>
      </c>
      <c r="HM93">
        <v>9.2983578588185109E-2</v>
      </c>
      <c r="HN93">
        <v>519</v>
      </c>
      <c r="HO93">
        <v>0.11068458093410109</v>
      </c>
      <c r="HP93">
        <v>802</v>
      </c>
      <c r="HQ93">
        <v>0.17103860098101942</v>
      </c>
      <c r="HR93">
        <v>1236</v>
      </c>
      <c r="HS93">
        <v>0.26359564939219449</v>
      </c>
      <c r="HT93">
        <v>3453</v>
      </c>
      <c r="HU93">
        <v>0.73640435060780551</v>
      </c>
      <c r="HV93">
        <v>4689</v>
      </c>
    </row>
    <row r="94" spans="1:230" ht="15.75" thickBot="1" x14ac:dyDescent="0.3">
      <c r="AI94" s="264"/>
      <c r="AN94" s="14"/>
      <c r="AR94"/>
      <c r="BS94" s="13"/>
      <c r="BT94" s="118"/>
      <c r="BU94" s="118"/>
      <c r="BV94" s="118"/>
      <c r="BW94" s="118"/>
      <c r="BX94" s="118"/>
      <c r="BY94" s="118"/>
      <c r="BZ94" s="118"/>
      <c r="CA94" s="118"/>
      <c r="CB94" s="118"/>
      <c r="CC94" s="118"/>
      <c r="CD94" s="118"/>
      <c r="CE94" s="118"/>
      <c r="DE94" s="2"/>
      <c r="DF94" s="118"/>
      <c r="DG94" s="118"/>
      <c r="DH94" s="118"/>
      <c r="DI94" s="118"/>
      <c r="DJ94" s="118"/>
      <c r="DK94" s="118"/>
      <c r="DL94" s="118"/>
      <c r="DM94" s="118"/>
      <c r="DN94" s="118"/>
      <c r="DO94" s="118"/>
      <c r="DP94" s="118"/>
      <c r="DQ94" s="118"/>
      <c r="DS94" s="2"/>
      <c r="DT94" s="2"/>
      <c r="DU94" s="2"/>
      <c r="DV94" s="2"/>
      <c r="DW94" s="2"/>
      <c r="DX94" s="2"/>
      <c r="DY94" s="2"/>
      <c r="DZ94" s="2"/>
      <c r="EA94" s="4"/>
    </row>
    <row r="95" spans="1:230" ht="15.75" thickBot="1" x14ac:dyDescent="0.3">
      <c r="B95" s="4" t="s">
        <v>5</v>
      </c>
      <c r="C95" s="444" t="s">
        <v>5</v>
      </c>
      <c r="D95" s="373" t="s">
        <v>5</v>
      </c>
      <c r="E95" s="374"/>
      <c r="F95" s="375">
        <v>0.42345620418710117</v>
      </c>
      <c r="G95" s="376">
        <v>0.17054263565891473</v>
      </c>
      <c r="H95" s="376">
        <v>3.2299741602067181E-2</v>
      </c>
      <c r="I95" s="377">
        <v>132</v>
      </c>
      <c r="J95" s="377"/>
      <c r="K95" s="377">
        <v>368</v>
      </c>
      <c r="L95" s="386"/>
      <c r="M95" s="377">
        <v>776</v>
      </c>
      <c r="N95" s="377">
        <v>774</v>
      </c>
      <c r="O95" s="377">
        <v>767</v>
      </c>
      <c r="P95" s="377">
        <v>772</v>
      </c>
      <c r="Q95" s="377">
        <v>781</v>
      </c>
      <c r="R95" s="377">
        <v>0</v>
      </c>
      <c r="S95" s="377">
        <v>0</v>
      </c>
      <c r="T95" s="377">
        <v>0</v>
      </c>
      <c r="U95" s="377">
        <v>0</v>
      </c>
      <c r="V95" s="377">
        <v>0</v>
      </c>
      <c r="W95" s="377">
        <v>0</v>
      </c>
      <c r="X95" s="377">
        <v>0</v>
      </c>
      <c r="Y95" s="379">
        <v>774</v>
      </c>
      <c r="Z95" s="377">
        <v>781</v>
      </c>
      <c r="AA95" s="377">
        <v>0</v>
      </c>
      <c r="AB95" s="377">
        <v>18</v>
      </c>
      <c r="AC95" s="377">
        <v>6</v>
      </c>
      <c r="AD95" s="377">
        <v>14</v>
      </c>
      <c r="AE95" s="377">
        <v>3</v>
      </c>
      <c r="AF95" s="377">
        <v>6</v>
      </c>
      <c r="AG95" s="377">
        <v>80</v>
      </c>
      <c r="AH95" s="377">
        <v>0</v>
      </c>
      <c r="AI95" s="377">
        <v>5</v>
      </c>
      <c r="AJ95" s="377">
        <v>132</v>
      </c>
      <c r="AK95" s="380">
        <v>25</v>
      </c>
      <c r="AL95" s="1"/>
      <c r="AM95" s="220"/>
      <c r="AN95" s="14" t="s">
        <v>5</v>
      </c>
      <c r="AO95" s="2"/>
      <c r="AP95" s="387">
        <v>103</v>
      </c>
      <c r="AQ95" s="321">
        <v>29</v>
      </c>
      <c r="AR95" s="326">
        <v>0</v>
      </c>
      <c r="AS95" s="2"/>
      <c r="AT95" s="387">
        <v>20</v>
      </c>
      <c r="AU95" s="321">
        <v>29</v>
      </c>
      <c r="AV95" s="321">
        <v>34</v>
      </c>
      <c r="AW95" s="321">
        <v>24</v>
      </c>
      <c r="AX95" s="321">
        <v>25</v>
      </c>
      <c r="AY95" s="321">
        <v>0</v>
      </c>
      <c r="AZ95" s="321">
        <v>0</v>
      </c>
      <c r="BA95" s="321">
        <v>0</v>
      </c>
      <c r="BB95" s="321">
        <v>0</v>
      </c>
      <c r="BC95" s="321">
        <v>0</v>
      </c>
      <c r="BD95" s="321">
        <v>0</v>
      </c>
      <c r="BE95" s="326">
        <v>0</v>
      </c>
      <c r="BF95" s="2" t="s">
        <v>7</v>
      </c>
      <c r="BG95" s="388"/>
      <c r="BH95" s="389"/>
      <c r="BI95" s="389"/>
      <c r="BJ95" s="389"/>
      <c r="BK95" s="389"/>
      <c r="BL95" s="389"/>
      <c r="BM95" s="389"/>
      <c r="BN95" s="389"/>
      <c r="BO95" s="389"/>
      <c r="BP95" s="389"/>
      <c r="BQ95" s="389"/>
      <c r="BR95" s="390"/>
      <c r="BS95" s="4" t="s">
        <v>7</v>
      </c>
      <c r="BT95" s="391">
        <v>0.33597201767304863</v>
      </c>
      <c r="BU95" s="392">
        <v>0.4120967741935484</v>
      </c>
      <c r="BV95" s="392">
        <v>0.4310471574174638</v>
      </c>
      <c r="BW95" s="392">
        <v>0.42498320143855534</v>
      </c>
      <c r="BX95" s="392">
        <v>0.42345620418710117</v>
      </c>
      <c r="BY95" s="392">
        <v>0.4104267825198058</v>
      </c>
      <c r="BZ95" s="392">
        <v>0.41498708010335916</v>
      </c>
      <c r="CA95" s="392">
        <v>0.4184743664907824</v>
      </c>
      <c r="CB95" s="392">
        <v>0.41717352415026832</v>
      </c>
      <c r="CC95" s="392">
        <v>0.42040742743825488</v>
      </c>
      <c r="CD95" s="392">
        <v>0.42309087910275439</v>
      </c>
      <c r="CE95" s="393">
        <v>0.40930232558139534</v>
      </c>
      <c r="CF95" s="2"/>
      <c r="CG95" s="387">
        <v>175</v>
      </c>
      <c r="CH95" s="321">
        <v>181</v>
      </c>
      <c r="CI95" s="321">
        <v>147</v>
      </c>
      <c r="CJ95" s="321">
        <v>143</v>
      </c>
      <c r="CK95" s="321">
        <v>0</v>
      </c>
      <c r="CL95" s="321">
        <v>0</v>
      </c>
      <c r="CM95" s="321">
        <v>0</v>
      </c>
      <c r="CN95" s="321">
        <v>0</v>
      </c>
      <c r="CO95" s="321">
        <v>0</v>
      </c>
      <c r="CP95" s="321">
        <v>0</v>
      </c>
      <c r="CQ95" s="321">
        <v>0</v>
      </c>
      <c r="CR95" s="394">
        <v>0</v>
      </c>
      <c r="CS95" s="387">
        <v>0</v>
      </c>
      <c r="CT95" s="321">
        <v>0</v>
      </c>
      <c r="CU95" s="321">
        <v>0</v>
      </c>
      <c r="CV95" s="321">
        <v>0</v>
      </c>
      <c r="CW95" s="321">
        <v>0</v>
      </c>
      <c r="CX95" s="321">
        <v>0</v>
      </c>
      <c r="CY95" s="321">
        <v>0</v>
      </c>
      <c r="CZ95" s="321">
        <v>0</v>
      </c>
      <c r="DA95" s="321">
        <v>0</v>
      </c>
      <c r="DB95" s="321">
        <v>0</v>
      </c>
      <c r="DC95" s="321">
        <v>0</v>
      </c>
      <c r="DD95" s="326">
        <v>0</v>
      </c>
      <c r="DE95" s="4"/>
      <c r="DF95" s="391">
        <v>0</v>
      </c>
      <c r="DG95" s="392">
        <v>0</v>
      </c>
      <c r="DH95" s="392">
        <v>0</v>
      </c>
      <c r="DI95" s="392">
        <v>0</v>
      </c>
      <c r="DJ95" s="392">
        <v>0</v>
      </c>
      <c r="DK95" s="392">
        <v>0</v>
      </c>
      <c r="DL95" s="392">
        <v>0</v>
      </c>
      <c r="DM95" s="392">
        <v>0</v>
      </c>
      <c r="DN95" s="392">
        <v>0</v>
      </c>
      <c r="DO95" s="392">
        <v>0</v>
      </c>
      <c r="DP95" s="392">
        <v>0</v>
      </c>
      <c r="DQ95" s="393">
        <v>0</v>
      </c>
      <c r="DR95" s="272"/>
      <c r="DS95" s="388"/>
      <c r="DT95" s="395"/>
      <c r="DU95" s="395"/>
      <c r="DV95" s="395"/>
      <c r="DW95" s="395"/>
      <c r="DX95" s="395"/>
      <c r="DY95" s="389"/>
      <c r="DZ95" s="389"/>
      <c r="EA95" s="272"/>
    </row>
    <row r="96" spans="1:230" ht="15.75" thickBot="1" x14ac:dyDescent="0.3">
      <c r="B96" s="3" t="s">
        <v>3</v>
      </c>
      <c r="C96" s="560" t="s">
        <v>3</v>
      </c>
      <c r="D96" s="367" t="s">
        <v>3</v>
      </c>
      <c r="E96" s="368"/>
      <c r="F96" s="375">
        <v>0.6441934345217083</v>
      </c>
      <c r="G96" s="376">
        <v>0.25944228732792091</v>
      </c>
      <c r="H96" s="376">
        <v>4.4828803388633959E-2</v>
      </c>
      <c r="I96" s="377">
        <v>735</v>
      </c>
      <c r="J96" s="377"/>
      <c r="K96" s="377">
        <v>1858</v>
      </c>
      <c r="L96" s="386"/>
      <c r="M96" s="377">
        <v>2802</v>
      </c>
      <c r="N96" s="377">
        <v>2861</v>
      </c>
      <c r="O96" s="377">
        <v>2843</v>
      </c>
      <c r="P96" s="377">
        <v>2839</v>
      </c>
      <c r="Q96" s="377">
        <v>2820</v>
      </c>
      <c r="R96" s="377">
        <v>0</v>
      </c>
      <c r="S96" s="377">
        <v>0</v>
      </c>
      <c r="T96" s="377">
        <v>0</v>
      </c>
      <c r="U96" s="377">
        <v>0</v>
      </c>
      <c r="V96" s="377">
        <v>0</v>
      </c>
      <c r="W96" s="377">
        <v>0</v>
      </c>
      <c r="X96" s="377">
        <v>0</v>
      </c>
      <c r="Y96" s="379">
        <v>2833</v>
      </c>
      <c r="Z96" s="377">
        <v>2820</v>
      </c>
      <c r="AA96" s="377">
        <v>10</v>
      </c>
      <c r="AB96" s="377">
        <v>227</v>
      </c>
      <c r="AC96" s="377">
        <v>56</v>
      </c>
      <c r="AD96" s="377">
        <v>21</v>
      </c>
      <c r="AE96" s="377">
        <v>4</v>
      </c>
      <c r="AF96" s="377">
        <v>1</v>
      </c>
      <c r="AG96" s="377">
        <v>411</v>
      </c>
      <c r="AH96" s="377">
        <v>0</v>
      </c>
      <c r="AI96" s="377">
        <v>5</v>
      </c>
      <c r="AJ96" s="377">
        <v>735</v>
      </c>
      <c r="AK96" s="380">
        <v>127</v>
      </c>
      <c r="AL96" s="1"/>
      <c r="AM96" s="220"/>
      <c r="AN96" s="14" t="s">
        <v>3</v>
      </c>
      <c r="AO96" s="2"/>
      <c r="AP96" s="362">
        <v>653</v>
      </c>
      <c r="AQ96" s="360">
        <v>82</v>
      </c>
      <c r="AR96" s="361">
        <v>0</v>
      </c>
      <c r="AS96" s="2"/>
      <c r="AT96" s="362">
        <v>136</v>
      </c>
      <c r="AU96" s="360">
        <v>118</v>
      </c>
      <c r="AV96" s="360">
        <v>197</v>
      </c>
      <c r="AW96" s="360">
        <v>157</v>
      </c>
      <c r="AX96" s="360">
        <v>127</v>
      </c>
      <c r="AY96" s="360">
        <v>0</v>
      </c>
      <c r="AZ96" s="360">
        <v>0</v>
      </c>
      <c r="BA96" s="360">
        <v>0</v>
      </c>
      <c r="BB96" s="360">
        <v>0</v>
      </c>
      <c r="BC96" s="360">
        <v>0</v>
      </c>
      <c r="BD96" s="360">
        <v>0</v>
      </c>
      <c r="BE96" s="361">
        <v>0</v>
      </c>
      <c r="BF96" s="2" t="s">
        <v>180</v>
      </c>
      <c r="BG96" s="396"/>
      <c r="BH96" s="397"/>
      <c r="BI96" s="397"/>
      <c r="BJ96" s="397"/>
      <c r="BK96" s="397"/>
      <c r="BL96" s="397"/>
      <c r="BM96" s="397"/>
      <c r="BN96" s="397"/>
      <c r="BO96" s="397"/>
      <c r="BP96" s="397"/>
      <c r="BQ96" s="397"/>
      <c r="BR96" s="398"/>
      <c r="BS96" s="4" t="s">
        <v>180</v>
      </c>
      <c r="BT96" s="363">
        <v>0.63271132864280621</v>
      </c>
      <c r="BU96" s="364">
        <v>0.58468504830856949</v>
      </c>
      <c r="BV96" s="364">
        <v>0.63800471806585135</v>
      </c>
      <c r="BW96" s="364">
        <v>0.65751395313524263</v>
      </c>
      <c r="BX96" s="364">
        <v>0.64419343452170841</v>
      </c>
      <c r="BY96" s="364">
        <v>0.62437209807488658</v>
      </c>
      <c r="BZ96" s="364">
        <v>0.63130956583127429</v>
      </c>
      <c r="CA96" s="364">
        <v>0.63661468823321776</v>
      </c>
      <c r="CB96" s="364">
        <v>0.63463574900214503</v>
      </c>
      <c r="CC96" s="364">
        <v>0.6395554059711539</v>
      </c>
      <c r="CD96" s="364">
        <v>0.64363767451990594</v>
      </c>
      <c r="CE96" s="365">
        <v>0.62266148958701018</v>
      </c>
      <c r="CF96" s="2"/>
      <c r="CG96" s="362">
        <v>1061</v>
      </c>
      <c r="CH96" s="360">
        <v>1067</v>
      </c>
      <c r="CI96" s="360">
        <v>1055</v>
      </c>
      <c r="CJ96" s="360">
        <v>1001</v>
      </c>
      <c r="CK96" s="360">
        <v>0</v>
      </c>
      <c r="CL96" s="360">
        <v>0</v>
      </c>
      <c r="CM96" s="360">
        <v>0</v>
      </c>
      <c r="CN96" s="360">
        <v>0</v>
      </c>
      <c r="CO96" s="360">
        <v>0</v>
      </c>
      <c r="CP96" s="360">
        <v>0</v>
      </c>
      <c r="CQ96" s="360">
        <v>0</v>
      </c>
      <c r="CR96" s="366">
        <v>0</v>
      </c>
      <c r="CS96" s="362">
        <v>0</v>
      </c>
      <c r="CT96" s="360">
        <v>0</v>
      </c>
      <c r="CU96" s="360">
        <v>0</v>
      </c>
      <c r="CV96" s="360">
        <v>0</v>
      </c>
      <c r="CW96" s="360">
        <v>0</v>
      </c>
      <c r="CX96" s="360">
        <v>0</v>
      </c>
      <c r="CY96" s="360">
        <v>0</v>
      </c>
      <c r="CZ96" s="360">
        <v>0</v>
      </c>
      <c r="DA96" s="360">
        <v>0</v>
      </c>
      <c r="DB96" s="360">
        <v>0</v>
      </c>
      <c r="DC96" s="360">
        <v>0</v>
      </c>
      <c r="DD96" s="361">
        <v>0</v>
      </c>
      <c r="DE96" s="4"/>
      <c r="DF96" s="363">
        <v>0</v>
      </c>
      <c r="DG96" s="364">
        <v>0</v>
      </c>
      <c r="DH96" s="364">
        <v>0</v>
      </c>
      <c r="DI96" s="364">
        <v>0</v>
      </c>
      <c r="DJ96" s="364">
        <v>0</v>
      </c>
      <c r="DK96" s="364">
        <v>0</v>
      </c>
      <c r="DL96" s="364">
        <v>0</v>
      </c>
      <c r="DM96" s="364">
        <v>0</v>
      </c>
      <c r="DN96" s="364">
        <v>0</v>
      </c>
      <c r="DO96" s="364">
        <v>0</v>
      </c>
      <c r="DP96" s="364">
        <v>0</v>
      </c>
      <c r="DQ96" s="365">
        <v>0</v>
      </c>
      <c r="DR96" s="272"/>
      <c r="DS96" s="396"/>
      <c r="DT96" s="399"/>
      <c r="DU96" s="399"/>
      <c r="DV96" s="399"/>
      <c r="DW96" s="399"/>
      <c r="DX96" s="399"/>
      <c r="DY96" s="397"/>
      <c r="DZ96" s="397"/>
      <c r="EA96" s="272"/>
    </row>
    <row r="97" spans="2:131" ht="15.75" thickBot="1" x14ac:dyDescent="0.3">
      <c r="AI97" s="260"/>
      <c r="AN97" s="14"/>
      <c r="AR97"/>
      <c r="BS97" s="13"/>
      <c r="BV97"/>
      <c r="DE97" s="2"/>
      <c r="DH97"/>
      <c r="DQ97"/>
      <c r="DU97" s="4"/>
      <c r="DV97" s="4"/>
      <c r="DW97" s="4"/>
      <c r="DX97" s="4"/>
      <c r="DY97" s="4"/>
      <c r="DZ97" s="4"/>
      <c r="EA97" s="4"/>
    </row>
    <row r="98" spans="2:131" ht="15.75" thickBot="1" x14ac:dyDescent="0.3">
      <c r="B98" s="3" t="s">
        <v>87</v>
      </c>
      <c r="C98" s="560" t="s">
        <v>206</v>
      </c>
      <c r="D98" s="373" t="s">
        <v>206</v>
      </c>
      <c r="E98" s="374"/>
      <c r="F98" s="375">
        <v>0.17400092482683335</v>
      </c>
      <c r="G98" s="376">
        <v>7.0077084793272612E-2</v>
      </c>
      <c r="H98" s="376">
        <v>2.1023125437981783E-2</v>
      </c>
      <c r="I98" s="377">
        <v>0</v>
      </c>
      <c r="J98" s="377"/>
      <c r="K98" s="377">
        <v>368</v>
      </c>
      <c r="L98" s="386"/>
      <c r="M98" s="377">
        <v>284</v>
      </c>
      <c r="N98" s="377">
        <v>288</v>
      </c>
      <c r="O98" s="377">
        <v>284</v>
      </c>
      <c r="P98" s="377">
        <v>285</v>
      </c>
      <c r="Q98" s="377">
        <v>286</v>
      </c>
      <c r="R98" s="377">
        <v>0</v>
      </c>
      <c r="S98" s="377">
        <v>0</v>
      </c>
      <c r="T98" s="377">
        <v>0</v>
      </c>
      <c r="U98" s="377">
        <v>0</v>
      </c>
      <c r="V98" s="377">
        <v>0</v>
      </c>
      <c r="W98" s="377">
        <v>0</v>
      </c>
      <c r="X98" s="377">
        <v>0</v>
      </c>
      <c r="Y98" s="379">
        <v>285.39999999999998</v>
      </c>
      <c r="Z98" s="377">
        <v>286</v>
      </c>
      <c r="AA98" s="377">
        <v>0</v>
      </c>
      <c r="AB98" s="377">
        <v>1</v>
      </c>
      <c r="AC98" s="377">
        <v>0</v>
      </c>
      <c r="AD98" s="377">
        <v>1</v>
      </c>
      <c r="AE98" s="377">
        <v>0</v>
      </c>
      <c r="AF98" s="377">
        <v>0</v>
      </c>
      <c r="AG98" s="377">
        <v>17</v>
      </c>
      <c r="AH98" s="377">
        <v>0</v>
      </c>
      <c r="AI98" s="377">
        <v>1</v>
      </c>
      <c r="AJ98" s="377">
        <v>20</v>
      </c>
      <c r="AK98" s="380">
        <v>6</v>
      </c>
      <c r="AL98" s="2"/>
      <c r="AM98" s="220"/>
      <c r="AN98" s="14" t="s">
        <v>285</v>
      </c>
      <c r="AO98" s="2"/>
      <c r="AP98" s="381">
        <v>18</v>
      </c>
      <c r="AQ98" s="377">
        <v>2</v>
      </c>
      <c r="AR98" s="380">
        <v>0</v>
      </c>
      <c r="AS98" s="2"/>
      <c r="AT98" s="381">
        <v>3</v>
      </c>
      <c r="AU98" s="377">
        <v>2</v>
      </c>
      <c r="AV98" s="377">
        <v>7</v>
      </c>
      <c r="AW98" s="377">
        <v>2</v>
      </c>
      <c r="AX98" s="377">
        <v>6</v>
      </c>
      <c r="AY98" s="377">
        <v>0</v>
      </c>
      <c r="AZ98" s="377">
        <v>0</v>
      </c>
      <c r="BA98" s="377">
        <v>0</v>
      </c>
      <c r="BB98" s="377">
        <v>0</v>
      </c>
      <c r="BC98" s="377">
        <v>0</v>
      </c>
      <c r="BD98" s="377">
        <v>0</v>
      </c>
      <c r="BE98" s="380">
        <v>0</v>
      </c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4"/>
      <c r="BT98" s="118"/>
      <c r="BU98" s="118"/>
      <c r="BV98" s="118"/>
      <c r="BW98" s="118"/>
      <c r="BX98" s="118"/>
      <c r="BY98" s="118"/>
      <c r="BZ98" s="118"/>
      <c r="CA98" s="118"/>
      <c r="CB98" s="118"/>
      <c r="CC98" s="118"/>
      <c r="CD98" s="118"/>
      <c r="CE98" s="118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4"/>
      <c r="DF98" s="118" t="s">
        <v>94</v>
      </c>
      <c r="DG98" s="118">
        <v>0.21959999999999999</v>
      </c>
      <c r="DH98" s="118"/>
      <c r="DI98" s="118"/>
      <c r="DJ98" s="118"/>
      <c r="DK98" s="118"/>
      <c r="DL98" s="118"/>
      <c r="DM98" s="118"/>
      <c r="DN98" s="118"/>
      <c r="DO98" s="118"/>
      <c r="DP98" s="118"/>
      <c r="DQ98" s="118"/>
      <c r="DR98" s="272"/>
      <c r="DS98" s="2"/>
      <c r="DT98" s="2"/>
      <c r="DU98" s="2"/>
      <c r="DV98" s="2"/>
      <c r="DW98" s="2"/>
      <c r="DX98" s="2"/>
      <c r="DY98" s="2"/>
      <c r="DZ98" s="2"/>
      <c r="EA98" s="272"/>
    </row>
    <row r="100" spans="2:131" x14ac:dyDescent="0.25">
      <c r="G100" s="466">
        <f>SUM(AJ95,-AR95)/SUM(Y95,-60)</f>
        <v>0.18487394957983194</v>
      </c>
      <c r="H100" s="466">
        <f>F$15*G100</f>
        <v>0.45904075916080717</v>
      </c>
    </row>
    <row r="101" spans="2:131" x14ac:dyDescent="0.25">
      <c r="G101" s="466">
        <f>SUM(AJ96,-AR96)/SUM(Y96,-40)</f>
        <v>0.26315789473684209</v>
      </c>
      <c r="H101" s="466">
        <f>F$15*G101</f>
        <v>0.6534192624418188</v>
      </c>
    </row>
    <row r="102" spans="2:131" x14ac:dyDescent="0.25">
      <c r="G102" s="466">
        <f>SUM(SUM(AJ95:AJ96),-SUM(AR95:AR96))/SUM(Y95:Y96,-100)</f>
        <v>0.24721984602224123</v>
      </c>
      <c r="H102" s="466">
        <f>F$15*G102</f>
        <v>0.61384519590556497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AF904-8339-CB46-BA51-E9DA632A1729}">
  <dimension ref="B1:D4623"/>
  <sheetViews>
    <sheetView workbookViewId="0">
      <pane ySplit="2" topLeftCell="A3" activePane="bottomLeft" state="frozen"/>
      <selection pane="bottomLeft" activeCell="B2" sqref="B2"/>
    </sheetView>
  </sheetViews>
  <sheetFormatPr defaultColWidth="11.42578125" defaultRowHeight="15" x14ac:dyDescent="0.25"/>
  <cols>
    <col min="1" max="1" width="6.85546875" customWidth="1"/>
    <col min="2" max="2" width="11.28515625" style="1" customWidth="1"/>
    <col min="3" max="3" width="38.28515625" style="1" customWidth="1"/>
    <col min="4" max="4" width="35.140625" customWidth="1"/>
  </cols>
  <sheetData>
    <row r="1" spans="2:4" ht="15.75" thickBot="1" x14ac:dyDescent="0.3">
      <c r="B1" s="528"/>
      <c r="C1" s="528"/>
    </row>
    <row r="2" spans="2:4" ht="16.5" thickTop="1" thickBot="1" x14ac:dyDescent="0.3">
      <c r="B2" s="524" t="s">
        <v>2</v>
      </c>
      <c r="C2" s="524" t="s">
        <v>2</v>
      </c>
      <c r="D2" s="524" t="s">
        <v>2</v>
      </c>
    </row>
    <row r="3" spans="2:4" ht="15.75" thickTop="1" x14ac:dyDescent="0.25">
      <c r="B3" s="529" t="s">
        <v>267</v>
      </c>
      <c r="C3" s="554" t="s">
        <v>458</v>
      </c>
      <c r="D3" s="558" t="s">
        <v>431</v>
      </c>
    </row>
    <row r="4" spans="2:4" x14ac:dyDescent="0.25">
      <c r="B4" s="529" t="s">
        <v>261</v>
      </c>
      <c r="C4" s="554" t="s">
        <v>486</v>
      </c>
      <c r="D4" s="558" t="s">
        <v>429</v>
      </c>
    </row>
    <row r="5" spans="2:4" x14ac:dyDescent="0.25">
      <c r="B5" s="529" t="s">
        <v>239</v>
      </c>
      <c r="C5" s="554" t="s">
        <v>483</v>
      </c>
      <c r="D5" s="558" t="s">
        <v>427</v>
      </c>
    </row>
    <row r="6" spans="2:4" x14ac:dyDescent="0.25">
      <c r="B6" s="529" t="s">
        <v>268</v>
      </c>
      <c r="C6" s="554" t="s">
        <v>450</v>
      </c>
      <c r="D6" s="558"/>
    </row>
    <row r="7" spans="2:4" x14ac:dyDescent="0.25">
      <c r="B7" s="529" t="s">
        <v>272</v>
      </c>
      <c r="C7" s="554" t="s">
        <v>473</v>
      </c>
      <c r="D7" s="558" t="s">
        <v>425</v>
      </c>
    </row>
    <row r="8" spans="2:4" x14ac:dyDescent="0.25">
      <c r="B8" s="529" t="s">
        <v>270</v>
      </c>
      <c r="C8" s="558" t="s">
        <v>490</v>
      </c>
      <c r="D8" s="558" t="s">
        <v>423</v>
      </c>
    </row>
    <row r="9" spans="2:4" x14ac:dyDescent="0.25">
      <c r="B9" s="529" t="s">
        <v>253</v>
      </c>
      <c r="C9" s="554" t="s">
        <v>489</v>
      </c>
      <c r="D9" s="558" t="s">
        <v>421</v>
      </c>
    </row>
    <row r="10" spans="2:4" x14ac:dyDescent="0.25">
      <c r="B10" s="529" t="s">
        <v>241</v>
      </c>
      <c r="C10" s="554" t="s">
        <v>481</v>
      </c>
      <c r="D10" s="558" t="s">
        <v>419</v>
      </c>
    </row>
    <row r="11" spans="2:4" x14ac:dyDescent="0.25">
      <c r="B11" s="529" t="s">
        <v>246</v>
      </c>
      <c r="C11" s="558" t="s">
        <v>491</v>
      </c>
      <c r="D11" s="558" t="s">
        <v>417</v>
      </c>
    </row>
    <row r="12" spans="2:4" x14ac:dyDescent="0.25">
      <c r="B12" s="529" t="s">
        <v>275</v>
      </c>
      <c r="C12" s="558" t="s">
        <v>492</v>
      </c>
      <c r="D12" s="558" t="s">
        <v>415</v>
      </c>
    </row>
    <row r="13" spans="2:4" x14ac:dyDescent="0.25">
      <c r="B13" s="529" t="s">
        <v>242</v>
      </c>
      <c r="C13" s="558" t="s">
        <v>493</v>
      </c>
      <c r="D13" s="558" t="s">
        <v>413</v>
      </c>
    </row>
    <row r="14" spans="2:4" x14ac:dyDescent="0.25">
      <c r="B14" s="529" t="s">
        <v>271</v>
      </c>
      <c r="C14" s="558" t="s">
        <v>494</v>
      </c>
      <c r="D14" s="558" t="s">
        <v>411</v>
      </c>
    </row>
    <row r="15" spans="2:4" x14ac:dyDescent="0.25">
      <c r="B15" s="529" t="s">
        <v>252</v>
      </c>
      <c r="C15" s="558" t="s">
        <v>495</v>
      </c>
      <c r="D15" s="558" t="s">
        <v>409</v>
      </c>
    </row>
    <row r="16" spans="2:4" x14ac:dyDescent="0.25">
      <c r="B16" s="529" t="s">
        <v>273</v>
      </c>
      <c r="C16" s="554" t="s">
        <v>464</v>
      </c>
      <c r="D16" s="558"/>
    </row>
    <row r="17" spans="2:4" x14ac:dyDescent="0.25">
      <c r="B17" s="529" t="s">
        <v>256</v>
      </c>
      <c r="C17" s="558" t="s">
        <v>496</v>
      </c>
      <c r="D17" s="558" t="s">
        <v>407</v>
      </c>
    </row>
    <row r="18" spans="2:4" x14ac:dyDescent="0.25">
      <c r="B18" s="529" t="s">
        <v>248</v>
      </c>
      <c r="C18" s="554" t="s">
        <v>478</v>
      </c>
      <c r="D18" s="558" t="s">
        <v>405</v>
      </c>
    </row>
    <row r="19" spans="2:4" x14ac:dyDescent="0.25">
      <c r="B19" s="529" t="s">
        <v>234</v>
      </c>
      <c r="C19" s="554" t="s">
        <v>484</v>
      </c>
      <c r="D19" s="558" t="s">
        <v>403</v>
      </c>
    </row>
    <row r="20" spans="2:4" x14ac:dyDescent="0.25">
      <c r="B20" s="529" t="s">
        <v>251</v>
      </c>
      <c r="C20" s="554" t="s">
        <v>453</v>
      </c>
      <c r="D20" s="558" t="s">
        <v>401</v>
      </c>
    </row>
    <row r="21" spans="2:4" x14ac:dyDescent="0.25">
      <c r="B21" s="529" t="s">
        <v>257</v>
      </c>
      <c r="C21" s="558" t="s">
        <v>497</v>
      </c>
      <c r="D21" s="558" t="s">
        <v>399</v>
      </c>
    </row>
    <row r="22" spans="2:4" x14ac:dyDescent="0.25">
      <c r="B22" s="529" t="s">
        <v>274</v>
      </c>
      <c r="C22" s="554" t="s">
        <v>474</v>
      </c>
      <c r="D22" s="558" t="s">
        <v>397</v>
      </c>
    </row>
    <row r="23" spans="2:4" x14ac:dyDescent="0.25">
      <c r="B23" s="529" t="s">
        <v>250</v>
      </c>
      <c r="C23" s="554" t="s">
        <v>455</v>
      </c>
      <c r="D23" s="558" t="s">
        <v>395</v>
      </c>
    </row>
    <row r="24" spans="2:4" x14ac:dyDescent="0.25">
      <c r="B24" s="529" t="s">
        <v>222</v>
      </c>
      <c r="C24" s="554" t="s">
        <v>475</v>
      </c>
      <c r="D24" s="558" t="s">
        <v>393</v>
      </c>
    </row>
    <row r="25" spans="2:4" x14ac:dyDescent="0.25">
      <c r="B25" s="529" t="s">
        <v>226</v>
      </c>
      <c r="C25" s="554" t="s">
        <v>479</v>
      </c>
      <c r="D25" s="558" t="s">
        <v>391</v>
      </c>
    </row>
    <row r="26" spans="2:4" x14ac:dyDescent="0.25">
      <c r="B26" s="529" t="s">
        <v>231</v>
      </c>
      <c r="C26" s="554" t="s">
        <v>470</v>
      </c>
      <c r="D26" s="558" t="s">
        <v>389</v>
      </c>
    </row>
    <row r="27" spans="2:4" x14ac:dyDescent="0.25">
      <c r="B27" s="529" t="s">
        <v>236</v>
      </c>
      <c r="C27" s="554" t="s">
        <v>454</v>
      </c>
      <c r="D27" s="558"/>
    </row>
    <row r="28" spans="2:4" x14ac:dyDescent="0.25">
      <c r="B28" s="529" t="s">
        <v>240</v>
      </c>
      <c r="C28" s="554" t="s">
        <v>456</v>
      </c>
      <c r="D28" s="558" t="s">
        <v>387</v>
      </c>
    </row>
    <row r="29" spans="2:4" x14ac:dyDescent="0.25">
      <c r="B29" s="529" t="s">
        <v>232</v>
      </c>
      <c r="C29" s="554" t="s">
        <v>467</v>
      </c>
      <c r="D29" s="558" t="s">
        <v>385</v>
      </c>
    </row>
    <row r="30" spans="2:4" x14ac:dyDescent="0.25">
      <c r="B30" s="529" t="s">
        <v>227</v>
      </c>
      <c r="C30" s="554" t="s">
        <v>452</v>
      </c>
      <c r="D30" s="558" t="s">
        <v>383</v>
      </c>
    </row>
    <row r="31" spans="2:4" x14ac:dyDescent="0.25">
      <c r="B31" s="529" t="s">
        <v>233</v>
      </c>
      <c r="C31" s="554" t="s">
        <v>459</v>
      </c>
      <c r="D31" s="558" t="s">
        <v>381</v>
      </c>
    </row>
    <row r="32" spans="2:4" x14ac:dyDescent="0.25">
      <c r="B32" s="529" t="s">
        <v>278</v>
      </c>
      <c r="C32" s="558" t="s">
        <v>498</v>
      </c>
      <c r="D32" s="558" t="s">
        <v>379</v>
      </c>
    </row>
    <row r="33" spans="2:4" x14ac:dyDescent="0.25">
      <c r="B33" s="529" t="s">
        <v>260</v>
      </c>
      <c r="C33" s="554" t="s">
        <v>485</v>
      </c>
      <c r="D33" s="558" t="s">
        <v>377</v>
      </c>
    </row>
    <row r="34" spans="2:4" x14ac:dyDescent="0.25">
      <c r="B34" s="529" t="s">
        <v>229</v>
      </c>
      <c r="C34" s="554" t="s">
        <v>472</v>
      </c>
      <c r="D34" s="558" t="s">
        <v>375</v>
      </c>
    </row>
    <row r="35" spans="2:4" x14ac:dyDescent="0.25">
      <c r="B35" s="529" t="s">
        <v>220</v>
      </c>
      <c r="C35" s="554" t="s">
        <v>471</v>
      </c>
      <c r="D35" s="558" t="s">
        <v>373</v>
      </c>
    </row>
    <row r="36" spans="2:4" x14ac:dyDescent="0.25">
      <c r="B36" s="529" t="s">
        <v>264</v>
      </c>
      <c r="C36" s="558" t="s">
        <v>499</v>
      </c>
      <c r="D36" s="558" t="s">
        <v>371</v>
      </c>
    </row>
    <row r="37" spans="2:4" x14ac:dyDescent="0.25">
      <c r="B37" s="529" t="s">
        <v>487</v>
      </c>
      <c r="C37" s="558"/>
      <c r="D37" s="558"/>
    </row>
    <row r="38" spans="2:4" x14ac:dyDescent="0.25">
      <c r="B38" s="529" t="s">
        <v>265</v>
      </c>
      <c r="C38" s="558" t="s">
        <v>500</v>
      </c>
      <c r="D38" s="558" t="s">
        <v>369</v>
      </c>
    </row>
    <row r="39" spans="2:4" x14ac:dyDescent="0.25">
      <c r="B39" s="529" t="s">
        <v>279</v>
      </c>
      <c r="C39" s="558"/>
      <c r="D39" s="558"/>
    </row>
    <row r="40" spans="2:4" x14ac:dyDescent="0.25">
      <c r="B40" s="529" t="s">
        <v>225</v>
      </c>
      <c r="C40" s="554" t="s">
        <v>469</v>
      </c>
      <c r="D40" s="558" t="s">
        <v>367</v>
      </c>
    </row>
    <row r="41" spans="2:4" x14ac:dyDescent="0.25">
      <c r="B41" s="529" t="s">
        <v>223</v>
      </c>
      <c r="C41" s="554" t="s">
        <v>482</v>
      </c>
      <c r="D41" s="558" t="s">
        <v>365</v>
      </c>
    </row>
    <row r="42" spans="2:4" x14ac:dyDescent="0.25">
      <c r="B42" s="529" t="s">
        <v>255</v>
      </c>
      <c r="C42" s="554" t="s">
        <v>463</v>
      </c>
      <c r="D42" s="558" t="s">
        <v>363</v>
      </c>
    </row>
    <row r="43" spans="2:4" x14ac:dyDescent="0.25">
      <c r="B43" s="529" t="s">
        <v>281</v>
      </c>
      <c r="C43" s="558" t="s">
        <v>501</v>
      </c>
      <c r="D43" s="558" t="s">
        <v>361</v>
      </c>
    </row>
    <row r="44" spans="2:4" x14ac:dyDescent="0.25">
      <c r="B44" s="529" t="s">
        <v>259</v>
      </c>
      <c r="C44" s="554" t="s">
        <v>488</v>
      </c>
      <c r="D44" s="558" t="s">
        <v>359</v>
      </c>
    </row>
    <row r="45" spans="2:4" x14ac:dyDescent="0.25">
      <c r="B45" s="529" t="s">
        <v>254</v>
      </c>
      <c r="C45" s="558" t="s">
        <v>502</v>
      </c>
      <c r="D45" s="558" t="s">
        <v>357</v>
      </c>
    </row>
    <row r="46" spans="2:4" x14ac:dyDescent="0.25">
      <c r="B46" s="529" t="s">
        <v>247</v>
      </c>
      <c r="C46" s="558" t="s">
        <v>503</v>
      </c>
      <c r="D46" s="558" t="s">
        <v>355</v>
      </c>
    </row>
    <row r="47" spans="2:4" x14ac:dyDescent="0.25">
      <c r="B47" s="529" t="s">
        <v>266</v>
      </c>
      <c r="C47" s="558" t="s">
        <v>353</v>
      </c>
      <c r="D47" s="558" t="s">
        <v>353</v>
      </c>
    </row>
    <row r="48" spans="2:4" x14ac:dyDescent="0.25">
      <c r="B48" s="529" t="s">
        <v>263</v>
      </c>
      <c r="C48" s="558" t="s">
        <v>351</v>
      </c>
      <c r="D48" s="558" t="s">
        <v>351</v>
      </c>
    </row>
    <row r="49" spans="2:4" x14ac:dyDescent="0.25">
      <c r="B49" s="529" t="s">
        <v>243</v>
      </c>
      <c r="C49" s="554" t="s">
        <v>465</v>
      </c>
      <c r="D49" s="558" t="s">
        <v>349</v>
      </c>
    </row>
    <row r="50" spans="2:4" x14ac:dyDescent="0.25">
      <c r="B50" s="529" t="s">
        <v>224</v>
      </c>
      <c r="C50" s="554" t="s">
        <v>468</v>
      </c>
      <c r="D50" s="558" t="s">
        <v>347</v>
      </c>
    </row>
    <row r="51" spans="2:4" x14ac:dyDescent="0.25">
      <c r="B51" s="529" t="s">
        <v>228</v>
      </c>
      <c r="C51" s="554" t="s">
        <v>457</v>
      </c>
      <c r="D51" s="558" t="s">
        <v>345</v>
      </c>
    </row>
    <row r="52" spans="2:4" x14ac:dyDescent="0.25">
      <c r="B52" s="529" t="s">
        <v>230</v>
      </c>
      <c r="C52" s="554" t="s">
        <v>476</v>
      </c>
      <c r="D52" s="558" t="s">
        <v>343</v>
      </c>
    </row>
    <row r="53" spans="2:4" x14ac:dyDescent="0.25">
      <c r="B53" s="529" t="s">
        <v>237</v>
      </c>
      <c r="C53" s="554" t="s">
        <v>462</v>
      </c>
      <c r="D53" s="558" t="s">
        <v>341</v>
      </c>
    </row>
    <row r="54" spans="2:4" x14ac:dyDescent="0.25">
      <c r="B54" s="529" t="s">
        <v>245</v>
      </c>
      <c r="C54" s="554" t="s">
        <v>466</v>
      </c>
      <c r="D54" s="558" t="s">
        <v>339</v>
      </c>
    </row>
    <row r="55" spans="2:4" x14ac:dyDescent="0.25">
      <c r="B55" s="529" t="s">
        <v>238</v>
      </c>
      <c r="C55" s="554" t="s">
        <v>477</v>
      </c>
      <c r="D55" s="558" t="s">
        <v>337</v>
      </c>
    </row>
    <row r="56" spans="2:4" x14ac:dyDescent="0.25">
      <c r="B56" s="529" t="s">
        <v>249</v>
      </c>
      <c r="C56" s="554" t="s">
        <v>480</v>
      </c>
      <c r="D56" s="558" t="s">
        <v>335</v>
      </c>
    </row>
    <row r="57" spans="2:4" x14ac:dyDescent="0.25">
      <c r="B57" s="529" t="s">
        <v>235</v>
      </c>
      <c r="C57" s="554" t="s">
        <v>460</v>
      </c>
      <c r="D57" s="558" t="s">
        <v>333</v>
      </c>
    </row>
    <row r="58" spans="2:4" x14ac:dyDescent="0.25">
      <c r="B58" s="529" t="s">
        <v>219</v>
      </c>
      <c r="C58" s="554" t="s">
        <v>461</v>
      </c>
      <c r="D58" s="558" t="s">
        <v>331</v>
      </c>
    </row>
    <row r="59" spans="2:4" x14ac:dyDescent="0.25">
      <c r="B59" s="529" t="s">
        <v>221</v>
      </c>
      <c r="C59" s="554" t="s">
        <v>451</v>
      </c>
      <c r="D59" s="558" t="s">
        <v>329</v>
      </c>
    </row>
    <row r="60" spans="2:4" x14ac:dyDescent="0.25">
      <c r="B60"/>
      <c r="C60"/>
    </row>
    <row r="61" spans="2:4" x14ac:dyDescent="0.25">
      <c r="B61"/>
      <c r="C61"/>
    </row>
    <row r="62" spans="2:4" x14ac:dyDescent="0.25">
      <c r="B62"/>
      <c r="C62"/>
    </row>
    <row r="63" spans="2:4" x14ac:dyDescent="0.25">
      <c r="B63"/>
      <c r="C63"/>
    </row>
    <row r="64" spans="2:4" x14ac:dyDescent="0.25">
      <c r="B64"/>
      <c r="C64"/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  <row r="1361" customFormat="1" x14ac:dyDescent="0.25"/>
    <row r="1362" customFormat="1" x14ac:dyDescent="0.25"/>
    <row r="1363" customFormat="1" x14ac:dyDescent="0.25"/>
    <row r="1364" customFormat="1" x14ac:dyDescent="0.25"/>
    <row r="1365" customFormat="1" x14ac:dyDescent="0.25"/>
    <row r="1366" customFormat="1" x14ac:dyDescent="0.25"/>
    <row r="1367" customFormat="1" x14ac:dyDescent="0.25"/>
    <row r="1368" customFormat="1" x14ac:dyDescent="0.25"/>
    <row r="1369" customFormat="1" x14ac:dyDescent="0.25"/>
    <row r="1370" customFormat="1" x14ac:dyDescent="0.25"/>
    <row r="1371" customFormat="1" x14ac:dyDescent="0.25"/>
    <row r="1372" customFormat="1" x14ac:dyDescent="0.25"/>
    <row r="1373" customFormat="1" x14ac:dyDescent="0.25"/>
    <row r="1374" customFormat="1" x14ac:dyDescent="0.25"/>
    <row r="1375" customFormat="1" x14ac:dyDescent="0.25"/>
    <row r="1376" customFormat="1" x14ac:dyDescent="0.25"/>
    <row r="1377" customFormat="1" x14ac:dyDescent="0.25"/>
    <row r="1378" customFormat="1" x14ac:dyDescent="0.25"/>
    <row r="1379" customFormat="1" x14ac:dyDescent="0.25"/>
    <row r="1380" customFormat="1" x14ac:dyDescent="0.25"/>
    <row r="1381" customFormat="1" x14ac:dyDescent="0.25"/>
    <row r="1382" customFormat="1" x14ac:dyDescent="0.25"/>
    <row r="1383" customFormat="1" x14ac:dyDescent="0.25"/>
    <row r="1384" customFormat="1" x14ac:dyDescent="0.25"/>
    <row r="1385" customFormat="1" x14ac:dyDescent="0.25"/>
    <row r="1386" customFormat="1" x14ac:dyDescent="0.25"/>
    <row r="1387" customFormat="1" x14ac:dyDescent="0.25"/>
    <row r="1388" customFormat="1" x14ac:dyDescent="0.25"/>
    <row r="1389" customFormat="1" x14ac:dyDescent="0.25"/>
    <row r="1390" customFormat="1" x14ac:dyDescent="0.25"/>
    <row r="1391" customFormat="1" x14ac:dyDescent="0.25"/>
    <row r="1392" customFormat="1" x14ac:dyDescent="0.25"/>
    <row r="1393" customFormat="1" x14ac:dyDescent="0.25"/>
    <row r="1394" customFormat="1" x14ac:dyDescent="0.25"/>
    <row r="1395" customFormat="1" x14ac:dyDescent="0.25"/>
    <row r="1396" customFormat="1" x14ac:dyDescent="0.25"/>
    <row r="1397" customFormat="1" x14ac:dyDescent="0.25"/>
    <row r="1398" customFormat="1" x14ac:dyDescent="0.25"/>
    <row r="1399" customFormat="1" x14ac:dyDescent="0.25"/>
    <row r="1400" customFormat="1" x14ac:dyDescent="0.25"/>
    <row r="1401" customFormat="1" x14ac:dyDescent="0.25"/>
    <row r="1402" customFormat="1" x14ac:dyDescent="0.25"/>
    <row r="1403" customFormat="1" x14ac:dyDescent="0.25"/>
    <row r="1404" customFormat="1" x14ac:dyDescent="0.25"/>
    <row r="1405" customFormat="1" x14ac:dyDescent="0.25"/>
    <row r="1406" customFormat="1" x14ac:dyDescent="0.25"/>
    <row r="1407" customFormat="1" x14ac:dyDescent="0.25"/>
    <row r="1408" customFormat="1" x14ac:dyDescent="0.25"/>
    <row r="1409" customFormat="1" x14ac:dyDescent="0.25"/>
    <row r="1410" customFormat="1" x14ac:dyDescent="0.25"/>
    <row r="1411" customFormat="1" x14ac:dyDescent="0.25"/>
    <row r="1412" customFormat="1" x14ac:dyDescent="0.25"/>
    <row r="1413" customFormat="1" x14ac:dyDescent="0.25"/>
    <row r="1414" customFormat="1" x14ac:dyDescent="0.25"/>
    <row r="1415" customFormat="1" x14ac:dyDescent="0.25"/>
    <row r="1416" customFormat="1" x14ac:dyDescent="0.25"/>
    <row r="1417" customFormat="1" x14ac:dyDescent="0.25"/>
    <row r="1418" customFormat="1" x14ac:dyDescent="0.25"/>
    <row r="1419" customFormat="1" x14ac:dyDescent="0.25"/>
    <row r="1420" customFormat="1" x14ac:dyDescent="0.25"/>
    <row r="1421" customFormat="1" x14ac:dyDescent="0.25"/>
    <row r="1422" customFormat="1" x14ac:dyDescent="0.25"/>
    <row r="1423" customFormat="1" x14ac:dyDescent="0.25"/>
    <row r="1424" customFormat="1" x14ac:dyDescent="0.25"/>
    <row r="1425" customFormat="1" x14ac:dyDescent="0.25"/>
    <row r="1426" customFormat="1" x14ac:dyDescent="0.25"/>
    <row r="1427" customFormat="1" x14ac:dyDescent="0.25"/>
    <row r="1428" customFormat="1" x14ac:dyDescent="0.25"/>
    <row r="1429" customFormat="1" x14ac:dyDescent="0.25"/>
    <row r="1430" customFormat="1" x14ac:dyDescent="0.25"/>
    <row r="1431" customFormat="1" x14ac:dyDescent="0.25"/>
    <row r="1432" customFormat="1" x14ac:dyDescent="0.25"/>
    <row r="1433" customFormat="1" x14ac:dyDescent="0.25"/>
    <row r="1434" customFormat="1" x14ac:dyDescent="0.25"/>
    <row r="1435" customFormat="1" x14ac:dyDescent="0.25"/>
    <row r="1436" customFormat="1" x14ac:dyDescent="0.25"/>
    <row r="1437" customFormat="1" x14ac:dyDescent="0.25"/>
    <row r="1438" customFormat="1" x14ac:dyDescent="0.25"/>
    <row r="1439" customFormat="1" x14ac:dyDescent="0.25"/>
    <row r="1440" customFormat="1" x14ac:dyDescent="0.25"/>
    <row r="1441" customFormat="1" x14ac:dyDescent="0.25"/>
    <row r="1442" customFormat="1" x14ac:dyDescent="0.25"/>
    <row r="1443" customFormat="1" x14ac:dyDescent="0.25"/>
    <row r="1444" customFormat="1" x14ac:dyDescent="0.25"/>
    <row r="1445" customFormat="1" x14ac:dyDescent="0.25"/>
    <row r="1446" customFormat="1" x14ac:dyDescent="0.25"/>
    <row r="1447" customFormat="1" x14ac:dyDescent="0.25"/>
    <row r="1448" customFormat="1" x14ac:dyDescent="0.25"/>
    <row r="1449" customFormat="1" x14ac:dyDescent="0.25"/>
    <row r="1450" customFormat="1" x14ac:dyDescent="0.25"/>
    <row r="1451" customFormat="1" x14ac:dyDescent="0.25"/>
    <row r="1452" customFormat="1" x14ac:dyDescent="0.25"/>
    <row r="1453" customFormat="1" x14ac:dyDescent="0.25"/>
    <row r="1454" customFormat="1" x14ac:dyDescent="0.25"/>
    <row r="1455" customFormat="1" x14ac:dyDescent="0.25"/>
    <row r="1456" customFormat="1" x14ac:dyDescent="0.25"/>
    <row r="1457" customFormat="1" x14ac:dyDescent="0.25"/>
    <row r="1458" customFormat="1" x14ac:dyDescent="0.25"/>
    <row r="1459" customFormat="1" x14ac:dyDescent="0.25"/>
    <row r="1460" customFormat="1" x14ac:dyDescent="0.25"/>
    <row r="1461" customFormat="1" x14ac:dyDescent="0.25"/>
    <row r="1462" customFormat="1" x14ac:dyDescent="0.25"/>
    <row r="1463" customFormat="1" x14ac:dyDescent="0.25"/>
    <row r="1464" customFormat="1" x14ac:dyDescent="0.25"/>
    <row r="1465" customFormat="1" x14ac:dyDescent="0.25"/>
    <row r="1466" customFormat="1" x14ac:dyDescent="0.25"/>
    <row r="1467" customFormat="1" x14ac:dyDescent="0.25"/>
    <row r="1468" customFormat="1" x14ac:dyDescent="0.25"/>
    <row r="1469" customFormat="1" x14ac:dyDescent="0.25"/>
    <row r="1470" customFormat="1" x14ac:dyDescent="0.25"/>
    <row r="1471" customFormat="1" x14ac:dyDescent="0.25"/>
    <row r="1472" customFormat="1" x14ac:dyDescent="0.25"/>
    <row r="1473" customFormat="1" x14ac:dyDescent="0.25"/>
    <row r="1474" customFormat="1" x14ac:dyDescent="0.25"/>
    <row r="1475" customFormat="1" x14ac:dyDescent="0.25"/>
    <row r="1476" customFormat="1" x14ac:dyDescent="0.25"/>
    <row r="1477" customFormat="1" x14ac:dyDescent="0.25"/>
    <row r="1478" customFormat="1" x14ac:dyDescent="0.25"/>
    <row r="1479" customFormat="1" x14ac:dyDescent="0.25"/>
    <row r="1480" customFormat="1" x14ac:dyDescent="0.25"/>
    <row r="1481" customFormat="1" x14ac:dyDescent="0.25"/>
    <row r="1482" customFormat="1" x14ac:dyDescent="0.25"/>
    <row r="1483" customFormat="1" x14ac:dyDescent="0.25"/>
    <row r="1484" customFormat="1" x14ac:dyDescent="0.25"/>
    <row r="1485" customFormat="1" x14ac:dyDescent="0.25"/>
    <row r="1486" customFormat="1" x14ac:dyDescent="0.25"/>
    <row r="1487" customFormat="1" x14ac:dyDescent="0.25"/>
    <row r="1488" customFormat="1" x14ac:dyDescent="0.25"/>
    <row r="1489" customFormat="1" x14ac:dyDescent="0.25"/>
    <row r="1490" customFormat="1" x14ac:dyDescent="0.25"/>
    <row r="1491" customFormat="1" x14ac:dyDescent="0.25"/>
    <row r="1492" customFormat="1" x14ac:dyDescent="0.25"/>
    <row r="1493" customFormat="1" x14ac:dyDescent="0.25"/>
    <row r="1494" customFormat="1" x14ac:dyDescent="0.25"/>
    <row r="1495" customFormat="1" x14ac:dyDescent="0.25"/>
    <row r="1496" customFormat="1" x14ac:dyDescent="0.25"/>
    <row r="1497" customFormat="1" x14ac:dyDescent="0.25"/>
    <row r="1498" customFormat="1" x14ac:dyDescent="0.25"/>
    <row r="1499" customFormat="1" x14ac:dyDescent="0.25"/>
    <row r="1500" customFormat="1" x14ac:dyDescent="0.25"/>
    <row r="1501" customFormat="1" x14ac:dyDescent="0.25"/>
    <row r="1502" customFormat="1" x14ac:dyDescent="0.25"/>
    <row r="1503" customFormat="1" x14ac:dyDescent="0.25"/>
    <row r="1504" customFormat="1" x14ac:dyDescent="0.25"/>
    <row r="1505" customFormat="1" x14ac:dyDescent="0.25"/>
    <row r="1506" customFormat="1" x14ac:dyDescent="0.25"/>
    <row r="1507" customFormat="1" x14ac:dyDescent="0.25"/>
    <row r="1508" customFormat="1" x14ac:dyDescent="0.25"/>
    <row r="1509" customFormat="1" x14ac:dyDescent="0.25"/>
    <row r="1510" customFormat="1" x14ac:dyDescent="0.25"/>
    <row r="1511" customFormat="1" x14ac:dyDescent="0.25"/>
    <row r="1512" customFormat="1" x14ac:dyDescent="0.25"/>
    <row r="1513" customFormat="1" x14ac:dyDescent="0.25"/>
    <row r="1514" customFormat="1" x14ac:dyDescent="0.25"/>
    <row r="1515" customFormat="1" x14ac:dyDescent="0.25"/>
    <row r="1516" customFormat="1" x14ac:dyDescent="0.25"/>
    <row r="1517" customFormat="1" x14ac:dyDescent="0.25"/>
    <row r="1518" customFormat="1" x14ac:dyDescent="0.25"/>
    <row r="1519" customFormat="1" x14ac:dyDescent="0.25"/>
    <row r="1520" customFormat="1" x14ac:dyDescent="0.25"/>
    <row r="1521" customFormat="1" x14ac:dyDescent="0.25"/>
    <row r="1522" customFormat="1" x14ac:dyDescent="0.25"/>
    <row r="1523" customFormat="1" x14ac:dyDescent="0.25"/>
    <row r="1524" customFormat="1" x14ac:dyDescent="0.25"/>
    <row r="1525" customFormat="1" x14ac:dyDescent="0.25"/>
    <row r="1526" customFormat="1" x14ac:dyDescent="0.25"/>
    <row r="1527" customFormat="1" x14ac:dyDescent="0.25"/>
    <row r="1528" customFormat="1" x14ac:dyDescent="0.25"/>
    <row r="1529" customFormat="1" x14ac:dyDescent="0.25"/>
    <row r="1530" customFormat="1" x14ac:dyDescent="0.25"/>
    <row r="1531" customFormat="1" x14ac:dyDescent="0.25"/>
    <row r="1532" customFormat="1" x14ac:dyDescent="0.25"/>
    <row r="1533" customFormat="1" x14ac:dyDescent="0.25"/>
    <row r="1534" customFormat="1" x14ac:dyDescent="0.25"/>
    <row r="1535" customFormat="1" x14ac:dyDescent="0.25"/>
    <row r="1536" customFormat="1" x14ac:dyDescent="0.25"/>
    <row r="1537" customFormat="1" x14ac:dyDescent="0.25"/>
    <row r="1538" customFormat="1" x14ac:dyDescent="0.25"/>
    <row r="1539" customFormat="1" x14ac:dyDescent="0.25"/>
    <row r="1540" customFormat="1" x14ac:dyDescent="0.25"/>
    <row r="1541" customFormat="1" x14ac:dyDescent="0.25"/>
    <row r="1542" customFormat="1" x14ac:dyDescent="0.25"/>
    <row r="1543" customFormat="1" x14ac:dyDescent="0.25"/>
    <row r="1544" customFormat="1" x14ac:dyDescent="0.25"/>
    <row r="1545" customFormat="1" x14ac:dyDescent="0.25"/>
    <row r="1546" customFormat="1" x14ac:dyDescent="0.25"/>
    <row r="1547" customFormat="1" x14ac:dyDescent="0.25"/>
    <row r="1548" customFormat="1" x14ac:dyDescent="0.25"/>
    <row r="1549" customFormat="1" x14ac:dyDescent="0.25"/>
    <row r="1550" customFormat="1" x14ac:dyDescent="0.25"/>
    <row r="1551" customFormat="1" x14ac:dyDescent="0.25"/>
    <row r="1552" customFormat="1" x14ac:dyDescent="0.25"/>
    <row r="1553" customFormat="1" x14ac:dyDescent="0.25"/>
    <row r="1554" customFormat="1" x14ac:dyDescent="0.25"/>
    <row r="1555" customFormat="1" x14ac:dyDescent="0.25"/>
    <row r="1556" customFormat="1" x14ac:dyDescent="0.25"/>
    <row r="1557" customFormat="1" x14ac:dyDescent="0.25"/>
    <row r="1558" customFormat="1" x14ac:dyDescent="0.25"/>
    <row r="1559" customFormat="1" x14ac:dyDescent="0.25"/>
    <row r="1560" customFormat="1" x14ac:dyDescent="0.25"/>
    <row r="1561" customFormat="1" x14ac:dyDescent="0.25"/>
    <row r="1562" customFormat="1" x14ac:dyDescent="0.25"/>
    <row r="1563" customFormat="1" x14ac:dyDescent="0.25"/>
    <row r="1564" customFormat="1" x14ac:dyDescent="0.25"/>
    <row r="1565" customFormat="1" x14ac:dyDescent="0.25"/>
    <row r="1566" customFormat="1" x14ac:dyDescent="0.25"/>
    <row r="1567" customFormat="1" x14ac:dyDescent="0.25"/>
    <row r="1568" customFormat="1" x14ac:dyDescent="0.25"/>
    <row r="1569" customFormat="1" x14ac:dyDescent="0.25"/>
    <row r="1570" customFormat="1" x14ac:dyDescent="0.25"/>
    <row r="1571" customFormat="1" x14ac:dyDescent="0.25"/>
    <row r="1572" customFormat="1" x14ac:dyDescent="0.25"/>
    <row r="1573" customFormat="1" x14ac:dyDescent="0.25"/>
    <row r="1574" customFormat="1" x14ac:dyDescent="0.25"/>
    <row r="1575" customFormat="1" x14ac:dyDescent="0.25"/>
    <row r="1576" customFormat="1" x14ac:dyDescent="0.25"/>
    <row r="1577" customFormat="1" x14ac:dyDescent="0.25"/>
    <row r="1578" customFormat="1" x14ac:dyDescent="0.25"/>
    <row r="1579" customFormat="1" x14ac:dyDescent="0.25"/>
    <row r="1580" customFormat="1" x14ac:dyDescent="0.25"/>
    <row r="1581" customFormat="1" x14ac:dyDescent="0.25"/>
    <row r="1582" customFormat="1" x14ac:dyDescent="0.25"/>
    <row r="1583" customFormat="1" x14ac:dyDescent="0.25"/>
    <row r="1584" customFormat="1" x14ac:dyDescent="0.25"/>
    <row r="1585" customFormat="1" x14ac:dyDescent="0.25"/>
    <row r="1586" customFormat="1" x14ac:dyDescent="0.25"/>
    <row r="1587" customFormat="1" x14ac:dyDescent="0.25"/>
    <row r="1588" customFormat="1" x14ac:dyDescent="0.25"/>
    <row r="1589" customFormat="1" x14ac:dyDescent="0.25"/>
    <row r="1590" customFormat="1" x14ac:dyDescent="0.25"/>
    <row r="1591" customFormat="1" x14ac:dyDescent="0.25"/>
    <row r="1592" customFormat="1" x14ac:dyDescent="0.25"/>
    <row r="1593" customFormat="1" x14ac:dyDescent="0.25"/>
    <row r="1594" customFormat="1" x14ac:dyDescent="0.25"/>
    <row r="1595" customFormat="1" x14ac:dyDescent="0.25"/>
    <row r="1596" customFormat="1" x14ac:dyDescent="0.25"/>
    <row r="1597" customFormat="1" x14ac:dyDescent="0.25"/>
    <row r="1598" customFormat="1" x14ac:dyDescent="0.25"/>
    <row r="1599" customFormat="1" x14ac:dyDescent="0.25"/>
    <row r="1600" customFormat="1" x14ac:dyDescent="0.25"/>
    <row r="1601" customFormat="1" x14ac:dyDescent="0.25"/>
    <row r="1602" customFormat="1" x14ac:dyDescent="0.25"/>
    <row r="1603" customFormat="1" x14ac:dyDescent="0.25"/>
    <row r="1604" customFormat="1" x14ac:dyDescent="0.25"/>
    <row r="1605" customFormat="1" x14ac:dyDescent="0.25"/>
    <row r="1606" customFormat="1" x14ac:dyDescent="0.25"/>
    <row r="1607" customFormat="1" x14ac:dyDescent="0.25"/>
    <row r="1608" customFormat="1" x14ac:dyDescent="0.25"/>
    <row r="1609" customFormat="1" x14ac:dyDescent="0.25"/>
    <row r="1610" customFormat="1" x14ac:dyDescent="0.25"/>
    <row r="1611" customFormat="1" x14ac:dyDescent="0.25"/>
    <row r="1612" customFormat="1" x14ac:dyDescent="0.25"/>
    <row r="1613" customFormat="1" x14ac:dyDescent="0.25"/>
    <row r="1614" customFormat="1" x14ac:dyDescent="0.25"/>
    <row r="1615" customFormat="1" x14ac:dyDescent="0.25"/>
    <row r="1616" customFormat="1" x14ac:dyDescent="0.25"/>
    <row r="1617" customFormat="1" x14ac:dyDescent="0.25"/>
    <row r="1618" customFormat="1" x14ac:dyDescent="0.25"/>
    <row r="1619" customFormat="1" x14ac:dyDescent="0.25"/>
    <row r="1620" customFormat="1" x14ac:dyDescent="0.25"/>
    <row r="1621" customFormat="1" x14ac:dyDescent="0.25"/>
    <row r="1622" customFormat="1" x14ac:dyDescent="0.25"/>
    <row r="1623" customFormat="1" x14ac:dyDescent="0.25"/>
    <row r="1624" customFormat="1" x14ac:dyDescent="0.25"/>
    <row r="1625" customFormat="1" x14ac:dyDescent="0.25"/>
    <row r="1626" customFormat="1" x14ac:dyDescent="0.25"/>
    <row r="1627" customFormat="1" x14ac:dyDescent="0.25"/>
    <row r="1628" customFormat="1" x14ac:dyDescent="0.25"/>
    <row r="1629" customFormat="1" x14ac:dyDescent="0.25"/>
    <row r="1630" customFormat="1" x14ac:dyDescent="0.25"/>
    <row r="1631" customFormat="1" x14ac:dyDescent="0.25"/>
    <row r="1632" customFormat="1" x14ac:dyDescent="0.25"/>
    <row r="1633" customFormat="1" x14ac:dyDescent="0.25"/>
    <row r="1634" customFormat="1" x14ac:dyDescent="0.25"/>
    <row r="1635" customFormat="1" x14ac:dyDescent="0.25"/>
    <row r="1636" customFormat="1" x14ac:dyDescent="0.25"/>
    <row r="1637" customFormat="1" x14ac:dyDescent="0.25"/>
    <row r="1638" customFormat="1" x14ac:dyDescent="0.25"/>
    <row r="1639" customFormat="1" x14ac:dyDescent="0.25"/>
    <row r="1640" customFormat="1" x14ac:dyDescent="0.25"/>
    <row r="1641" customFormat="1" x14ac:dyDescent="0.25"/>
    <row r="1642" customFormat="1" x14ac:dyDescent="0.25"/>
    <row r="1643" customFormat="1" x14ac:dyDescent="0.25"/>
    <row r="1644" customFormat="1" x14ac:dyDescent="0.25"/>
    <row r="1645" customFormat="1" x14ac:dyDescent="0.25"/>
    <row r="1646" customFormat="1" x14ac:dyDescent="0.25"/>
    <row r="1647" customFormat="1" x14ac:dyDescent="0.25"/>
    <row r="1648" customFormat="1" x14ac:dyDescent="0.25"/>
    <row r="1649" customFormat="1" x14ac:dyDescent="0.25"/>
    <row r="1650" customFormat="1" x14ac:dyDescent="0.25"/>
    <row r="1651" customFormat="1" x14ac:dyDescent="0.25"/>
    <row r="1652" customFormat="1" x14ac:dyDescent="0.25"/>
    <row r="1653" customFormat="1" x14ac:dyDescent="0.25"/>
    <row r="1654" customFormat="1" x14ac:dyDescent="0.25"/>
    <row r="1655" customFormat="1" x14ac:dyDescent="0.25"/>
    <row r="1656" customFormat="1" x14ac:dyDescent="0.25"/>
    <row r="1657" customFormat="1" x14ac:dyDescent="0.25"/>
    <row r="1658" customFormat="1" x14ac:dyDescent="0.25"/>
    <row r="1659" customFormat="1" x14ac:dyDescent="0.25"/>
    <row r="1660" customFormat="1" x14ac:dyDescent="0.25"/>
    <row r="1661" customFormat="1" x14ac:dyDescent="0.25"/>
    <row r="1662" customFormat="1" x14ac:dyDescent="0.25"/>
    <row r="1663" customFormat="1" x14ac:dyDescent="0.25"/>
    <row r="1664" customFormat="1" x14ac:dyDescent="0.25"/>
    <row r="1665" customFormat="1" x14ac:dyDescent="0.25"/>
    <row r="1666" customFormat="1" x14ac:dyDescent="0.25"/>
    <row r="1667" customFormat="1" x14ac:dyDescent="0.25"/>
    <row r="1668" customFormat="1" x14ac:dyDescent="0.25"/>
    <row r="1669" customFormat="1" x14ac:dyDescent="0.25"/>
    <row r="1670" customFormat="1" x14ac:dyDescent="0.25"/>
    <row r="1671" customFormat="1" x14ac:dyDescent="0.25"/>
    <row r="1672" customFormat="1" x14ac:dyDescent="0.25"/>
    <row r="1673" customFormat="1" x14ac:dyDescent="0.25"/>
    <row r="1674" customFormat="1" x14ac:dyDescent="0.25"/>
    <row r="1675" customFormat="1" x14ac:dyDescent="0.25"/>
    <row r="1676" customFormat="1" x14ac:dyDescent="0.25"/>
    <row r="1677" customFormat="1" x14ac:dyDescent="0.25"/>
    <row r="1678" customFormat="1" x14ac:dyDescent="0.25"/>
    <row r="1679" customFormat="1" x14ac:dyDescent="0.25"/>
    <row r="1680" customFormat="1" x14ac:dyDescent="0.25"/>
    <row r="1681" customFormat="1" x14ac:dyDescent="0.25"/>
    <row r="1682" customFormat="1" x14ac:dyDescent="0.25"/>
    <row r="1683" customFormat="1" x14ac:dyDescent="0.25"/>
    <row r="1684" customFormat="1" x14ac:dyDescent="0.25"/>
    <row r="1685" customFormat="1" x14ac:dyDescent="0.25"/>
    <row r="1686" customFormat="1" x14ac:dyDescent="0.25"/>
    <row r="1687" customFormat="1" x14ac:dyDescent="0.25"/>
    <row r="1688" customFormat="1" x14ac:dyDescent="0.25"/>
    <row r="1689" customFormat="1" x14ac:dyDescent="0.25"/>
    <row r="1690" customFormat="1" x14ac:dyDescent="0.25"/>
    <row r="1691" customFormat="1" x14ac:dyDescent="0.25"/>
    <row r="1692" customFormat="1" x14ac:dyDescent="0.25"/>
    <row r="1693" customFormat="1" x14ac:dyDescent="0.25"/>
    <row r="1694" customFormat="1" x14ac:dyDescent="0.25"/>
    <row r="1695" customFormat="1" x14ac:dyDescent="0.25"/>
    <row r="1696" customFormat="1" x14ac:dyDescent="0.25"/>
    <row r="1697" customFormat="1" x14ac:dyDescent="0.25"/>
    <row r="1698" customFormat="1" x14ac:dyDescent="0.25"/>
    <row r="1699" customFormat="1" x14ac:dyDescent="0.25"/>
    <row r="1700" customFormat="1" x14ac:dyDescent="0.25"/>
    <row r="1701" customFormat="1" x14ac:dyDescent="0.25"/>
    <row r="1702" customFormat="1" x14ac:dyDescent="0.25"/>
    <row r="1703" customFormat="1" x14ac:dyDescent="0.25"/>
    <row r="1704" customFormat="1" x14ac:dyDescent="0.25"/>
    <row r="1705" customFormat="1" x14ac:dyDescent="0.25"/>
    <row r="1706" customFormat="1" x14ac:dyDescent="0.25"/>
    <row r="1707" customFormat="1" x14ac:dyDescent="0.25"/>
    <row r="1708" customFormat="1" x14ac:dyDescent="0.25"/>
    <row r="1709" customFormat="1" x14ac:dyDescent="0.25"/>
    <row r="1710" customFormat="1" x14ac:dyDescent="0.25"/>
    <row r="1711" customFormat="1" x14ac:dyDescent="0.25"/>
    <row r="1712" customFormat="1" x14ac:dyDescent="0.25"/>
    <row r="1713" customFormat="1" x14ac:dyDescent="0.25"/>
    <row r="1714" customFormat="1" x14ac:dyDescent="0.25"/>
    <row r="1715" customFormat="1" x14ac:dyDescent="0.25"/>
    <row r="1716" customFormat="1" x14ac:dyDescent="0.25"/>
    <row r="1717" customFormat="1" x14ac:dyDescent="0.25"/>
    <row r="1718" customFormat="1" x14ac:dyDescent="0.25"/>
    <row r="1719" customFormat="1" x14ac:dyDescent="0.25"/>
    <row r="1720" customFormat="1" x14ac:dyDescent="0.25"/>
    <row r="1721" customFormat="1" x14ac:dyDescent="0.25"/>
    <row r="1722" customFormat="1" x14ac:dyDescent="0.25"/>
    <row r="1723" customFormat="1" x14ac:dyDescent="0.25"/>
    <row r="1724" customFormat="1" x14ac:dyDescent="0.25"/>
    <row r="1725" customFormat="1" x14ac:dyDescent="0.25"/>
    <row r="1726" customFormat="1" x14ac:dyDescent="0.25"/>
    <row r="1727" customFormat="1" x14ac:dyDescent="0.25"/>
    <row r="1728" customFormat="1" x14ac:dyDescent="0.25"/>
    <row r="1729" customFormat="1" x14ac:dyDescent="0.25"/>
    <row r="1730" customFormat="1" x14ac:dyDescent="0.25"/>
    <row r="1731" customFormat="1" x14ac:dyDescent="0.25"/>
    <row r="1732" customFormat="1" x14ac:dyDescent="0.25"/>
    <row r="1733" customFormat="1" x14ac:dyDescent="0.25"/>
    <row r="1734" customFormat="1" x14ac:dyDescent="0.25"/>
    <row r="1735" customFormat="1" x14ac:dyDescent="0.25"/>
    <row r="1736" customFormat="1" x14ac:dyDescent="0.25"/>
    <row r="1737" customFormat="1" x14ac:dyDescent="0.25"/>
    <row r="1738" customFormat="1" x14ac:dyDescent="0.25"/>
    <row r="1739" customFormat="1" x14ac:dyDescent="0.25"/>
    <row r="1740" customFormat="1" x14ac:dyDescent="0.25"/>
    <row r="1741" customFormat="1" x14ac:dyDescent="0.25"/>
    <row r="1742" customFormat="1" x14ac:dyDescent="0.25"/>
    <row r="1743" customFormat="1" x14ac:dyDescent="0.25"/>
    <row r="1744" customFormat="1" x14ac:dyDescent="0.25"/>
    <row r="1745" customFormat="1" x14ac:dyDescent="0.25"/>
    <row r="1746" customFormat="1" x14ac:dyDescent="0.25"/>
    <row r="1747" customFormat="1" x14ac:dyDescent="0.25"/>
    <row r="1748" customFormat="1" x14ac:dyDescent="0.25"/>
    <row r="1749" customFormat="1" x14ac:dyDescent="0.25"/>
    <row r="1750" customFormat="1" x14ac:dyDescent="0.25"/>
    <row r="1751" customFormat="1" x14ac:dyDescent="0.25"/>
    <row r="1752" customFormat="1" x14ac:dyDescent="0.25"/>
    <row r="1753" customFormat="1" x14ac:dyDescent="0.25"/>
    <row r="1754" customFormat="1" x14ac:dyDescent="0.25"/>
    <row r="1755" customFormat="1" x14ac:dyDescent="0.25"/>
    <row r="1756" customFormat="1" x14ac:dyDescent="0.25"/>
    <row r="1757" customFormat="1" x14ac:dyDescent="0.25"/>
    <row r="1758" customFormat="1" x14ac:dyDescent="0.25"/>
    <row r="1759" customFormat="1" x14ac:dyDescent="0.25"/>
    <row r="1760" customFormat="1" x14ac:dyDescent="0.25"/>
    <row r="1761" customFormat="1" x14ac:dyDescent="0.25"/>
    <row r="1762" customFormat="1" x14ac:dyDescent="0.25"/>
    <row r="1763" customFormat="1" x14ac:dyDescent="0.25"/>
    <row r="1764" customFormat="1" x14ac:dyDescent="0.25"/>
    <row r="1765" customFormat="1" x14ac:dyDescent="0.25"/>
    <row r="1766" customFormat="1" x14ac:dyDescent="0.25"/>
    <row r="1767" customFormat="1" x14ac:dyDescent="0.25"/>
    <row r="1768" customFormat="1" x14ac:dyDescent="0.25"/>
    <row r="1769" customFormat="1" x14ac:dyDescent="0.25"/>
    <row r="1770" customFormat="1" x14ac:dyDescent="0.25"/>
    <row r="1771" customFormat="1" x14ac:dyDescent="0.25"/>
    <row r="1772" customFormat="1" x14ac:dyDescent="0.25"/>
    <row r="1773" customFormat="1" x14ac:dyDescent="0.25"/>
    <row r="1774" customFormat="1" x14ac:dyDescent="0.25"/>
    <row r="1775" customFormat="1" x14ac:dyDescent="0.25"/>
    <row r="1776" customFormat="1" x14ac:dyDescent="0.25"/>
    <row r="1777" customFormat="1" x14ac:dyDescent="0.25"/>
    <row r="1778" customFormat="1" x14ac:dyDescent="0.25"/>
    <row r="1779" customFormat="1" x14ac:dyDescent="0.25"/>
    <row r="1780" customFormat="1" x14ac:dyDescent="0.25"/>
    <row r="1781" customFormat="1" x14ac:dyDescent="0.25"/>
    <row r="1782" customFormat="1" x14ac:dyDescent="0.25"/>
    <row r="1783" customFormat="1" x14ac:dyDescent="0.25"/>
    <row r="1784" customFormat="1" x14ac:dyDescent="0.25"/>
    <row r="1785" customFormat="1" x14ac:dyDescent="0.25"/>
    <row r="1786" customFormat="1" x14ac:dyDescent="0.25"/>
    <row r="1787" customFormat="1" x14ac:dyDescent="0.25"/>
    <row r="1788" customFormat="1" x14ac:dyDescent="0.25"/>
    <row r="1789" customFormat="1" x14ac:dyDescent="0.25"/>
    <row r="1790" customFormat="1" x14ac:dyDescent="0.25"/>
    <row r="1791" customFormat="1" x14ac:dyDescent="0.25"/>
    <row r="1792" customFormat="1" x14ac:dyDescent="0.25"/>
    <row r="1793" customFormat="1" x14ac:dyDescent="0.25"/>
    <row r="1794" customFormat="1" x14ac:dyDescent="0.25"/>
    <row r="1795" customFormat="1" x14ac:dyDescent="0.25"/>
    <row r="1796" customFormat="1" x14ac:dyDescent="0.25"/>
    <row r="1797" customFormat="1" x14ac:dyDescent="0.25"/>
    <row r="1798" customFormat="1" x14ac:dyDescent="0.25"/>
    <row r="1799" customFormat="1" x14ac:dyDescent="0.25"/>
    <row r="1800" customFormat="1" x14ac:dyDescent="0.25"/>
    <row r="1801" customFormat="1" x14ac:dyDescent="0.25"/>
    <row r="1802" customFormat="1" x14ac:dyDescent="0.25"/>
    <row r="1803" customFormat="1" x14ac:dyDescent="0.25"/>
    <row r="1804" customFormat="1" x14ac:dyDescent="0.25"/>
    <row r="1805" customFormat="1" x14ac:dyDescent="0.25"/>
    <row r="1806" customFormat="1" x14ac:dyDescent="0.25"/>
    <row r="1807" customFormat="1" x14ac:dyDescent="0.25"/>
    <row r="1808" customFormat="1" x14ac:dyDescent="0.25"/>
    <row r="1809" customFormat="1" x14ac:dyDescent="0.25"/>
    <row r="1810" customFormat="1" x14ac:dyDescent="0.25"/>
    <row r="1811" customFormat="1" x14ac:dyDescent="0.25"/>
    <row r="1812" customFormat="1" x14ac:dyDescent="0.25"/>
    <row r="1813" customFormat="1" x14ac:dyDescent="0.25"/>
    <row r="1814" customFormat="1" x14ac:dyDescent="0.25"/>
    <row r="1815" customFormat="1" x14ac:dyDescent="0.25"/>
    <row r="1816" customFormat="1" x14ac:dyDescent="0.25"/>
    <row r="1817" customFormat="1" x14ac:dyDescent="0.25"/>
    <row r="1818" customFormat="1" x14ac:dyDescent="0.25"/>
    <row r="1819" customFormat="1" x14ac:dyDescent="0.25"/>
    <row r="1820" customFormat="1" x14ac:dyDescent="0.25"/>
    <row r="1821" customFormat="1" x14ac:dyDescent="0.25"/>
    <row r="1822" customFormat="1" x14ac:dyDescent="0.25"/>
    <row r="1823" customFormat="1" x14ac:dyDescent="0.25"/>
    <row r="1824" customFormat="1" x14ac:dyDescent="0.25"/>
    <row r="1825" customFormat="1" x14ac:dyDescent="0.25"/>
    <row r="1826" customFormat="1" x14ac:dyDescent="0.25"/>
    <row r="1827" customFormat="1" x14ac:dyDescent="0.25"/>
    <row r="1828" customFormat="1" x14ac:dyDescent="0.25"/>
    <row r="1829" customFormat="1" x14ac:dyDescent="0.25"/>
    <row r="1830" customFormat="1" x14ac:dyDescent="0.25"/>
    <row r="1831" customFormat="1" x14ac:dyDescent="0.25"/>
    <row r="1832" customFormat="1" x14ac:dyDescent="0.25"/>
    <row r="1833" customFormat="1" x14ac:dyDescent="0.25"/>
    <row r="1834" customFormat="1" x14ac:dyDescent="0.25"/>
    <row r="1835" customFormat="1" x14ac:dyDescent="0.25"/>
    <row r="1836" customFormat="1" x14ac:dyDescent="0.25"/>
    <row r="1837" customFormat="1" x14ac:dyDescent="0.25"/>
    <row r="1838" customFormat="1" x14ac:dyDescent="0.25"/>
    <row r="1839" customFormat="1" x14ac:dyDescent="0.25"/>
    <row r="1840" customFormat="1" x14ac:dyDescent="0.25"/>
    <row r="1841" customFormat="1" x14ac:dyDescent="0.25"/>
    <row r="1842" customFormat="1" x14ac:dyDescent="0.25"/>
    <row r="1843" customFormat="1" x14ac:dyDescent="0.25"/>
    <row r="1844" customFormat="1" x14ac:dyDescent="0.25"/>
    <row r="1845" customFormat="1" x14ac:dyDescent="0.25"/>
    <row r="1846" customFormat="1" x14ac:dyDescent="0.25"/>
    <row r="1847" customFormat="1" x14ac:dyDescent="0.25"/>
    <row r="1848" customFormat="1" x14ac:dyDescent="0.25"/>
    <row r="1849" customFormat="1" x14ac:dyDescent="0.25"/>
    <row r="1850" customFormat="1" x14ac:dyDescent="0.25"/>
    <row r="1851" customFormat="1" x14ac:dyDescent="0.25"/>
    <row r="1852" customFormat="1" x14ac:dyDescent="0.25"/>
    <row r="1853" customFormat="1" x14ac:dyDescent="0.25"/>
    <row r="1854" customFormat="1" x14ac:dyDescent="0.25"/>
    <row r="1855" customFormat="1" x14ac:dyDescent="0.25"/>
    <row r="1856" customFormat="1" x14ac:dyDescent="0.25"/>
    <row r="1857" customFormat="1" x14ac:dyDescent="0.25"/>
    <row r="1858" customFormat="1" x14ac:dyDescent="0.25"/>
    <row r="1859" customFormat="1" x14ac:dyDescent="0.25"/>
    <row r="1860" customFormat="1" x14ac:dyDescent="0.25"/>
    <row r="1861" customFormat="1" x14ac:dyDescent="0.25"/>
    <row r="1862" customFormat="1" x14ac:dyDescent="0.25"/>
    <row r="1863" customFormat="1" x14ac:dyDescent="0.25"/>
    <row r="1864" customFormat="1" x14ac:dyDescent="0.25"/>
    <row r="1865" customFormat="1" x14ac:dyDescent="0.25"/>
    <row r="1866" customFormat="1" x14ac:dyDescent="0.25"/>
    <row r="1867" customFormat="1" x14ac:dyDescent="0.25"/>
    <row r="1868" customFormat="1" x14ac:dyDescent="0.25"/>
    <row r="1869" customFormat="1" x14ac:dyDescent="0.25"/>
    <row r="1870" customFormat="1" x14ac:dyDescent="0.25"/>
    <row r="1871" customFormat="1" x14ac:dyDescent="0.25"/>
    <row r="1872" customFormat="1" x14ac:dyDescent="0.25"/>
    <row r="1873" customFormat="1" x14ac:dyDescent="0.25"/>
    <row r="1874" customFormat="1" x14ac:dyDescent="0.25"/>
    <row r="1875" customFormat="1" x14ac:dyDescent="0.25"/>
    <row r="1876" customFormat="1" x14ac:dyDescent="0.25"/>
    <row r="1877" customFormat="1" x14ac:dyDescent="0.25"/>
    <row r="1878" customFormat="1" x14ac:dyDescent="0.25"/>
    <row r="1879" customFormat="1" x14ac:dyDescent="0.25"/>
    <row r="1880" customFormat="1" x14ac:dyDescent="0.25"/>
    <row r="1881" customFormat="1" x14ac:dyDescent="0.25"/>
    <row r="1882" customFormat="1" x14ac:dyDescent="0.25"/>
    <row r="1883" customFormat="1" x14ac:dyDescent="0.25"/>
    <row r="1884" customFormat="1" x14ac:dyDescent="0.25"/>
    <row r="1885" customFormat="1" x14ac:dyDescent="0.25"/>
    <row r="1886" customFormat="1" x14ac:dyDescent="0.25"/>
    <row r="1887" customFormat="1" x14ac:dyDescent="0.25"/>
    <row r="1888" customFormat="1" x14ac:dyDescent="0.25"/>
    <row r="1889" customFormat="1" x14ac:dyDescent="0.25"/>
    <row r="1890" customFormat="1" x14ac:dyDescent="0.25"/>
    <row r="1891" customFormat="1" x14ac:dyDescent="0.25"/>
    <row r="1892" customFormat="1" x14ac:dyDescent="0.25"/>
    <row r="1893" customFormat="1" x14ac:dyDescent="0.25"/>
    <row r="1894" customFormat="1" x14ac:dyDescent="0.25"/>
    <row r="1895" customFormat="1" x14ac:dyDescent="0.25"/>
    <row r="1896" customFormat="1" x14ac:dyDescent="0.25"/>
    <row r="1897" customFormat="1" x14ac:dyDescent="0.25"/>
    <row r="1898" customFormat="1" x14ac:dyDescent="0.25"/>
    <row r="1899" customFormat="1" x14ac:dyDescent="0.25"/>
    <row r="1900" customFormat="1" x14ac:dyDescent="0.25"/>
    <row r="1901" customFormat="1" x14ac:dyDescent="0.25"/>
    <row r="1902" customFormat="1" x14ac:dyDescent="0.25"/>
    <row r="1903" customFormat="1" x14ac:dyDescent="0.25"/>
    <row r="1904" customFormat="1" x14ac:dyDescent="0.25"/>
    <row r="1905" customFormat="1" x14ac:dyDescent="0.25"/>
    <row r="1906" customFormat="1" x14ac:dyDescent="0.25"/>
    <row r="1907" customFormat="1" x14ac:dyDescent="0.25"/>
    <row r="1908" customFormat="1" x14ac:dyDescent="0.25"/>
    <row r="1909" customFormat="1" x14ac:dyDescent="0.25"/>
    <row r="1910" customFormat="1" x14ac:dyDescent="0.25"/>
    <row r="1911" customFormat="1" x14ac:dyDescent="0.25"/>
    <row r="1912" customFormat="1" x14ac:dyDescent="0.25"/>
    <row r="1913" customFormat="1" x14ac:dyDescent="0.25"/>
    <row r="1914" customFormat="1" x14ac:dyDescent="0.25"/>
    <row r="1915" customFormat="1" x14ac:dyDescent="0.25"/>
    <row r="1916" customFormat="1" x14ac:dyDescent="0.25"/>
    <row r="1917" customFormat="1" x14ac:dyDescent="0.25"/>
    <row r="1918" customFormat="1" x14ac:dyDescent="0.25"/>
    <row r="1919" customFormat="1" x14ac:dyDescent="0.25"/>
    <row r="1920" customFormat="1" x14ac:dyDescent="0.25"/>
    <row r="1921" customFormat="1" x14ac:dyDescent="0.25"/>
    <row r="1922" customFormat="1" x14ac:dyDescent="0.25"/>
    <row r="1923" customFormat="1" x14ac:dyDescent="0.25"/>
    <row r="1924" customFormat="1" x14ac:dyDescent="0.25"/>
    <row r="1925" customFormat="1" x14ac:dyDescent="0.25"/>
    <row r="1926" customFormat="1" x14ac:dyDescent="0.25"/>
    <row r="1927" customFormat="1" x14ac:dyDescent="0.25"/>
    <row r="1928" customFormat="1" x14ac:dyDescent="0.25"/>
    <row r="1929" customFormat="1" x14ac:dyDescent="0.25"/>
    <row r="1930" customFormat="1" x14ac:dyDescent="0.25"/>
    <row r="1931" customFormat="1" x14ac:dyDescent="0.25"/>
    <row r="1932" customFormat="1" x14ac:dyDescent="0.25"/>
    <row r="1933" customFormat="1" x14ac:dyDescent="0.25"/>
    <row r="1934" customFormat="1" x14ac:dyDescent="0.25"/>
    <row r="1935" customFormat="1" x14ac:dyDescent="0.25"/>
    <row r="1936" customFormat="1" x14ac:dyDescent="0.25"/>
    <row r="1937" customFormat="1" x14ac:dyDescent="0.25"/>
    <row r="1938" customFormat="1" x14ac:dyDescent="0.25"/>
    <row r="1939" customFormat="1" x14ac:dyDescent="0.25"/>
    <row r="1940" customFormat="1" x14ac:dyDescent="0.25"/>
    <row r="1941" customFormat="1" x14ac:dyDescent="0.25"/>
    <row r="1942" customFormat="1" x14ac:dyDescent="0.25"/>
    <row r="1943" customFormat="1" x14ac:dyDescent="0.25"/>
    <row r="1944" customFormat="1" x14ac:dyDescent="0.25"/>
    <row r="1945" customFormat="1" x14ac:dyDescent="0.25"/>
    <row r="1946" customFormat="1" x14ac:dyDescent="0.25"/>
    <row r="1947" customFormat="1" x14ac:dyDescent="0.25"/>
    <row r="1948" customFormat="1" x14ac:dyDescent="0.25"/>
    <row r="1949" customFormat="1" x14ac:dyDescent="0.25"/>
    <row r="1950" customFormat="1" x14ac:dyDescent="0.25"/>
    <row r="1951" customFormat="1" x14ac:dyDescent="0.25"/>
    <row r="1952" customFormat="1" x14ac:dyDescent="0.25"/>
    <row r="1953" customFormat="1" x14ac:dyDescent="0.25"/>
    <row r="1954" customFormat="1" x14ac:dyDescent="0.25"/>
    <row r="1955" customFormat="1" x14ac:dyDescent="0.25"/>
    <row r="1956" customFormat="1" x14ac:dyDescent="0.25"/>
    <row r="1957" customFormat="1" x14ac:dyDescent="0.25"/>
    <row r="1958" customFormat="1" x14ac:dyDescent="0.25"/>
    <row r="1959" customFormat="1" x14ac:dyDescent="0.25"/>
    <row r="1960" customFormat="1" x14ac:dyDescent="0.25"/>
    <row r="1961" customFormat="1" x14ac:dyDescent="0.25"/>
    <row r="1962" customFormat="1" x14ac:dyDescent="0.25"/>
    <row r="1963" customFormat="1" x14ac:dyDescent="0.25"/>
    <row r="1964" customFormat="1" x14ac:dyDescent="0.25"/>
    <row r="1965" customFormat="1" x14ac:dyDescent="0.25"/>
    <row r="1966" customFormat="1" x14ac:dyDescent="0.25"/>
    <row r="1967" customFormat="1" x14ac:dyDescent="0.25"/>
    <row r="1968" customFormat="1" x14ac:dyDescent="0.25"/>
    <row r="1969" customFormat="1" x14ac:dyDescent="0.25"/>
    <row r="1970" customFormat="1" x14ac:dyDescent="0.25"/>
    <row r="1971" customFormat="1" x14ac:dyDescent="0.25"/>
    <row r="1972" customFormat="1" x14ac:dyDescent="0.25"/>
    <row r="1973" customFormat="1" x14ac:dyDescent="0.25"/>
    <row r="1974" customFormat="1" x14ac:dyDescent="0.25"/>
    <row r="1975" customFormat="1" x14ac:dyDescent="0.25"/>
    <row r="1976" customFormat="1" x14ac:dyDescent="0.25"/>
    <row r="1977" customFormat="1" x14ac:dyDescent="0.25"/>
    <row r="1978" customFormat="1" x14ac:dyDescent="0.25"/>
    <row r="1979" customFormat="1" x14ac:dyDescent="0.25"/>
    <row r="1980" customFormat="1" x14ac:dyDescent="0.25"/>
    <row r="1981" customFormat="1" x14ac:dyDescent="0.25"/>
    <row r="1982" customFormat="1" x14ac:dyDescent="0.25"/>
    <row r="1983" customFormat="1" x14ac:dyDescent="0.25"/>
    <row r="1984" customFormat="1" x14ac:dyDescent="0.25"/>
    <row r="1985" customFormat="1" x14ac:dyDescent="0.25"/>
    <row r="1986" customFormat="1" x14ac:dyDescent="0.25"/>
    <row r="1987" customFormat="1" x14ac:dyDescent="0.25"/>
    <row r="1988" customFormat="1" x14ac:dyDescent="0.25"/>
    <row r="1989" customFormat="1" x14ac:dyDescent="0.25"/>
    <row r="1990" customFormat="1" x14ac:dyDescent="0.25"/>
    <row r="1991" customFormat="1" x14ac:dyDescent="0.25"/>
    <row r="1992" customFormat="1" x14ac:dyDescent="0.25"/>
    <row r="1993" customFormat="1" x14ac:dyDescent="0.25"/>
    <row r="1994" customFormat="1" x14ac:dyDescent="0.25"/>
    <row r="1995" customFormat="1" x14ac:dyDescent="0.25"/>
    <row r="1996" customFormat="1" x14ac:dyDescent="0.25"/>
    <row r="1997" customFormat="1" x14ac:dyDescent="0.25"/>
    <row r="1998" customFormat="1" x14ac:dyDescent="0.25"/>
    <row r="1999" customFormat="1" x14ac:dyDescent="0.25"/>
    <row r="2000" customFormat="1" x14ac:dyDescent="0.25"/>
    <row r="2001" customFormat="1" x14ac:dyDescent="0.25"/>
    <row r="2002" customFormat="1" x14ac:dyDescent="0.25"/>
    <row r="2003" customFormat="1" x14ac:dyDescent="0.25"/>
    <row r="2004" customFormat="1" x14ac:dyDescent="0.25"/>
    <row r="2005" customFormat="1" x14ac:dyDescent="0.25"/>
    <row r="2006" customFormat="1" x14ac:dyDescent="0.25"/>
    <row r="2007" customFormat="1" x14ac:dyDescent="0.25"/>
    <row r="2008" customFormat="1" x14ac:dyDescent="0.25"/>
    <row r="2009" customFormat="1" x14ac:dyDescent="0.25"/>
    <row r="2010" customFormat="1" x14ac:dyDescent="0.25"/>
    <row r="2011" customFormat="1" x14ac:dyDescent="0.25"/>
    <row r="2012" customFormat="1" x14ac:dyDescent="0.25"/>
    <row r="2013" customFormat="1" x14ac:dyDescent="0.25"/>
    <row r="2014" customFormat="1" x14ac:dyDescent="0.25"/>
    <row r="2015" customFormat="1" x14ac:dyDescent="0.25"/>
    <row r="2016" customFormat="1" x14ac:dyDescent="0.25"/>
    <row r="2017" customFormat="1" x14ac:dyDescent="0.25"/>
    <row r="2018" customFormat="1" x14ac:dyDescent="0.25"/>
    <row r="2019" customFormat="1" x14ac:dyDescent="0.25"/>
    <row r="2020" customFormat="1" x14ac:dyDescent="0.25"/>
    <row r="2021" customFormat="1" x14ac:dyDescent="0.25"/>
    <row r="2022" customFormat="1" x14ac:dyDescent="0.25"/>
    <row r="2023" customFormat="1" x14ac:dyDescent="0.25"/>
    <row r="2024" customFormat="1" x14ac:dyDescent="0.25"/>
    <row r="2025" customFormat="1" x14ac:dyDescent="0.25"/>
    <row r="2026" customFormat="1" x14ac:dyDescent="0.25"/>
    <row r="2027" customFormat="1" x14ac:dyDescent="0.25"/>
    <row r="2028" customFormat="1" x14ac:dyDescent="0.25"/>
    <row r="2029" customFormat="1" x14ac:dyDescent="0.25"/>
    <row r="2030" customFormat="1" x14ac:dyDescent="0.25"/>
    <row r="2031" customFormat="1" x14ac:dyDescent="0.25"/>
    <row r="2032" customFormat="1" x14ac:dyDescent="0.25"/>
    <row r="2033" customFormat="1" x14ac:dyDescent="0.25"/>
    <row r="2034" customFormat="1" x14ac:dyDescent="0.25"/>
    <row r="2035" customFormat="1" x14ac:dyDescent="0.25"/>
    <row r="2036" customFormat="1" x14ac:dyDescent="0.25"/>
    <row r="2037" customFormat="1" x14ac:dyDescent="0.25"/>
    <row r="2038" customFormat="1" x14ac:dyDescent="0.25"/>
    <row r="2039" customFormat="1" x14ac:dyDescent="0.25"/>
    <row r="2040" customFormat="1" x14ac:dyDescent="0.25"/>
    <row r="2041" customFormat="1" x14ac:dyDescent="0.25"/>
    <row r="2042" customFormat="1" x14ac:dyDescent="0.25"/>
    <row r="2043" customFormat="1" x14ac:dyDescent="0.25"/>
    <row r="2044" customFormat="1" x14ac:dyDescent="0.25"/>
    <row r="2045" customFormat="1" x14ac:dyDescent="0.25"/>
    <row r="2046" customFormat="1" x14ac:dyDescent="0.25"/>
    <row r="2047" customFormat="1" x14ac:dyDescent="0.25"/>
    <row r="2048" customFormat="1" x14ac:dyDescent="0.25"/>
    <row r="2049" customFormat="1" x14ac:dyDescent="0.25"/>
    <row r="2050" customFormat="1" x14ac:dyDescent="0.25"/>
    <row r="2051" customFormat="1" x14ac:dyDescent="0.25"/>
    <row r="2052" customFormat="1" x14ac:dyDescent="0.25"/>
    <row r="2053" customFormat="1" x14ac:dyDescent="0.25"/>
    <row r="2054" customFormat="1" x14ac:dyDescent="0.25"/>
    <row r="2055" customFormat="1" x14ac:dyDescent="0.25"/>
    <row r="2056" customFormat="1" x14ac:dyDescent="0.25"/>
    <row r="2057" customFormat="1" x14ac:dyDescent="0.25"/>
    <row r="2058" customFormat="1" x14ac:dyDescent="0.25"/>
    <row r="2059" customFormat="1" x14ac:dyDescent="0.25"/>
    <row r="2060" customFormat="1" x14ac:dyDescent="0.25"/>
    <row r="2061" customFormat="1" x14ac:dyDescent="0.25"/>
    <row r="2062" customFormat="1" x14ac:dyDescent="0.25"/>
    <row r="2063" customFormat="1" x14ac:dyDescent="0.25"/>
    <row r="2064" customFormat="1" x14ac:dyDescent="0.25"/>
    <row r="2065" customFormat="1" x14ac:dyDescent="0.25"/>
    <row r="2066" customFormat="1" x14ac:dyDescent="0.25"/>
    <row r="2067" customFormat="1" x14ac:dyDescent="0.25"/>
    <row r="2068" customFormat="1" x14ac:dyDescent="0.25"/>
    <row r="2069" customFormat="1" x14ac:dyDescent="0.25"/>
    <row r="2070" customFormat="1" x14ac:dyDescent="0.25"/>
    <row r="2071" customFormat="1" x14ac:dyDescent="0.25"/>
    <row r="2072" customFormat="1" x14ac:dyDescent="0.25"/>
    <row r="2073" customFormat="1" x14ac:dyDescent="0.25"/>
    <row r="2074" customFormat="1" x14ac:dyDescent="0.25"/>
    <row r="2075" customFormat="1" x14ac:dyDescent="0.25"/>
    <row r="2076" customFormat="1" x14ac:dyDescent="0.25"/>
    <row r="2077" customFormat="1" x14ac:dyDescent="0.25"/>
    <row r="2078" customFormat="1" x14ac:dyDescent="0.25"/>
    <row r="2079" customFormat="1" x14ac:dyDescent="0.25"/>
    <row r="2080" customFormat="1" x14ac:dyDescent="0.25"/>
    <row r="2081" customFormat="1" x14ac:dyDescent="0.25"/>
    <row r="2082" customFormat="1" x14ac:dyDescent="0.25"/>
    <row r="2083" customFormat="1" x14ac:dyDescent="0.25"/>
    <row r="2084" customFormat="1" x14ac:dyDescent="0.25"/>
    <row r="2085" customFormat="1" x14ac:dyDescent="0.25"/>
    <row r="2086" customFormat="1" x14ac:dyDescent="0.25"/>
    <row r="2087" customFormat="1" x14ac:dyDescent="0.25"/>
    <row r="2088" customFormat="1" x14ac:dyDescent="0.25"/>
    <row r="2089" customFormat="1" x14ac:dyDescent="0.25"/>
    <row r="2090" customFormat="1" x14ac:dyDescent="0.25"/>
    <row r="2091" customFormat="1" x14ac:dyDescent="0.25"/>
    <row r="2092" customFormat="1" x14ac:dyDescent="0.25"/>
    <row r="2093" customFormat="1" x14ac:dyDescent="0.25"/>
    <row r="2094" customFormat="1" x14ac:dyDescent="0.25"/>
    <row r="2095" customFormat="1" x14ac:dyDescent="0.25"/>
    <row r="2096" customFormat="1" x14ac:dyDescent="0.25"/>
    <row r="2097" customFormat="1" x14ac:dyDescent="0.25"/>
    <row r="2098" customFormat="1" x14ac:dyDescent="0.25"/>
    <row r="2099" customFormat="1" x14ac:dyDescent="0.25"/>
    <row r="2100" customFormat="1" x14ac:dyDescent="0.25"/>
    <row r="2101" customFormat="1" x14ac:dyDescent="0.25"/>
    <row r="2102" customFormat="1" x14ac:dyDescent="0.25"/>
    <row r="2103" customFormat="1" x14ac:dyDescent="0.25"/>
    <row r="2104" customFormat="1" x14ac:dyDescent="0.25"/>
    <row r="2105" customFormat="1" x14ac:dyDescent="0.25"/>
    <row r="2106" customFormat="1" x14ac:dyDescent="0.25"/>
    <row r="2107" customFormat="1" x14ac:dyDescent="0.25"/>
    <row r="2108" customFormat="1" x14ac:dyDescent="0.25"/>
    <row r="2109" customFormat="1" x14ac:dyDescent="0.25"/>
    <row r="2110" customFormat="1" x14ac:dyDescent="0.25"/>
    <row r="2111" customFormat="1" x14ac:dyDescent="0.25"/>
    <row r="2112" customFormat="1" x14ac:dyDescent="0.25"/>
    <row r="2113" customFormat="1" x14ac:dyDescent="0.25"/>
    <row r="2114" customFormat="1" x14ac:dyDescent="0.25"/>
    <row r="2115" customFormat="1" x14ac:dyDescent="0.25"/>
    <row r="2116" customFormat="1" x14ac:dyDescent="0.25"/>
    <row r="2117" customFormat="1" x14ac:dyDescent="0.25"/>
    <row r="2118" customFormat="1" x14ac:dyDescent="0.25"/>
    <row r="2119" customFormat="1" x14ac:dyDescent="0.25"/>
    <row r="2120" customFormat="1" x14ac:dyDescent="0.25"/>
    <row r="2121" customFormat="1" x14ac:dyDescent="0.25"/>
    <row r="2122" customFormat="1" x14ac:dyDescent="0.25"/>
    <row r="2123" customFormat="1" x14ac:dyDescent="0.25"/>
    <row r="2124" customFormat="1" x14ac:dyDescent="0.25"/>
    <row r="2125" customFormat="1" x14ac:dyDescent="0.25"/>
    <row r="2126" customFormat="1" x14ac:dyDescent="0.25"/>
    <row r="2127" customFormat="1" x14ac:dyDescent="0.25"/>
    <row r="2128" customFormat="1" x14ac:dyDescent="0.25"/>
    <row r="2129" customFormat="1" x14ac:dyDescent="0.25"/>
    <row r="2130" customFormat="1" x14ac:dyDescent="0.25"/>
    <row r="2131" customFormat="1" x14ac:dyDescent="0.25"/>
    <row r="2132" customFormat="1" x14ac:dyDescent="0.25"/>
    <row r="2133" customFormat="1" x14ac:dyDescent="0.25"/>
    <row r="2134" customFormat="1" x14ac:dyDescent="0.25"/>
    <row r="2135" customFormat="1" x14ac:dyDescent="0.25"/>
    <row r="2136" customFormat="1" x14ac:dyDescent="0.25"/>
    <row r="2137" customFormat="1" x14ac:dyDescent="0.25"/>
    <row r="2138" customFormat="1" x14ac:dyDescent="0.25"/>
    <row r="2139" customFormat="1" x14ac:dyDescent="0.25"/>
    <row r="2140" customFormat="1" x14ac:dyDescent="0.25"/>
    <row r="2141" customFormat="1" x14ac:dyDescent="0.25"/>
    <row r="2142" customFormat="1" x14ac:dyDescent="0.25"/>
    <row r="2143" customFormat="1" x14ac:dyDescent="0.25"/>
    <row r="2144" customFormat="1" x14ac:dyDescent="0.25"/>
    <row r="2145" customFormat="1" x14ac:dyDescent="0.25"/>
    <row r="2146" customFormat="1" x14ac:dyDescent="0.25"/>
    <row r="2147" customFormat="1" x14ac:dyDescent="0.25"/>
    <row r="2148" customFormat="1" x14ac:dyDescent="0.25"/>
    <row r="2149" customFormat="1" x14ac:dyDescent="0.25"/>
    <row r="2150" customFormat="1" x14ac:dyDescent="0.25"/>
    <row r="2151" customFormat="1" x14ac:dyDescent="0.25"/>
    <row r="2152" customFormat="1" x14ac:dyDescent="0.25"/>
    <row r="2153" customFormat="1" x14ac:dyDescent="0.25"/>
    <row r="2154" customFormat="1" x14ac:dyDescent="0.25"/>
    <row r="2155" customFormat="1" x14ac:dyDescent="0.25"/>
    <row r="2156" customFormat="1" x14ac:dyDescent="0.25"/>
    <row r="2157" customFormat="1" x14ac:dyDescent="0.25"/>
    <row r="2158" customFormat="1" x14ac:dyDescent="0.25"/>
    <row r="2159" customFormat="1" x14ac:dyDescent="0.25"/>
    <row r="2160" customFormat="1" x14ac:dyDescent="0.25"/>
    <row r="2161" customFormat="1" x14ac:dyDescent="0.25"/>
    <row r="2162" customFormat="1" x14ac:dyDescent="0.25"/>
    <row r="2163" customFormat="1" x14ac:dyDescent="0.25"/>
    <row r="2164" customFormat="1" x14ac:dyDescent="0.25"/>
    <row r="2165" customFormat="1" x14ac:dyDescent="0.25"/>
    <row r="2166" customFormat="1" x14ac:dyDescent="0.25"/>
    <row r="2167" customFormat="1" x14ac:dyDescent="0.25"/>
    <row r="2168" customFormat="1" x14ac:dyDescent="0.25"/>
    <row r="2169" customFormat="1" x14ac:dyDescent="0.25"/>
    <row r="2170" customFormat="1" x14ac:dyDescent="0.25"/>
    <row r="2171" customFormat="1" x14ac:dyDescent="0.25"/>
    <row r="2172" customFormat="1" x14ac:dyDescent="0.25"/>
    <row r="2173" customFormat="1" x14ac:dyDescent="0.25"/>
    <row r="2174" customFormat="1" x14ac:dyDescent="0.25"/>
    <row r="2175" customFormat="1" x14ac:dyDescent="0.25"/>
    <row r="2176" customFormat="1" x14ac:dyDescent="0.25"/>
    <row r="2177" customFormat="1" x14ac:dyDescent="0.25"/>
    <row r="2178" customFormat="1" x14ac:dyDescent="0.25"/>
    <row r="2179" customFormat="1" x14ac:dyDescent="0.25"/>
    <row r="2180" customFormat="1" x14ac:dyDescent="0.25"/>
    <row r="2181" customFormat="1" x14ac:dyDescent="0.25"/>
    <row r="2182" customFormat="1" x14ac:dyDescent="0.25"/>
    <row r="2183" customFormat="1" x14ac:dyDescent="0.25"/>
    <row r="2184" customFormat="1" x14ac:dyDescent="0.25"/>
    <row r="2185" customFormat="1" x14ac:dyDescent="0.25"/>
    <row r="2186" customFormat="1" x14ac:dyDescent="0.25"/>
    <row r="2187" customFormat="1" x14ac:dyDescent="0.25"/>
    <row r="2188" customFormat="1" x14ac:dyDescent="0.25"/>
    <row r="2189" customFormat="1" x14ac:dyDescent="0.25"/>
    <row r="2190" customFormat="1" x14ac:dyDescent="0.25"/>
    <row r="2191" customFormat="1" x14ac:dyDescent="0.25"/>
    <row r="2192" customFormat="1" x14ac:dyDescent="0.25"/>
    <row r="2193" customFormat="1" x14ac:dyDescent="0.25"/>
    <row r="2194" customFormat="1" x14ac:dyDescent="0.25"/>
    <row r="2195" customFormat="1" x14ac:dyDescent="0.25"/>
    <row r="2196" customFormat="1" x14ac:dyDescent="0.25"/>
    <row r="2197" customFormat="1" x14ac:dyDescent="0.25"/>
    <row r="2198" customFormat="1" x14ac:dyDescent="0.25"/>
    <row r="2199" customFormat="1" x14ac:dyDescent="0.25"/>
    <row r="2200" customFormat="1" x14ac:dyDescent="0.25"/>
    <row r="2201" customFormat="1" x14ac:dyDescent="0.25"/>
    <row r="2202" customFormat="1" x14ac:dyDescent="0.25"/>
    <row r="2203" customFormat="1" x14ac:dyDescent="0.25"/>
    <row r="2204" customFormat="1" x14ac:dyDescent="0.25"/>
    <row r="2205" customFormat="1" x14ac:dyDescent="0.25"/>
    <row r="2206" customFormat="1" x14ac:dyDescent="0.25"/>
    <row r="2207" customFormat="1" x14ac:dyDescent="0.25"/>
    <row r="2208" customFormat="1" x14ac:dyDescent="0.25"/>
    <row r="2209" customFormat="1" x14ac:dyDescent="0.25"/>
    <row r="2210" customFormat="1" x14ac:dyDescent="0.25"/>
    <row r="2211" customFormat="1" x14ac:dyDescent="0.25"/>
    <row r="2212" customFormat="1" x14ac:dyDescent="0.25"/>
    <row r="2213" customFormat="1" x14ac:dyDescent="0.25"/>
    <row r="2214" customFormat="1" x14ac:dyDescent="0.25"/>
    <row r="2215" customFormat="1" x14ac:dyDescent="0.25"/>
    <row r="2216" customFormat="1" x14ac:dyDescent="0.25"/>
    <row r="2217" customFormat="1" x14ac:dyDescent="0.25"/>
    <row r="2218" customFormat="1" x14ac:dyDescent="0.25"/>
    <row r="2219" customFormat="1" x14ac:dyDescent="0.25"/>
    <row r="2220" customFormat="1" x14ac:dyDescent="0.25"/>
    <row r="2221" customFormat="1" x14ac:dyDescent="0.25"/>
    <row r="2222" customFormat="1" x14ac:dyDescent="0.25"/>
    <row r="2223" customFormat="1" x14ac:dyDescent="0.25"/>
    <row r="2224" customFormat="1" x14ac:dyDescent="0.25"/>
    <row r="2225" customFormat="1" x14ac:dyDescent="0.25"/>
    <row r="2226" customFormat="1" x14ac:dyDescent="0.25"/>
    <row r="2227" customFormat="1" x14ac:dyDescent="0.25"/>
    <row r="2228" customFormat="1" x14ac:dyDescent="0.25"/>
    <row r="2229" customFormat="1" x14ac:dyDescent="0.25"/>
    <row r="2230" customFormat="1" x14ac:dyDescent="0.25"/>
    <row r="2231" customFormat="1" x14ac:dyDescent="0.25"/>
    <row r="2232" customFormat="1" x14ac:dyDescent="0.25"/>
    <row r="2233" customFormat="1" x14ac:dyDescent="0.25"/>
    <row r="2234" customFormat="1" x14ac:dyDescent="0.25"/>
    <row r="2235" customFormat="1" x14ac:dyDescent="0.25"/>
    <row r="2236" customFormat="1" x14ac:dyDescent="0.25"/>
    <row r="2237" customFormat="1" x14ac:dyDescent="0.25"/>
    <row r="2238" customFormat="1" x14ac:dyDescent="0.25"/>
    <row r="2239" customFormat="1" x14ac:dyDescent="0.25"/>
    <row r="2240" customFormat="1" x14ac:dyDescent="0.25"/>
    <row r="2241" customFormat="1" x14ac:dyDescent="0.25"/>
    <row r="2242" customFormat="1" x14ac:dyDescent="0.25"/>
    <row r="2243" customFormat="1" x14ac:dyDescent="0.25"/>
    <row r="2244" customFormat="1" x14ac:dyDescent="0.25"/>
    <row r="2245" customFormat="1" x14ac:dyDescent="0.25"/>
    <row r="2246" customFormat="1" x14ac:dyDescent="0.25"/>
    <row r="2247" customFormat="1" x14ac:dyDescent="0.25"/>
    <row r="2248" customFormat="1" x14ac:dyDescent="0.25"/>
    <row r="2249" customFormat="1" x14ac:dyDescent="0.25"/>
    <row r="2250" customFormat="1" x14ac:dyDescent="0.25"/>
    <row r="2251" customFormat="1" x14ac:dyDescent="0.25"/>
    <row r="2252" customFormat="1" x14ac:dyDescent="0.25"/>
    <row r="2253" customFormat="1" x14ac:dyDescent="0.25"/>
    <row r="2254" customFormat="1" x14ac:dyDescent="0.25"/>
    <row r="2255" customFormat="1" x14ac:dyDescent="0.25"/>
    <row r="2256" customFormat="1" x14ac:dyDescent="0.25"/>
    <row r="2257" customFormat="1" x14ac:dyDescent="0.25"/>
    <row r="2258" customFormat="1" x14ac:dyDescent="0.25"/>
    <row r="2259" customFormat="1" x14ac:dyDescent="0.25"/>
    <row r="2260" customFormat="1" x14ac:dyDescent="0.25"/>
    <row r="2261" customFormat="1" x14ac:dyDescent="0.25"/>
    <row r="2262" customFormat="1" x14ac:dyDescent="0.25"/>
    <row r="2263" customFormat="1" x14ac:dyDescent="0.25"/>
    <row r="2264" customFormat="1" x14ac:dyDescent="0.25"/>
    <row r="2265" customFormat="1" x14ac:dyDescent="0.25"/>
    <row r="2266" customFormat="1" x14ac:dyDescent="0.25"/>
    <row r="2267" customFormat="1" x14ac:dyDescent="0.25"/>
    <row r="2268" customFormat="1" x14ac:dyDescent="0.25"/>
    <row r="2269" customFormat="1" x14ac:dyDescent="0.25"/>
    <row r="2270" customFormat="1" x14ac:dyDescent="0.25"/>
    <row r="2271" customFormat="1" x14ac:dyDescent="0.25"/>
    <row r="2272" customFormat="1" x14ac:dyDescent="0.25"/>
    <row r="2273" customFormat="1" x14ac:dyDescent="0.25"/>
    <row r="2274" customFormat="1" x14ac:dyDescent="0.25"/>
    <row r="2275" customFormat="1" x14ac:dyDescent="0.25"/>
    <row r="2276" customFormat="1" x14ac:dyDescent="0.25"/>
    <row r="2277" customFormat="1" x14ac:dyDescent="0.25"/>
    <row r="2278" customFormat="1" x14ac:dyDescent="0.25"/>
    <row r="2279" customFormat="1" x14ac:dyDescent="0.25"/>
    <row r="2280" customFormat="1" x14ac:dyDescent="0.25"/>
    <row r="2281" customFormat="1" x14ac:dyDescent="0.25"/>
    <row r="2282" customFormat="1" x14ac:dyDescent="0.25"/>
    <row r="2283" customFormat="1" x14ac:dyDescent="0.25"/>
    <row r="2284" customFormat="1" x14ac:dyDescent="0.25"/>
    <row r="2285" customFormat="1" x14ac:dyDescent="0.25"/>
    <row r="2286" customFormat="1" x14ac:dyDescent="0.25"/>
    <row r="2287" customFormat="1" x14ac:dyDescent="0.25"/>
    <row r="2288" customFormat="1" x14ac:dyDescent="0.25"/>
    <row r="2289" customFormat="1" x14ac:dyDescent="0.25"/>
    <row r="2290" customFormat="1" x14ac:dyDescent="0.25"/>
    <row r="2291" customFormat="1" x14ac:dyDescent="0.25"/>
    <row r="2292" customFormat="1" x14ac:dyDescent="0.25"/>
    <row r="2293" customFormat="1" x14ac:dyDescent="0.25"/>
    <row r="2294" customFormat="1" x14ac:dyDescent="0.25"/>
    <row r="2295" customFormat="1" x14ac:dyDescent="0.25"/>
    <row r="2296" customFormat="1" x14ac:dyDescent="0.25"/>
    <row r="2297" customFormat="1" x14ac:dyDescent="0.25"/>
    <row r="2298" customFormat="1" x14ac:dyDescent="0.25"/>
    <row r="2299" customFormat="1" x14ac:dyDescent="0.25"/>
    <row r="2300" customFormat="1" x14ac:dyDescent="0.25"/>
    <row r="2301" customFormat="1" x14ac:dyDescent="0.25"/>
    <row r="2302" customFormat="1" x14ac:dyDescent="0.25"/>
    <row r="2303" customFormat="1" x14ac:dyDescent="0.25"/>
    <row r="2304" customFormat="1" x14ac:dyDescent="0.25"/>
    <row r="2305" customFormat="1" x14ac:dyDescent="0.25"/>
    <row r="2306" customFormat="1" x14ac:dyDescent="0.25"/>
    <row r="2307" customFormat="1" x14ac:dyDescent="0.25"/>
    <row r="2308" customFormat="1" x14ac:dyDescent="0.25"/>
    <row r="2309" customFormat="1" x14ac:dyDescent="0.25"/>
    <row r="2310" customFormat="1" x14ac:dyDescent="0.25"/>
    <row r="2311" customFormat="1" x14ac:dyDescent="0.25"/>
    <row r="2312" customFormat="1" x14ac:dyDescent="0.25"/>
    <row r="2313" customFormat="1" x14ac:dyDescent="0.25"/>
    <row r="2314" customFormat="1" x14ac:dyDescent="0.25"/>
    <row r="2315" customFormat="1" x14ac:dyDescent="0.25"/>
    <row r="2316" customFormat="1" x14ac:dyDescent="0.25"/>
    <row r="2317" customFormat="1" x14ac:dyDescent="0.25"/>
    <row r="2318" customFormat="1" x14ac:dyDescent="0.25"/>
    <row r="2319" customFormat="1" x14ac:dyDescent="0.25"/>
    <row r="2320" customFormat="1" x14ac:dyDescent="0.25"/>
    <row r="2321" customFormat="1" x14ac:dyDescent="0.25"/>
    <row r="2322" customFormat="1" x14ac:dyDescent="0.25"/>
    <row r="2323" customFormat="1" x14ac:dyDescent="0.25"/>
    <row r="2324" customFormat="1" x14ac:dyDescent="0.25"/>
    <row r="2325" customFormat="1" x14ac:dyDescent="0.25"/>
    <row r="2326" customFormat="1" x14ac:dyDescent="0.25"/>
    <row r="2327" customFormat="1" x14ac:dyDescent="0.25"/>
    <row r="2328" customFormat="1" x14ac:dyDescent="0.25"/>
    <row r="2329" customFormat="1" x14ac:dyDescent="0.25"/>
    <row r="2330" customFormat="1" x14ac:dyDescent="0.25"/>
    <row r="2331" customFormat="1" x14ac:dyDescent="0.25"/>
    <row r="2332" customFormat="1" x14ac:dyDescent="0.25"/>
    <row r="2333" customFormat="1" x14ac:dyDescent="0.25"/>
    <row r="2334" customFormat="1" x14ac:dyDescent="0.25"/>
    <row r="2335" customFormat="1" x14ac:dyDescent="0.25"/>
    <row r="2336" customFormat="1" x14ac:dyDescent="0.25"/>
    <row r="2337" customFormat="1" x14ac:dyDescent="0.25"/>
    <row r="2338" customFormat="1" x14ac:dyDescent="0.25"/>
    <row r="2339" customFormat="1" x14ac:dyDescent="0.25"/>
    <row r="2340" customFormat="1" x14ac:dyDescent="0.25"/>
    <row r="2341" customFormat="1" x14ac:dyDescent="0.25"/>
    <row r="2342" customFormat="1" x14ac:dyDescent="0.25"/>
    <row r="2343" customFormat="1" x14ac:dyDescent="0.25"/>
    <row r="2344" customFormat="1" x14ac:dyDescent="0.25"/>
    <row r="2345" customFormat="1" x14ac:dyDescent="0.25"/>
    <row r="2346" customFormat="1" x14ac:dyDescent="0.25"/>
    <row r="2347" customFormat="1" x14ac:dyDescent="0.25"/>
    <row r="2348" customFormat="1" x14ac:dyDescent="0.25"/>
    <row r="2349" customFormat="1" x14ac:dyDescent="0.25"/>
    <row r="2350" customFormat="1" x14ac:dyDescent="0.25"/>
    <row r="2351" customFormat="1" x14ac:dyDescent="0.25"/>
    <row r="2352" customFormat="1" x14ac:dyDescent="0.25"/>
    <row r="2353" customFormat="1" x14ac:dyDescent="0.25"/>
    <row r="2354" customFormat="1" x14ac:dyDescent="0.25"/>
    <row r="2355" customFormat="1" x14ac:dyDescent="0.25"/>
    <row r="2356" customFormat="1" x14ac:dyDescent="0.25"/>
    <row r="2357" customFormat="1" x14ac:dyDescent="0.25"/>
    <row r="2358" customFormat="1" x14ac:dyDescent="0.25"/>
    <row r="2359" customFormat="1" x14ac:dyDescent="0.25"/>
    <row r="2360" customFormat="1" x14ac:dyDescent="0.25"/>
    <row r="2361" customFormat="1" x14ac:dyDescent="0.25"/>
    <row r="2362" customFormat="1" x14ac:dyDescent="0.25"/>
    <row r="2363" customFormat="1" x14ac:dyDescent="0.25"/>
    <row r="2364" customFormat="1" x14ac:dyDescent="0.25"/>
    <row r="2365" customFormat="1" x14ac:dyDescent="0.25"/>
    <row r="2366" customFormat="1" x14ac:dyDescent="0.25"/>
    <row r="2367" customFormat="1" x14ac:dyDescent="0.25"/>
    <row r="2368" customFormat="1" x14ac:dyDescent="0.25"/>
    <row r="2369" customFormat="1" x14ac:dyDescent="0.25"/>
    <row r="2370" customFormat="1" x14ac:dyDescent="0.25"/>
    <row r="2371" customFormat="1" x14ac:dyDescent="0.25"/>
    <row r="2372" customFormat="1" x14ac:dyDescent="0.25"/>
    <row r="2373" customFormat="1" x14ac:dyDescent="0.25"/>
    <row r="2374" customFormat="1" x14ac:dyDescent="0.25"/>
    <row r="2375" customFormat="1" x14ac:dyDescent="0.25"/>
    <row r="2376" customFormat="1" x14ac:dyDescent="0.25"/>
    <row r="2377" customFormat="1" x14ac:dyDescent="0.25"/>
    <row r="2378" customFormat="1" x14ac:dyDescent="0.25"/>
    <row r="2379" customFormat="1" x14ac:dyDescent="0.25"/>
    <row r="2380" customFormat="1" x14ac:dyDescent="0.25"/>
    <row r="2381" customFormat="1" x14ac:dyDescent="0.25"/>
    <row r="2382" customFormat="1" x14ac:dyDescent="0.25"/>
    <row r="2383" customFormat="1" x14ac:dyDescent="0.25"/>
    <row r="2384" customFormat="1" x14ac:dyDescent="0.25"/>
    <row r="2385" customFormat="1" x14ac:dyDescent="0.25"/>
    <row r="2386" customFormat="1" x14ac:dyDescent="0.25"/>
    <row r="2387" customFormat="1" x14ac:dyDescent="0.25"/>
    <row r="2388" customFormat="1" x14ac:dyDescent="0.25"/>
    <row r="2389" customFormat="1" x14ac:dyDescent="0.25"/>
    <row r="2390" customFormat="1" x14ac:dyDescent="0.25"/>
    <row r="2391" customFormat="1" x14ac:dyDescent="0.25"/>
    <row r="2392" customFormat="1" x14ac:dyDescent="0.25"/>
    <row r="2393" customFormat="1" x14ac:dyDescent="0.25"/>
    <row r="2394" customFormat="1" x14ac:dyDescent="0.25"/>
    <row r="2395" customFormat="1" x14ac:dyDescent="0.25"/>
    <row r="2396" customFormat="1" x14ac:dyDescent="0.25"/>
    <row r="2397" customFormat="1" x14ac:dyDescent="0.25"/>
    <row r="2398" customFormat="1" x14ac:dyDescent="0.25"/>
    <row r="2399" customFormat="1" x14ac:dyDescent="0.25"/>
    <row r="2400" customFormat="1" x14ac:dyDescent="0.25"/>
    <row r="2401" customFormat="1" x14ac:dyDescent="0.25"/>
    <row r="2402" customFormat="1" x14ac:dyDescent="0.25"/>
    <row r="2403" customFormat="1" x14ac:dyDescent="0.25"/>
    <row r="2404" customFormat="1" x14ac:dyDescent="0.25"/>
    <row r="2405" customFormat="1" x14ac:dyDescent="0.25"/>
    <row r="2406" customFormat="1" x14ac:dyDescent="0.25"/>
    <row r="2407" customFormat="1" x14ac:dyDescent="0.25"/>
    <row r="2408" customFormat="1" x14ac:dyDescent="0.25"/>
    <row r="2409" customFormat="1" x14ac:dyDescent="0.25"/>
    <row r="2410" customFormat="1" x14ac:dyDescent="0.25"/>
    <row r="2411" customFormat="1" x14ac:dyDescent="0.25"/>
    <row r="2412" customFormat="1" x14ac:dyDescent="0.25"/>
    <row r="2413" customFormat="1" x14ac:dyDescent="0.25"/>
    <row r="2414" customFormat="1" x14ac:dyDescent="0.25"/>
    <row r="2415" customFormat="1" x14ac:dyDescent="0.25"/>
    <row r="2416" customFormat="1" x14ac:dyDescent="0.25"/>
    <row r="2417" customFormat="1" x14ac:dyDescent="0.25"/>
    <row r="2418" customFormat="1" x14ac:dyDescent="0.25"/>
    <row r="2419" customFormat="1" x14ac:dyDescent="0.25"/>
    <row r="2420" customFormat="1" x14ac:dyDescent="0.25"/>
    <row r="2421" customFormat="1" x14ac:dyDescent="0.25"/>
    <row r="2422" customFormat="1" x14ac:dyDescent="0.25"/>
    <row r="2423" customFormat="1" x14ac:dyDescent="0.25"/>
    <row r="2424" customFormat="1" x14ac:dyDescent="0.25"/>
    <row r="2425" customFormat="1" x14ac:dyDescent="0.25"/>
    <row r="2426" customFormat="1" x14ac:dyDescent="0.25"/>
    <row r="2427" customFormat="1" x14ac:dyDescent="0.25"/>
    <row r="2428" customFormat="1" x14ac:dyDescent="0.25"/>
    <row r="2429" customFormat="1" x14ac:dyDescent="0.25"/>
    <row r="2430" customFormat="1" x14ac:dyDescent="0.25"/>
    <row r="2431" customFormat="1" x14ac:dyDescent="0.25"/>
    <row r="2432" customFormat="1" x14ac:dyDescent="0.25"/>
    <row r="2433" customFormat="1" x14ac:dyDescent="0.25"/>
    <row r="2434" customFormat="1" x14ac:dyDescent="0.25"/>
    <row r="2435" customFormat="1" x14ac:dyDescent="0.25"/>
    <row r="2436" customFormat="1" x14ac:dyDescent="0.25"/>
    <row r="2437" customFormat="1" x14ac:dyDescent="0.25"/>
    <row r="2438" customFormat="1" x14ac:dyDescent="0.25"/>
    <row r="2439" customFormat="1" x14ac:dyDescent="0.25"/>
    <row r="2440" customFormat="1" x14ac:dyDescent="0.25"/>
    <row r="2441" customFormat="1" x14ac:dyDescent="0.25"/>
    <row r="2442" customFormat="1" x14ac:dyDescent="0.25"/>
    <row r="2443" customFormat="1" x14ac:dyDescent="0.25"/>
    <row r="2444" customFormat="1" x14ac:dyDescent="0.25"/>
    <row r="2445" customFormat="1" x14ac:dyDescent="0.25"/>
    <row r="2446" customFormat="1" x14ac:dyDescent="0.25"/>
    <row r="2447" customFormat="1" x14ac:dyDescent="0.25"/>
    <row r="2448" customFormat="1" x14ac:dyDescent="0.25"/>
    <row r="2449" customFormat="1" x14ac:dyDescent="0.25"/>
    <row r="2450" customFormat="1" x14ac:dyDescent="0.25"/>
    <row r="2451" customFormat="1" x14ac:dyDescent="0.25"/>
    <row r="2452" customFormat="1" x14ac:dyDescent="0.25"/>
    <row r="2453" customFormat="1" x14ac:dyDescent="0.25"/>
    <row r="2454" customFormat="1" x14ac:dyDescent="0.25"/>
    <row r="2455" customFormat="1" x14ac:dyDescent="0.25"/>
    <row r="2456" customFormat="1" x14ac:dyDescent="0.25"/>
    <row r="2457" customFormat="1" x14ac:dyDescent="0.25"/>
    <row r="2458" customFormat="1" x14ac:dyDescent="0.25"/>
    <row r="2459" customFormat="1" x14ac:dyDescent="0.25"/>
    <row r="2460" customFormat="1" x14ac:dyDescent="0.25"/>
    <row r="2461" customFormat="1" x14ac:dyDescent="0.25"/>
    <row r="2462" customFormat="1" x14ac:dyDescent="0.25"/>
    <row r="2463" customFormat="1" x14ac:dyDescent="0.25"/>
    <row r="2464" customFormat="1" x14ac:dyDescent="0.25"/>
    <row r="2465" customFormat="1" x14ac:dyDescent="0.25"/>
    <row r="2466" customFormat="1" x14ac:dyDescent="0.25"/>
    <row r="2467" customFormat="1" x14ac:dyDescent="0.25"/>
    <row r="2468" customFormat="1" x14ac:dyDescent="0.25"/>
    <row r="2469" customFormat="1" x14ac:dyDescent="0.25"/>
    <row r="2470" customFormat="1" x14ac:dyDescent="0.25"/>
    <row r="2471" customFormat="1" x14ac:dyDescent="0.25"/>
    <row r="2472" customFormat="1" x14ac:dyDescent="0.25"/>
    <row r="2473" customFormat="1" x14ac:dyDescent="0.25"/>
    <row r="2474" customFormat="1" x14ac:dyDescent="0.25"/>
    <row r="2475" customFormat="1" x14ac:dyDescent="0.25"/>
    <row r="2476" customFormat="1" x14ac:dyDescent="0.25"/>
    <row r="2477" customFormat="1" x14ac:dyDescent="0.25"/>
    <row r="2478" customFormat="1" x14ac:dyDescent="0.25"/>
    <row r="2479" customFormat="1" x14ac:dyDescent="0.25"/>
    <row r="2480" customFormat="1" x14ac:dyDescent="0.25"/>
    <row r="2481" customFormat="1" x14ac:dyDescent="0.25"/>
    <row r="2482" customFormat="1" x14ac:dyDescent="0.25"/>
    <row r="2483" customFormat="1" x14ac:dyDescent="0.25"/>
    <row r="2484" customFormat="1" x14ac:dyDescent="0.25"/>
    <row r="2485" customFormat="1" x14ac:dyDescent="0.25"/>
    <row r="2486" customFormat="1" x14ac:dyDescent="0.25"/>
    <row r="2487" customFormat="1" x14ac:dyDescent="0.25"/>
    <row r="2488" customFormat="1" x14ac:dyDescent="0.25"/>
    <row r="2489" customFormat="1" x14ac:dyDescent="0.25"/>
    <row r="2490" customFormat="1" x14ac:dyDescent="0.25"/>
    <row r="2491" customFormat="1" x14ac:dyDescent="0.25"/>
    <row r="2492" customFormat="1" x14ac:dyDescent="0.25"/>
    <row r="2493" customFormat="1" x14ac:dyDescent="0.25"/>
    <row r="2494" customFormat="1" x14ac:dyDescent="0.25"/>
    <row r="2495" customFormat="1" x14ac:dyDescent="0.25"/>
    <row r="2496" customFormat="1" x14ac:dyDescent="0.25"/>
    <row r="2497" customFormat="1" x14ac:dyDescent="0.25"/>
    <row r="2498" customFormat="1" x14ac:dyDescent="0.25"/>
    <row r="2499" customFormat="1" x14ac:dyDescent="0.25"/>
    <row r="2500" customFormat="1" x14ac:dyDescent="0.25"/>
    <row r="2501" customFormat="1" x14ac:dyDescent="0.25"/>
    <row r="2502" customFormat="1" x14ac:dyDescent="0.25"/>
    <row r="2503" customFormat="1" x14ac:dyDescent="0.25"/>
    <row r="2504" customFormat="1" x14ac:dyDescent="0.25"/>
    <row r="2505" customFormat="1" x14ac:dyDescent="0.25"/>
    <row r="2506" customFormat="1" x14ac:dyDescent="0.25"/>
    <row r="2507" customFormat="1" x14ac:dyDescent="0.25"/>
    <row r="2508" customFormat="1" x14ac:dyDescent="0.25"/>
    <row r="2509" customFormat="1" x14ac:dyDescent="0.25"/>
    <row r="2510" customFormat="1" x14ac:dyDescent="0.25"/>
    <row r="2511" customFormat="1" x14ac:dyDescent="0.25"/>
    <row r="2512" customFormat="1" x14ac:dyDescent="0.25"/>
    <row r="2513" customFormat="1" x14ac:dyDescent="0.25"/>
    <row r="2514" customFormat="1" x14ac:dyDescent="0.25"/>
    <row r="2515" customFormat="1" x14ac:dyDescent="0.25"/>
    <row r="2516" customFormat="1" x14ac:dyDescent="0.25"/>
    <row r="2517" customFormat="1" x14ac:dyDescent="0.25"/>
    <row r="2518" customFormat="1" x14ac:dyDescent="0.25"/>
    <row r="2519" customFormat="1" x14ac:dyDescent="0.25"/>
    <row r="2520" customFormat="1" x14ac:dyDescent="0.25"/>
    <row r="2521" customFormat="1" x14ac:dyDescent="0.25"/>
    <row r="2522" customFormat="1" x14ac:dyDescent="0.25"/>
    <row r="2523" customFormat="1" x14ac:dyDescent="0.25"/>
    <row r="2524" customFormat="1" x14ac:dyDescent="0.25"/>
    <row r="2525" customFormat="1" x14ac:dyDescent="0.25"/>
    <row r="2526" customFormat="1" x14ac:dyDescent="0.25"/>
    <row r="2527" customFormat="1" x14ac:dyDescent="0.25"/>
    <row r="2528" customFormat="1" x14ac:dyDescent="0.25"/>
    <row r="2529" customFormat="1" x14ac:dyDescent="0.25"/>
    <row r="2530" customFormat="1" x14ac:dyDescent="0.25"/>
    <row r="2531" customFormat="1" x14ac:dyDescent="0.25"/>
    <row r="2532" customFormat="1" x14ac:dyDescent="0.25"/>
    <row r="2533" customFormat="1" x14ac:dyDescent="0.25"/>
    <row r="2534" customFormat="1" x14ac:dyDescent="0.25"/>
    <row r="2535" customFormat="1" x14ac:dyDescent="0.25"/>
    <row r="2536" customFormat="1" x14ac:dyDescent="0.25"/>
    <row r="2537" customFormat="1" x14ac:dyDescent="0.25"/>
    <row r="2538" customFormat="1" x14ac:dyDescent="0.25"/>
    <row r="2539" customFormat="1" x14ac:dyDescent="0.25"/>
    <row r="2540" customFormat="1" x14ac:dyDescent="0.25"/>
    <row r="2541" customFormat="1" x14ac:dyDescent="0.25"/>
    <row r="2542" customFormat="1" x14ac:dyDescent="0.25"/>
    <row r="2543" customFormat="1" x14ac:dyDescent="0.25"/>
    <row r="2544" customFormat="1" x14ac:dyDescent="0.25"/>
    <row r="2545" customFormat="1" x14ac:dyDescent="0.25"/>
    <row r="2546" customFormat="1" x14ac:dyDescent="0.25"/>
    <row r="2547" customFormat="1" x14ac:dyDescent="0.25"/>
    <row r="2548" customFormat="1" x14ac:dyDescent="0.25"/>
    <row r="2549" customFormat="1" x14ac:dyDescent="0.25"/>
    <row r="2550" customFormat="1" x14ac:dyDescent="0.25"/>
    <row r="2551" customFormat="1" x14ac:dyDescent="0.25"/>
    <row r="2552" customFormat="1" x14ac:dyDescent="0.25"/>
    <row r="2553" customFormat="1" x14ac:dyDescent="0.25"/>
    <row r="2554" customFormat="1" x14ac:dyDescent="0.25"/>
    <row r="2555" customFormat="1" x14ac:dyDescent="0.25"/>
    <row r="2556" customFormat="1" x14ac:dyDescent="0.25"/>
    <row r="2557" customFormat="1" x14ac:dyDescent="0.25"/>
    <row r="2558" customFormat="1" x14ac:dyDescent="0.25"/>
    <row r="2559" customFormat="1" x14ac:dyDescent="0.25"/>
    <row r="2560" customFormat="1" x14ac:dyDescent="0.25"/>
    <row r="2561" customFormat="1" x14ac:dyDescent="0.25"/>
    <row r="2562" customFormat="1" x14ac:dyDescent="0.25"/>
    <row r="2563" customFormat="1" x14ac:dyDescent="0.25"/>
    <row r="2564" customFormat="1" x14ac:dyDescent="0.25"/>
    <row r="2565" customFormat="1" x14ac:dyDescent="0.25"/>
    <row r="2566" customFormat="1" x14ac:dyDescent="0.25"/>
    <row r="2567" customFormat="1" x14ac:dyDescent="0.25"/>
    <row r="2568" customFormat="1" x14ac:dyDescent="0.25"/>
    <row r="2569" customFormat="1" x14ac:dyDescent="0.25"/>
    <row r="2570" customFormat="1" x14ac:dyDescent="0.25"/>
    <row r="2571" customFormat="1" x14ac:dyDescent="0.25"/>
    <row r="2572" customFormat="1" x14ac:dyDescent="0.25"/>
    <row r="2573" customFormat="1" x14ac:dyDescent="0.25"/>
    <row r="2574" customFormat="1" x14ac:dyDescent="0.25"/>
    <row r="2575" customFormat="1" x14ac:dyDescent="0.25"/>
    <row r="2576" customFormat="1" x14ac:dyDescent="0.25"/>
    <row r="2577" customFormat="1" x14ac:dyDescent="0.25"/>
    <row r="2578" customFormat="1" x14ac:dyDescent="0.25"/>
    <row r="2579" customFormat="1" x14ac:dyDescent="0.25"/>
    <row r="2580" customFormat="1" x14ac:dyDescent="0.25"/>
    <row r="2581" customFormat="1" x14ac:dyDescent="0.25"/>
    <row r="2582" customFormat="1" x14ac:dyDescent="0.25"/>
    <row r="2583" customFormat="1" x14ac:dyDescent="0.25"/>
    <row r="2584" customFormat="1" x14ac:dyDescent="0.25"/>
    <row r="2585" customFormat="1" x14ac:dyDescent="0.25"/>
    <row r="2586" customFormat="1" x14ac:dyDescent="0.25"/>
    <row r="2587" customFormat="1" x14ac:dyDescent="0.25"/>
    <row r="2588" customFormat="1" x14ac:dyDescent="0.25"/>
    <row r="2589" customFormat="1" x14ac:dyDescent="0.25"/>
    <row r="2590" customFormat="1" x14ac:dyDescent="0.25"/>
    <row r="2591" customFormat="1" x14ac:dyDescent="0.25"/>
    <row r="2592" customFormat="1" x14ac:dyDescent="0.25"/>
    <row r="2593" customFormat="1" x14ac:dyDescent="0.25"/>
    <row r="2594" customFormat="1" x14ac:dyDescent="0.25"/>
    <row r="2595" customFormat="1" x14ac:dyDescent="0.25"/>
    <row r="2596" customFormat="1" x14ac:dyDescent="0.25"/>
    <row r="2597" customFormat="1" x14ac:dyDescent="0.25"/>
    <row r="2598" customFormat="1" x14ac:dyDescent="0.25"/>
    <row r="2599" customFormat="1" x14ac:dyDescent="0.25"/>
    <row r="2600" customFormat="1" x14ac:dyDescent="0.25"/>
    <row r="2601" customFormat="1" x14ac:dyDescent="0.25"/>
    <row r="2602" customFormat="1" x14ac:dyDescent="0.25"/>
    <row r="2603" customFormat="1" x14ac:dyDescent="0.25"/>
    <row r="2604" customFormat="1" x14ac:dyDescent="0.25"/>
    <row r="2605" customFormat="1" x14ac:dyDescent="0.25"/>
    <row r="2606" customFormat="1" x14ac:dyDescent="0.25"/>
    <row r="2607" customFormat="1" x14ac:dyDescent="0.25"/>
    <row r="2608" customFormat="1" x14ac:dyDescent="0.25"/>
    <row r="2609" customFormat="1" x14ac:dyDescent="0.25"/>
    <row r="2610" customFormat="1" x14ac:dyDescent="0.25"/>
    <row r="2611" customFormat="1" x14ac:dyDescent="0.25"/>
    <row r="2612" customFormat="1" x14ac:dyDescent="0.25"/>
    <row r="2613" customFormat="1" x14ac:dyDescent="0.25"/>
    <row r="2614" customFormat="1" x14ac:dyDescent="0.25"/>
    <row r="2615" customFormat="1" x14ac:dyDescent="0.25"/>
    <row r="2616" customFormat="1" x14ac:dyDescent="0.25"/>
    <row r="2617" customFormat="1" x14ac:dyDescent="0.25"/>
    <row r="2618" customFormat="1" x14ac:dyDescent="0.25"/>
    <row r="2619" customFormat="1" x14ac:dyDescent="0.25"/>
    <row r="2620" customFormat="1" x14ac:dyDescent="0.25"/>
    <row r="2621" customFormat="1" x14ac:dyDescent="0.25"/>
    <row r="2622" customFormat="1" x14ac:dyDescent="0.25"/>
    <row r="2623" customFormat="1" x14ac:dyDescent="0.25"/>
    <row r="2624" customFormat="1" x14ac:dyDescent="0.25"/>
    <row r="2625" customFormat="1" x14ac:dyDescent="0.25"/>
    <row r="2626" customFormat="1" x14ac:dyDescent="0.25"/>
    <row r="2627" customFormat="1" x14ac:dyDescent="0.25"/>
    <row r="2628" customFormat="1" x14ac:dyDescent="0.25"/>
    <row r="2629" customFormat="1" x14ac:dyDescent="0.25"/>
    <row r="2630" customFormat="1" x14ac:dyDescent="0.25"/>
    <row r="2631" customFormat="1" x14ac:dyDescent="0.25"/>
    <row r="2632" customFormat="1" x14ac:dyDescent="0.25"/>
    <row r="2633" customFormat="1" x14ac:dyDescent="0.25"/>
    <row r="2634" customFormat="1" x14ac:dyDescent="0.25"/>
    <row r="2635" customFormat="1" x14ac:dyDescent="0.25"/>
    <row r="2636" customFormat="1" x14ac:dyDescent="0.25"/>
    <row r="2637" customFormat="1" x14ac:dyDescent="0.25"/>
    <row r="2638" customFormat="1" x14ac:dyDescent="0.25"/>
    <row r="2639" customFormat="1" x14ac:dyDescent="0.25"/>
    <row r="2640" customFormat="1" x14ac:dyDescent="0.25"/>
    <row r="2641" customFormat="1" x14ac:dyDescent="0.25"/>
    <row r="2642" customFormat="1" x14ac:dyDescent="0.25"/>
    <row r="2643" customFormat="1" x14ac:dyDescent="0.25"/>
    <row r="2644" customFormat="1" x14ac:dyDescent="0.25"/>
    <row r="2645" customFormat="1" x14ac:dyDescent="0.25"/>
    <row r="2646" customFormat="1" x14ac:dyDescent="0.25"/>
    <row r="2647" customFormat="1" x14ac:dyDescent="0.25"/>
    <row r="2648" customFormat="1" x14ac:dyDescent="0.25"/>
    <row r="2649" customFormat="1" x14ac:dyDescent="0.25"/>
    <row r="2650" customFormat="1" x14ac:dyDescent="0.25"/>
    <row r="2651" customFormat="1" x14ac:dyDescent="0.25"/>
    <row r="2652" customFormat="1" x14ac:dyDescent="0.25"/>
    <row r="2653" customFormat="1" x14ac:dyDescent="0.25"/>
    <row r="2654" customFormat="1" x14ac:dyDescent="0.25"/>
    <row r="2655" customFormat="1" x14ac:dyDescent="0.25"/>
    <row r="2656" customFormat="1" x14ac:dyDescent="0.25"/>
    <row r="2657" customFormat="1" x14ac:dyDescent="0.25"/>
    <row r="2658" customFormat="1" x14ac:dyDescent="0.25"/>
    <row r="2659" customFormat="1" x14ac:dyDescent="0.25"/>
    <row r="2660" customFormat="1" x14ac:dyDescent="0.25"/>
    <row r="2661" customFormat="1" x14ac:dyDescent="0.25"/>
    <row r="2662" customFormat="1" x14ac:dyDescent="0.25"/>
    <row r="2663" customFormat="1" x14ac:dyDescent="0.25"/>
    <row r="2664" customFormat="1" x14ac:dyDescent="0.25"/>
    <row r="2665" customFormat="1" x14ac:dyDescent="0.25"/>
    <row r="2666" customFormat="1" x14ac:dyDescent="0.25"/>
    <row r="2667" customFormat="1" x14ac:dyDescent="0.25"/>
    <row r="2668" customFormat="1" x14ac:dyDescent="0.25"/>
    <row r="2669" customFormat="1" x14ac:dyDescent="0.25"/>
    <row r="2670" customFormat="1" x14ac:dyDescent="0.25"/>
    <row r="2671" customFormat="1" x14ac:dyDescent="0.25"/>
    <row r="2672" customFormat="1" x14ac:dyDescent="0.25"/>
    <row r="2673" customFormat="1" x14ac:dyDescent="0.25"/>
    <row r="2674" customFormat="1" x14ac:dyDescent="0.25"/>
    <row r="2675" customFormat="1" x14ac:dyDescent="0.25"/>
    <row r="2676" customFormat="1" x14ac:dyDescent="0.25"/>
    <row r="2677" customFormat="1" x14ac:dyDescent="0.25"/>
    <row r="2678" customFormat="1" x14ac:dyDescent="0.25"/>
    <row r="2679" customFormat="1" x14ac:dyDescent="0.25"/>
    <row r="2680" customFormat="1" x14ac:dyDescent="0.25"/>
    <row r="2681" customFormat="1" x14ac:dyDescent="0.25"/>
    <row r="2682" customFormat="1" x14ac:dyDescent="0.25"/>
    <row r="2683" customFormat="1" x14ac:dyDescent="0.25"/>
    <row r="2684" customFormat="1" x14ac:dyDescent="0.25"/>
    <row r="2685" customFormat="1" x14ac:dyDescent="0.25"/>
    <row r="2686" customFormat="1" x14ac:dyDescent="0.25"/>
    <row r="2687" customFormat="1" x14ac:dyDescent="0.25"/>
    <row r="2688" customFormat="1" x14ac:dyDescent="0.25"/>
    <row r="2689" customFormat="1" x14ac:dyDescent="0.25"/>
    <row r="2690" customFormat="1" x14ac:dyDescent="0.25"/>
    <row r="2691" customFormat="1" x14ac:dyDescent="0.25"/>
    <row r="2692" customFormat="1" x14ac:dyDescent="0.25"/>
    <row r="2693" customFormat="1" x14ac:dyDescent="0.25"/>
    <row r="2694" customFormat="1" x14ac:dyDescent="0.25"/>
    <row r="2695" customFormat="1" x14ac:dyDescent="0.25"/>
    <row r="2696" customFormat="1" x14ac:dyDescent="0.25"/>
    <row r="2697" customFormat="1" x14ac:dyDescent="0.25"/>
    <row r="2698" customFormat="1" x14ac:dyDescent="0.25"/>
    <row r="2699" customFormat="1" x14ac:dyDescent="0.25"/>
    <row r="2700" customFormat="1" x14ac:dyDescent="0.25"/>
    <row r="2701" customFormat="1" x14ac:dyDescent="0.25"/>
    <row r="2702" customFormat="1" x14ac:dyDescent="0.25"/>
    <row r="2703" customFormat="1" x14ac:dyDescent="0.25"/>
    <row r="2704" customFormat="1" x14ac:dyDescent="0.25"/>
    <row r="2705" customFormat="1" x14ac:dyDescent="0.25"/>
    <row r="2706" customFormat="1" x14ac:dyDescent="0.25"/>
    <row r="2707" customFormat="1" x14ac:dyDescent="0.25"/>
    <row r="2708" customFormat="1" x14ac:dyDescent="0.25"/>
    <row r="2709" customFormat="1" x14ac:dyDescent="0.25"/>
    <row r="2710" customFormat="1" x14ac:dyDescent="0.25"/>
    <row r="2711" customFormat="1" x14ac:dyDescent="0.25"/>
    <row r="2712" customFormat="1" x14ac:dyDescent="0.25"/>
    <row r="2713" customFormat="1" x14ac:dyDescent="0.25"/>
    <row r="2714" customFormat="1" x14ac:dyDescent="0.25"/>
    <row r="2715" customFormat="1" x14ac:dyDescent="0.25"/>
    <row r="2716" customFormat="1" x14ac:dyDescent="0.25"/>
    <row r="2717" customFormat="1" x14ac:dyDescent="0.25"/>
    <row r="2718" customFormat="1" x14ac:dyDescent="0.25"/>
    <row r="2719" customFormat="1" x14ac:dyDescent="0.25"/>
    <row r="2720" customFormat="1" x14ac:dyDescent="0.25"/>
    <row r="2721" customFormat="1" x14ac:dyDescent="0.25"/>
    <row r="2722" customFormat="1" x14ac:dyDescent="0.25"/>
    <row r="2723" customFormat="1" x14ac:dyDescent="0.25"/>
    <row r="2724" customFormat="1" x14ac:dyDescent="0.25"/>
    <row r="2725" customFormat="1" x14ac:dyDescent="0.25"/>
    <row r="2726" customFormat="1" x14ac:dyDescent="0.25"/>
    <row r="2727" customFormat="1" x14ac:dyDescent="0.25"/>
    <row r="2728" customFormat="1" x14ac:dyDescent="0.25"/>
    <row r="2729" customFormat="1" x14ac:dyDescent="0.25"/>
    <row r="2730" customFormat="1" x14ac:dyDescent="0.25"/>
    <row r="2731" customFormat="1" x14ac:dyDescent="0.25"/>
    <row r="2732" customFormat="1" x14ac:dyDescent="0.25"/>
    <row r="2733" customFormat="1" x14ac:dyDescent="0.25"/>
    <row r="2734" customFormat="1" x14ac:dyDescent="0.25"/>
    <row r="2735" customFormat="1" x14ac:dyDescent="0.25"/>
    <row r="2736" customFormat="1" x14ac:dyDescent="0.25"/>
    <row r="2737" customFormat="1" x14ac:dyDescent="0.25"/>
    <row r="2738" customFormat="1" x14ac:dyDescent="0.25"/>
    <row r="2739" customFormat="1" x14ac:dyDescent="0.25"/>
    <row r="2740" customFormat="1" x14ac:dyDescent="0.25"/>
    <row r="2741" customFormat="1" x14ac:dyDescent="0.25"/>
    <row r="2742" customFormat="1" x14ac:dyDescent="0.25"/>
    <row r="2743" customFormat="1" x14ac:dyDescent="0.25"/>
    <row r="2744" customFormat="1" x14ac:dyDescent="0.25"/>
    <row r="2745" customFormat="1" x14ac:dyDescent="0.25"/>
    <row r="2746" customFormat="1" x14ac:dyDescent="0.25"/>
    <row r="2747" customFormat="1" x14ac:dyDescent="0.25"/>
    <row r="2748" customFormat="1" x14ac:dyDescent="0.25"/>
    <row r="2749" customFormat="1" x14ac:dyDescent="0.25"/>
    <row r="2750" customFormat="1" x14ac:dyDescent="0.25"/>
    <row r="2751" customFormat="1" x14ac:dyDescent="0.25"/>
    <row r="2752" customFormat="1" x14ac:dyDescent="0.25"/>
    <row r="2753" customFormat="1" x14ac:dyDescent="0.25"/>
    <row r="2754" customFormat="1" x14ac:dyDescent="0.25"/>
    <row r="2755" customFormat="1" x14ac:dyDescent="0.25"/>
    <row r="2756" customFormat="1" x14ac:dyDescent="0.25"/>
    <row r="2757" customFormat="1" x14ac:dyDescent="0.25"/>
    <row r="2758" customFormat="1" x14ac:dyDescent="0.25"/>
    <row r="2759" customFormat="1" x14ac:dyDescent="0.25"/>
    <row r="2760" customFormat="1" x14ac:dyDescent="0.25"/>
    <row r="2761" customFormat="1" x14ac:dyDescent="0.25"/>
    <row r="2762" customFormat="1" x14ac:dyDescent="0.25"/>
    <row r="2763" customFormat="1" x14ac:dyDescent="0.25"/>
    <row r="2764" customFormat="1" x14ac:dyDescent="0.25"/>
    <row r="2765" customFormat="1" x14ac:dyDescent="0.25"/>
    <row r="2766" customFormat="1" x14ac:dyDescent="0.25"/>
    <row r="2767" customFormat="1" x14ac:dyDescent="0.25"/>
    <row r="2768" customFormat="1" x14ac:dyDescent="0.25"/>
    <row r="2769" customFormat="1" x14ac:dyDescent="0.25"/>
    <row r="2770" customFormat="1" x14ac:dyDescent="0.25"/>
    <row r="2771" customFormat="1" x14ac:dyDescent="0.25"/>
    <row r="2772" customFormat="1" x14ac:dyDescent="0.25"/>
    <row r="2773" customFormat="1" x14ac:dyDescent="0.25"/>
    <row r="2774" customFormat="1" x14ac:dyDescent="0.25"/>
    <row r="2775" customFormat="1" x14ac:dyDescent="0.25"/>
    <row r="2776" customFormat="1" x14ac:dyDescent="0.25"/>
    <row r="2777" customFormat="1" x14ac:dyDescent="0.25"/>
    <row r="2778" customFormat="1" x14ac:dyDescent="0.25"/>
    <row r="2779" customFormat="1" x14ac:dyDescent="0.25"/>
    <row r="2780" customFormat="1" x14ac:dyDescent="0.25"/>
    <row r="2781" customFormat="1" x14ac:dyDescent="0.25"/>
    <row r="2782" customFormat="1" x14ac:dyDescent="0.25"/>
    <row r="2783" customFormat="1" x14ac:dyDescent="0.25"/>
    <row r="2784" customFormat="1" x14ac:dyDescent="0.25"/>
    <row r="2785" customFormat="1" x14ac:dyDescent="0.25"/>
    <row r="2786" customFormat="1" x14ac:dyDescent="0.25"/>
    <row r="2787" customFormat="1" x14ac:dyDescent="0.25"/>
    <row r="2788" customFormat="1" x14ac:dyDescent="0.25"/>
    <row r="2789" customFormat="1" x14ac:dyDescent="0.25"/>
    <row r="2790" customFormat="1" x14ac:dyDescent="0.25"/>
    <row r="2791" customFormat="1" x14ac:dyDescent="0.25"/>
    <row r="2792" customFormat="1" x14ac:dyDescent="0.25"/>
    <row r="2793" customFormat="1" x14ac:dyDescent="0.25"/>
    <row r="2794" customFormat="1" x14ac:dyDescent="0.25"/>
    <row r="2795" customFormat="1" x14ac:dyDescent="0.25"/>
    <row r="2796" customFormat="1" x14ac:dyDescent="0.25"/>
    <row r="2797" customFormat="1" x14ac:dyDescent="0.25"/>
    <row r="2798" customFormat="1" x14ac:dyDescent="0.25"/>
    <row r="2799" customFormat="1" x14ac:dyDescent="0.25"/>
    <row r="2800" customFormat="1" x14ac:dyDescent="0.25"/>
    <row r="2801" customFormat="1" x14ac:dyDescent="0.25"/>
    <row r="2802" customFormat="1" x14ac:dyDescent="0.25"/>
    <row r="2803" customFormat="1" x14ac:dyDescent="0.25"/>
    <row r="2804" customFormat="1" x14ac:dyDescent="0.25"/>
    <row r="2805" customFormat="1" x14ac:dyDescent="0.25"/>
    <row r="2806" customFormat="1" x14ac:dyDescent="0.25"/>
    <row r="2807" customFormat="1" x14ac:dyDescent="0.25"/>
    <row r="2808" customFormat="1" x14ac:dyDescent="0.25"/>
    <row r="2809" customFormat="1" x14ac:dyDescent="0.25"/>
    <row r="2810" customFormat="1" x14ac:dyDescent="0.25"/>
    <row r="2811" customFormat="1" x14ac:dyDescent="0.25"/>
    <row r="2812" customFormat="1" x14ac:dyDescent="0.25"/>
    <row r="2813" customFormat="1" x14ac:dyDescent="0.25"/>
    <row r="2814" customFormat="1" x14ac:dyDescent="0.25"/>
    <row r="2815" customFormat="1" x14ac:dyDescent="0.25"/>
    <row r="2816" customFormat="1" x14ac:dyDescent="0.25"/>
    <row r="2817" customFormat="1" x14ac:dyDescent="0.25"/>
    <row r="2818" customFormat="1" x14ac:dyDescent="0.25"/>
    <row r="2819" customFormat="1" x14ac:dyDescent="0.25"/>
    <row r="2820" customFormat="1" x14ac:dyDescent="0.25"/>
    <row r="2821" customFormat="1" x14ac:dyDescent="0.25"/>
    <row r="2822" customFormat="1" x14ac:dyDescent="0.25"/>
    <row r="2823" customFormat="1" x14ac:dyDescent="0.25"/>
    <row r="2824" customFormat="1" x14ac:dyDescent="0.25"/>
    <row r="2825" customFormat="1" x14ac:dyDescent="0.25"/>
    <row r="2826" customFormat="1" x14ac:dyDescent="0.25"/>
    <row r="2827" customFormat="1" x14ac:dyDescent="0.25"/>
    <row r="2828" customFormat="1" x14ac:dyDescent="0.25"/>
    <row r="2829" customFormat="1" x14ac:dyDescent="0.25"/>
    <row r="2830" customFormat="1" x14ac:dyDescent="0.25"/>
    <row r="2831" customFormat="1" x14ac:dyDescent="0.25"/>
    <row r="2832" customFormat="1" x14ac:dyDescent="0.25"/>
    <row r="2833" customFormat="1" x14ac:dyDescent="0.25"/>
    <row r="2834" customFormat="1" x14ac:dyDescent="0.25"/>
    <row r="2835" customFormat="1" x14ac:dyDescent="0.25"/>
    <row r="2836" customFormat="1" x14ac:dyDescent="0.25"/>
    <row r="2837" customFormat="1" x14ac:dyDescent="0.25"/>
    <row r="2838" customFormat="1" x14ac:dyDescent="0.25"/>
    <row r="2839" customFormat="1" x14ac:dyDescent="0.25"/>
    <row r="2840" customFormat="1" x14ac:dyDescent="0.25"/>
    <row r="2841" customFormat="1" x14ac:dyDescent="0.25"/>
    <row r="2842" customFormat="1" x14ac:dyDescent="0.25"/>
    <row r="2843" customFormat="1" x14ac:dyDescent="0.25"/>
    <row r="2844" customFormat="1" x14ac:dyDescent="0.25"/>
    <row r="2845" customFormat="1" x14ac:dyDescent="0.25"/>
    <row r="2846" customFormat="1" x14ac:dyDescent="0.25"/>
    <row r="2847" customFormat="1" x14ac:dyDescent="0.25"/>
    <row r="2848" customFormat="1" x14ac:dyDescent="0.25"/>
    <row r="2849" customFormat="1" x14ac:dyDescent="0.25"/>
    <row r="2850" customFormat="1" x14ac:dyDescent="0.25"/>
    <row r="2851" customFormat="1" x14ac:dyDescent="0.25"/>
    <row r="2852" customFormat="1" x14ac:dyDescent="0.25"/>
    <row r="2853" customFormat="1" x14ac:dyDescent="0.25"/>
    <row r="2854" customFormat="1" x14ac:dyDescent="0.25"/>
    <row r="2855" customFormat="1" x14ac:dyDescent="0.25"/>
    <row r="2856" customFormat="1" x14ac:dyDescent="0.25"/>
    <row r="2857" customFormat="1" x14ac:dyDescent="0.25"/>
    <row r="2858" customFormat="1" x14ac:dyDescent="0.25"/>
    <row r="2859" customFormat="1" x14ac:dyDescent="0.25"/>
    <row r="2860" customFormat="1" x14ac:dyDescent="0.25"/>
    <row r="2861" customFormat="1" x14ac:dyDescent="0.25"/>
    <row r="2862" customFormat="1" x14ac:dyDescent="0.25"/>
    <row r="2863" customFormat="1" x14ac:dyDescent="0.25"/>
    <row r="2864" customFormat="1" x14ac:dyDescent="0.25"/>
    <row r="2865" customFormat="1" x14ac:dyDescent="0.25"/>
    <row r="2866" customFormat="1" x14ac:dyDescent="0.25"/>
    <row r="2867" customFormat="1" x14ac:dyDescent="0.25"/>
    <row r="2868" customFormat="1" x14ac:dyDescent="0.25"/>
    <row r="2869" customFormat="1" x14ac:dyDescent="0.25"/>
    <row r="2870" customFormat="1" x14ac:dyDescent="0.25"/>
    <row r="2871" customFormat="1" x14ac:dyDescent="0.25"/>
    <row r="2872" customFormat="1" x14ac:dyDescent="0.25"/>
    <row r="2873" customFormat="1" x14ac:dyDescent="0.25"/>
    <row r="2874" customFormat="1" x14ac:dyDescent="0.25"/>
    <row r="2875" customFormat="1" x14ac:dyDescent="0.25"/>
    <row r="2876" customFormat="1" x14ac:dyDescent="0.25"/>
    <row r="2877" customFormat="1" x14ac:dyDescent="0.25"/>
    <row r="2878" customFormat="1" x14ac:dyDescent="0.25"/>
    <row r="2879" customFormat="1" x14ac:dyDescent="0.25"/>
    <row r="2880" customFormat="1" x14ac:dyDescent="0.25"/>
    <row r="2881" customFormat="1" x14ac:dyDescent="0.25"/>
    <row r="2882" customFormat="1" x14ac:dyDescent="0.25"/>
    <row r="2883" customFormat="1" x14ac:dyDescent="0.25"/>
    <row r="2884" customFormat="1" x14ac:dyDescent="0.25"/>
    <row r="2885" customFormat="1" x14ac:dyDescent="0.25"/>
    <row r="2886" customFormat="1" x14ac:dyDescent="0.25"/>
    <row r="2887" customFormat="1" x14ac:dyDescent="0.25"/>
    <row r="2888" customFormat="1" x14ac:dyDescent="0.25"/>
    <row r="2889" customFormat="1" x14ac:dyDescent="0.25"/>
    <row r="2890" customFormat="1" x14ac:dyDescent="0.25"/>
    <row r="2891" customFormat="1" x14ac:dyDescent="0.25"/>
    <row r="2892" customFormat="1" x14ac:dyDescent="0.25"/>
    <row r="2893" customFormat="1" x14ac:dyDescent="0.25"/>
    <row r="2894" customFormat="1" x14ac:dyDescent="0.25"/>
    <row r="2895" customFormat="1" x14ac:dyDescent="0.25"/>
    <row r="2896" customFormat="1" x14ac:dyDescent="0.25"/>
    <row r="2897" customFormat="1" x14ac:dyDescent="0.25"/>
    <row r="2898" customFormat="1" x14ac:dyDescent="0.25"/>
    <row r="2899" customFormat="1" x14ac:dyDescent="0.25"/>
    <row r="2900" customFormat="1" x14ac:dyDescent="0.25"/>
    <row r="2901" customFormat="1" x14ac:dyDescent="0.25"/>
    <row r="2902" customFormat="1" x14ac:dyDescent="0.25"/>
    <row r="2903" customFormat="1" x14ac:dyDescent="0.25"/>
    <row r="2904" customFormat="1" x14ac:dyDescent="0.25"/>
    <row r="2905" customFormat="1" x14ac:dyDescent="0.25"/>
    <row r="2906" customFormat="1" x14ac:dyDescent="0.25"/>
    <row r="2907" customFormat="1" x14ac:dyDescent="0.25"/>
    <row r="2908" customFormat="1" x14ac:dyDescent="0.25"/>
    <row r="2909" customFormat="1" x14ac:dyDescent="0.25"/>
    <row r="2910" customFormat="1" x14ac:dyDescent="0.25"/>
    <row r="2911" customFormat="1" x14ac:dyDescent="0.25"/>
    <row r="2912" customFormat="1" x14ac:dyDescent="0.25"/>
    <row r="2913" customFormat="1" x14ac:dyDescent="0.25"/>
    <row r="2914" customFormat="1" x14ac:dyDescent="0.25"/>
    <row r="2915" customFormat="1" x14ac:dyDescent="0.25"/>
    <row r="2916" customFormat="1" x14ac:dyDescent="0.25"/>
    <row r="2917" customFormat="1" x14ac:dyDescent="0.25"/>
    <row r="2918" customFormat="1" x14ac:dyDescent="0.25"/>
    <row r="2919" customFormat="1" x14ac:dyDescent="0.25"/>
    <row r="2920" customFormat="1" x14ac:dyDescent="0.25"/>
    <row r="2921" customFormat="1" x14ac:dyDescent="0.25"/>
    <row r="2922" customFormat="1" x14ac:dyDescent="0.25"/>
    <row r="2923" customFormat="1" x14ac:dyDescent="0.25"/>
    <row r="2924" customFormat="1" x14ac:dyDescent="0.25"/>
    <row r="2925" customFormat="1" x14ac:dyDescent="0.25"/>
    <row r="2926" customFormat="1" x14ac:dyDescent="0.25"/>
    <row r="2927" customFormat="1" x14ac:dyDescent="0.25"/>
    <row r="2928" customFormat="1" x14ac:dyDescent="0.25"/>
    <row r="2929" customFormat="1" x14ac:dyDescent="0.25"/>
    <row r="2930" customFormat="1" x14ac:dyDescent="0.25"/>
    <row r="2931" customFormat="1" x14ac:dyDescent="0.25"/>
    <row r="2932" customFormat="1" x14ac:dyDescent="0.25"/>
    <row r="2933" customFormat="1" x14ac:dyDescent="0.25"/>
    <row r="2934" customFormat="1" x14ac:dyDescent="0.25"/>
    <row r="2935" customFormat="1" x14ac:dyDescent="0.25"/>
    <row r="2936" customFormat="1" x14ac:dyDescent="0.25"/>
    <row r="2937" customFormat="1" x14ac:dyDescent="0.25"/>
    <row r="2938" customFormat="1" x14ac:dyDescent="0.25"/>
    <row r="2939" customFormat="1" x14ac:dyDescent="0.25"/>
    <row r="2940" customFormat="1" x14ac:dyDescent="0.25"/>
    <row r="2941" customFormat="1" x14ac:dyDescent="0.25"/>
    <row r="2942" customFormat="1" x14ac:dyDescent="0.25"/>
    <row r="2943" customFormat="1" x14ac:dyDescent="0.25"/>
    <row r="2944" customFormat="1" x14ac:dyDescent="0.25"/>
    <row r="2945" customFormat="1" x14ac:dyDescent="0.25"/>
    <row r="2946" customFormat="1" x14ac:dyDescent="0.25"/>
    <row r="2947" customFormat="1" x14ac:dyDescent="0.25"/>
    <row r="2948" customFormat="1" x14ac:dyDescent="0.25"/>
    <row r="2949" customFormat="1" x14ac:dyDescent="0.25"/>
    <row r="2950" customFormat="1" x14ac:dyDescent="0.25"/>
    <row r="2951" customFormat="1" x14ac:dyDescent="0.25"/>
    <row r="2952" customFormat="1" x14ac:dyDescent="0.25"/>
    <row r="2953" customFormat="1" x14ac:dyDescent="0.25"/>
    <row r="2954" customFormat="1" x14ac:dyDescent="0.25"/>
    <row r="2955" customFormat="1" x14ac:dyDescent="0.25"/>
    <row r="2956" customFormat="1" x14ac:dyDescent="0.25"/>
    <row r="2957" customFormat="1" x14ac:dyDescent="0.25"/>
    <row r="2958" customFormat="1" x14ac:dyDescent="0.25"/>
    <row r="2959" customFormat="1" x14ac:dyDescent="0.25"/>
    <row r="2960" customFormat="1" x14ac:dyDescent="0.25"/>
    <row r="2961" customFormat="1" x14ac:dyDescent="0.25"/>
    <row r="2962" customFormat="1" x14ac:dyDescent="0.25"/>
    <row r="2963" customFormat="1" x14ac:dyDescent="0.25"/>
    <row r="2964" customFormat="1" x14ac:dyDescent="0.25"/>
    <row r="2965" customFormat="1" x14ac:dyDescent="0.25"/>
    <row r="2966" customFormat="1" x14ac:dyDescent="0.25"/>
    <row r="2967" customFormat="1" x14ac:dyDescent="0.25"/>
    <row r="2968" customFormat="1" x14ac:dyDescent="0.25"/>
    <row r="2969" customFormat="1" x14ac:dyDescent="0.25"/>
    <row r="2970" customFormat="1" x14ac:dyDescent="0.25"/>
    <row r="2971" customFormat="1" x14ac:dyDescent="0.25"/>
    <row r="2972" customFormat="1" x14ac:dyDescent="0.25"/>
    <row r="2973" customFormat="1" x14ac:dyDescent="0.25"/>
    <row r="2974" customFormat="1" x14ac:dyDescent="0.25"/>
    <row r="2975" customFormat="1" x14ac:dyDescent="0.25"/>
    <row r="2976" customFormat="1" x14ac:dyDescent="0.25"/>
    <row r="2977" customFormat="1" x14ac:dyDescent="0.25"/>
    <row r="2978" customFormat="1" x14ac:dyDescent="0.25"/>
    <row r="2979" customFormat="1" x14ac:dyDescent="0.25"/>
    <row r="2980" customFormat="1" x14ac:dyDescent="0.25"/>
    <row r="2981" customFormat="1" x14ac:dyDescent="0.25"/>
    <row r="2982" customFormat="1" x14ac:dyDescent="0.25"/>
    <row r="2983" customFormat="1" x14ac:dyDescent="0.25"/>
    <row r="2984" customFormat="1" x14ac:dyDescent="0.25"/>
    <row r="2985" customFormat="1" x14ac:dyDescent="0.25"/>
    <row r="2986" customFormat="1" x14ac:dyDescent="0.25"/>
    <row r="2987" customFormat="1" x14ac:dyDescent="0.25"/>
    <row r="2988" customFormat="1" x14ac:dyDescent="0.25"/>
    <row r="2989" customFormat="1" x14ac:dyDescent="0.25"/>
    <row r="2990" customFormat="1" x14ac:dyDescent="0.25"/>
    <row r="2991" customFormat="1" x14ac:dyDescent="0.25"/>
    <row r="2992" customFormat="1" x14ac:dyDescent="0.25"/>
    <row r="2993" customFormat="1" x14ac:dyDescent="0.25"/>
    <row r="2994" customFormat="1" x14ac:dyDescent="0.25"/>
    <row r="2995" customFormat="1" x14ac:dyDescent="0.25"/>
    <row r="2996" customFormat="1" x14ac:dyDescent="0.25"/>
    <row r="2997" customFormat="1" x14ac:dyDescent="0.25"/>
    <row r="2998" customFormat="1" x14ac:dyDescent="0.25"/>
    <row r="2999" customFormat="1" x14ac:dyDescent="0.25"/>
    <row r="3000" customFormat="1" x14ac:dyDescent="0.25"/>
    <row r="3001" customFormat="1" x14ac:dyDescent="0.25"/>
    <row r="3002" customFormat="1" x14ac:dyDescent="0.25"/>
    <row r="3003" customFormat="1" x14ac:dyDescent="0.25"/>
    <row r="3004" customFormat="1" x14ac:dyDescent="0.25"/>
    <row r="3005" customFormat="1" x14ac:dyDescent="0.25"/>
    <row r="3006" customFormat="1" x14ac:dyDescent="0.25"/>
    <row r="3007" customFormat="1" x14ac:dyDescent="0.25"/>
    <row r="3008" customFormat="1" x14ac:dyDescent="0.25"/>
    <row r="3009" customFormat="1" x14ac:dyDescent="0.25"/>
    <row r="3010" customFormat="1" x14ac:dyDescent="0.25"/>
    <row r="3011" customFormat="1" x14ac:dyDescent="0.25"/>
    <row r="3012" customFormat="1" x14ac:dyDescent="0.25"/>
    <row r="3013" customFormat="1" x14ac:dyDescent="0.25"/>
    <row r="3014" customFormat="1" x14ac:dyDescent="0.25"/>
    <row r="3015" customFormat="1" x14ac:dyDescent="0.25"/>
    <row r="3016" customFormat="1" x14ac:dyDescent="0.25"/>
    <row r="3017" customFormat="1" x14ac:dyDescent="0.25"/>
    <row r="3018" customFormat="1" x14ac:dyDescent="0.25"/>
    <row r="3019" customFormat="1" x14ac:dyDescent="0.25"/>
    <row r="3020" customFormat="1" x14ac:dyDescent="0.25"/>
    <row r="3021" customFormat="1" x14ac:dyDescent="0.25"/>
    <row r="3022" customFormat="1" x14ac:dyDescent="0.25"/>
    <row r="3023" customFormat="1" x14ac:dyDescent="0.25"/>
    <row r="3024" customFormat="1" x14ac:dyDescent="0.25"/>
    <row r="3025" customFormat="1" x14ac:dyDescent="0.25"/>
    <row r="3026" customFormat="1" x14ac:dyDescent="0.25"/>
    <row r="3027" customFormat="1" x14ac:dyDescent="0.25"/>
    <row r="3028" customFormat="1" x14ac:dyDescent="0.25"/>
    <row r="3029" customFormat="1" x14ac:dyDescent="0.25"/>
    <row r="3030" customFormat="1" x14ac:dyDescent="0.25"/>
    <row r="3031" customFormat="1" x14ac:dyDescent="0.25"/>
    <row r="3032" customFormat="1" x14ac:dyDescent="0.25"/>
    <row r="3033" customFormat="1" x14ac:dyDescent="0.25"/>
    <row r="3034" customFormat="1" x14ac:dyDescent="0.25"/>
    <row r="3035" customFormat="1" x14ac:dyDescent="0.25"/>
    <row r="3036" customFormat="1" x14ac:dyDescent="0.25"/>
    <row r="3037" customFormat="1" x14ac:dyDescent="0.25"/>
    <row r="3038" customFormat="1" x14ac:dyDescent="0.25"/>
    <row r="3039" customFormat="1" x14ac:dyDescent="0.25"/>
    <row r="3040" customFormat="1" x14ac:dyDescent="0.25"/>
    <row r="3041" customFormat="1" x14ac:dyDescent="0.25"/>
    <row r="3042" customFormat="1" x14ac:dyDescent="0.25"/>
    <row r="3043" customFormat="1" x14ac:dyDescent="0.25"/>
    <row r="3044" customFormat="1" x14ac:dyDescent="0.25"/>
    <row r="3045" customFormat="1" x14ac:dyDescent="0.25"/>
    <row r="3046" customFormat="1" x14ac:dyDescent="0.25"/>
    <row r="3047" customFormat="1" x14ac:dyDescent="0.25"/>
    <row r="3048" customFormat="1" x14ac:dyDescent="0.25"/>
    <row r="3049" customFormat="1" x14ac:dyDescent="0.25"/>
    <row r="3050" customFormat="1" x14ac:dyDescent="0.25"/>
    <row r="3051" customFormat="1" x14ac:dyDescent="0.25"/>
    <row r="3052" customFormat="1" x14ac:dyDescent="0.25"/>
    <row r="3053" customFormat="1" x14ac:dyDescent="0.25"/>
    <row r="3054" customFormat="1" x14ac:dyDescent="0.25"/>
    <row r="3055" customFormat="1" x14ac:dyDescent="0.25"/>
    <row r="3056" customFormat="1" x14ac:dyDescent="0.25"/>
    <row r="3057" customFormat="1" x14ac:dyDescent="0.25"/>
    <row r="3058" customFormat="1" x14ac:dyDescent="0.25"/>
    <row r="3059" customFormat="1" x14ac:dyDescent="0.25"/>
    <row r="3060" customFormat="1" x14ac:dyDescent="0.25"/>
    <row r="3061" customFormat="1" x14ac:dyDescent="0.25"/>
    <row r="3062" customFormat="1" x14ac:dyDescent="0.25"/>
    <row r="3063" customFormat="1" x14ac:dyDescent="0.25"/>
    <row r="3064" customFormat="1" x14ac:dyDescent="0.25"/>
    <row r="3065" customFormat="1" x14ac:dyDescent="0.25"/>
    <row r="3066" customFormat="1" x14ac:dyDescent="0.25"/>
    <row r="3067" customFormat="1" x14ac:dyDescent="0.25"/>
    <row r="3068" customFormat="1" x14ac:dyDescent="0.25"/>
    <row r="3069" customFormat="1" x14ac:dyDescent="0.25"/>
    <row r="3070" customFormat="1" x14ac:dyDescent="0.25"/>
    <row r="3071" customFormat="1" x14ac:dyDescent="0.25"/>
    <row r="3072" customFormat="1" x14ac:dyDescent="0.25"/>
    <row r="3073" customFormat="1" x14ac:dyDescent="0.25"/>
    <row r="3074" customFormat="1" x14ac:dyDescent="0.25"/>
    <row r="3075" customFormat="1" x14ac:dyDescent="0.25"/>
    <row r="3076" customFormat="1" x14ac:dyDescent="0.25"/>
    <row r="3077" customFormat="1" x14ac:dyDescent="0.25"/>
    <row r="3078" customFormat="1" x14ac:dyDescent="0.25"/>
    <row r="3079" customFormat="1" x14ac:dyDescent="0.25"/>
    <row r="3080" customFormat="1" x14ac:dyDescent="0.25"/>
    <row r="3081" customFormat="1" x14ac:dyDescent="0.25"/>
    <row r="3082" customFormat="1" x14ac:dyDescent="0.25"/>
    <row r="3083" customFormat="1" x14ac:dyDescent="0.25"/>
    <row r="3084" customFormat="1" x14ac:dyDescent="0.25"/>
    <row r="3085" customFormat="1" x14ac:dyDescent="0.25"/>
    <row r="3086" customFormat="1" x14ac:dyDescent="0.25"/>
    <row r="3087" customFormat="1" x14ac:dyDescent="0.25"/>
    <row r="3088" customFormat="1" x14ac:dyDescent="0.25"/>
    <row r="3089" customFormat="1" x14ac:dyDescent="0.25"/>
    <row r="3090" customFormat="1" x14ac:dyDescent="0.25"/>
    <row r="3091" customFormat="1" x14ac:dyDescent="0.25"/>
    <row r="3092" customFormat="1" x14ac:dyDescent="0.25"/>
    <row r="3093" customFormat="1" x14ac:dyDescent="0.25"/>
    <row r="3094" customFormat="1" x14ac:dyDescent="0.25"/>
    <row r="3095" customFormat="1" x14ac:dyDescent="0.25"/>
    <row r="3096" customFormat="1" x14ac:dyDescent="0.25"/>
    <row r="3097" customFormat="1" x14ac:dyDescent="0.25"/>
    <row r="3098" customFormat="1" x14ac:dyDescent="0.25"/>
    <row r="3099" customFormat="1" x14ac:dyDescent="0.25"/>
    <row r="3100" customFormat="1" x14ac:dyDescent="0.25"/>
    <row r="3101" customFormat="1" x14ac:dyDescent="0.25"/>
    <row r="3102" customFormat="1" x14ac:dyDescent="0.25"/>
    <row r="3103" customFormat="1" x14ac:dyDescent="0.25"/>
    <row r="3104" customFormat="1" x14ac:dyDescent="0.25"/>
    <row r="3105" customFormat="1" x14ac:dyDescent="0.25"/>
    <row r="3106" customFormat="1" x14ac:dyDescent="0.25"/>
    <row r="3107" customFormat="1" x14ac:dyDescent="0.25"/>
    <row r="3108" customFormat="1" x14ac:dyDescent="0.25"/>
    <row r="3109" customFormat="1" x14ac:dyDescent="0.25"/>
    <row r="3110" customFormat="1" x14ac:dyDescent="0.25"/>
    <row r="3111" customFormat="1" x14ac:dyDescent="0.25"/>
    <row r="3112" customFormat="1" x14ac:dyDescent="0.25"/>
    <row r="3113" customFormat="1" x14ac:dyDescent="0.25"/>
    <row r="3114" customFormat="1" x14ac:dyDescent="0.25"/>
    <row r="3115" customFormat="1" x14ac:dyDescent="0.25"/>
    <row r="3116" customFormat="1" x14ac:dyDescent="0.25"/>
    <row r="3117" customFormat="1" x14ac:dyDescent="0.25"/>
    <row r="3118" customFormat="1" x14ac:dyDescent="0.25"/>
    <row r="3119" customFormat="1" x14ac:dyDescent="0.25"/>
    <row r="3120" customFormat="1" x14ac:dyDescent="0.25"/>
    <row r="3121" customFormat="1" x14ac:dyDescent="0.25"/>
    <row r="3122" customFormat="1" x14ac:dyDescent="0.25"/>
    <row r="3123" customFormat="1" x14ac:dyDescent="0.25"/>
    <row r="3124" customFormat="1" x14ac:dyDescent="0.25"/>
    <row r="3125" customFormat="1" x14ac:dyDescent="0.25"/>
    <row r="3126" customFormat="1" x14ac:dyDescent="0.25"/>
    <row r="3127" customFormat="1" x14ac:dyDescent="0.25"/>
    <row r="3128" customFormat="1" x14ac:dyDescent="0.25"/>
    <row r="3129" customFormat="1" x14ac:dyDescent="0.25"/>
    <row r="3130" customFormat="1" x14ac:dyDescent="0.25"/>
    <row r="3131" customFormat="1" x14ac:dyDescent="0.25"/>
    <row r="3132" customFormat="1" x14ac:dyDescent="0.25"/>
    <row r="3133" customFormat="1" x14ac:dyDescent="0.25"/>
    <row r="3134" customFormat="1" x14ac:dyDescent="0.25"/>
    <row r="3135" customFormat="1" x14ac:dyDescent="0.25"/>
    <row r="3136" customFormat="1" x14ac:dyDescent="0.25"/>
    <row r="3137" customFormat="1" x14ac:dyDescent="0.25"/>
    <row r="3138" customFormat="1" x14ac:dyDescent="0.25"/>
    <row r="3139" customFormat="1" x14ac:dyDescent="0.25"/>
    <row r="3140" customFormat="1" x14ac:dyDescent="0.25"/>
    <row r="3141" customFormat="1" x14ac:dyDescent="0.25"/>
    <row r="3142" customFormat="1" x14ac:dyDescent="0.25"/>
    <row r="3143" customFormat="1" x14ac:dyDescent="0.25"/>
    <row r="3144" customFormat="1" x14ac:dyDescent="0.25"/>
    <row r="3145" customFormat="1" x14ac:dyDescent="0.25"/>
    <row r="3146" customFormat="1" x14ac:dyDescent="0.25"/>
    <row r="3147" customFormat="1" x14ac:dyDescent="0.25"/>
    <row r="3148" customFormat="1" x14ac:dyDescent="0.25"/>
    <row r="3149" customFormat="1" x14ac:dyDescent="0.25"/>
    <row r="3150" customFormat="1" x14ac:dyDescent="0.25"/>
    <row r="3151" customFormat="1" x14ac:dyDescent="0.25"/>
    <row r="3152" customFormat="1" x14ac:dyDescent="0.25"/>
    <row r="3153" customFormat="1" x14ac:dyDescent="0.25"/>
    <row r="3154" customFormat="1" x14ac:dyDescent="0.25"/>
    <row r="3155" customFormat="1" x14ac:dyDescent="0.25"/>
    <row r="3156" customFormat="1" x14ac:dyDescent="0.25"/>
    <row r="3157" customFormat="1" x14ac:dyDescent="0.25"/>
    <row r="3158" customFormat="1" x14ac:dyDescent="0.25"/>
    <row r="3159" customFormat="1" x14ac:dyDescent="0.25"/>
    <row r="3160" customFormat="1" x14ac:dyDescent="0.25"/>
    <row r="3161" customFormat="1" x14ac:dyDescent="0.25"/>
    <row r="3162" customFormat="1" x14ac:dyDescent="0.25"/>
    <row r="3163" customFormat="1" x14ac:dyDescent="0.25"/>
    <row r="3164" customFormat="1" x14ac:dyDescent="0.25"/>
    <row r="3165" customFormat="1" x14ac:dyDescent="0.25"/>
    <row r="3166" customFormat="1" x14ac:dyDescent="0.25"/>
    <row r="3167" customFormat="1" x14ac:dyDescent="0.25"/>
    <row r="3168" customFormat="1" x14ac:dyDescent="0.25"/>
    <row r="3169" customFormat="1" x14ac:dyDescent="0.25"/>
    <row r="3170" customFormat="1" x14ac:dyDescent="0.25"/>
    <row r="3171" customFormat="1" x14ac:dyDescent="0.25"/>
    <row r="3172" customFormat="1" x14ac:dyDescent="0.25"/>
    <row r="3173" customFormat="1" x14ac:dyDescent="0.25"/>
    <row r="3174" customFormat="1" x14ac:dyDescent="0.25"/>
    <row r="3175" customFormat="1" x14ac:dyDescent="0.25"/>
    <row r="3176" customFormat="1" x14ac:dyDescent="0.25"/>
    <row r="3177" customFormat="1" x14ac:dyDescent="0.25"/>
    <row r="3178" customFormat="1" x14ac:dyDescent="0.25"/>
    <row r="3179" customFormat="1" x14ac:dyDescent="0.25"/>
    <row r="3180" customFormat="1" x14ac:dyDescent="0.25"/>
    <row r="3181" customFormat="1" x14ac:dyDescent="0.25"/>
    <row r="3182" customFormat="1" x14ac:dyDescent="0.25"/>
    <row r="3183" customFormat="1" x14ac:dyDescent="0.25"/>
    <row r="3184" customFormat="1" x14ac:dyDescent="0.25"/>
    <row r="3185" customFormat="1" x14ac:dyDescent="0.25"/>
    <row r="3186" customFormat="1" x14ac:dyDescent="0.25"/>
    <row r="3187" customFormat="1" x14ac:dyDescent="0.25"/>
    <row r="3188" customFormat="1" x14ac:dyDescent="0.25"/>
    <row r="3189" customFormat="1" x14ac:dyDescent="0.25"/>
    <row r="3190" customFormat="1" x14ac:dyDescent="0.25"/>
    <row r="3191" customFormat="1" x14ac:dyDescent="0.25"/>
    <row r="3192" customFormat="1" x14ac:dyDescent="0.25"/>
    <row r="3193" customFormat="1" x14ac:dyDescent="0.25"/>
    <row r="3194" customFormat="1" x14ac:dyDescent="0.25"/>
    <row r="3195" customFormat="1" x14ac:dyDescent="0.25"/>
    <row r="3196" customFormat="1" x14ac:dyDescent="0.25"/>
    <row r="3197" customFormat="1" x14ac:dyDescent="0.25"/>
    <row r="3198" customFormat="1" x14ac:dyDescent="0.25"/>
    <row r="3199" customFormat="1" x14ac:dyDescent="0.25"/>
    <row r="3200" customFormat="1" x14ac:dyDescent="0.25"/>
    <row r="3201" customFormat="1" x14ac:dyDescent="0.25"/>
    <row r="3202" customFormat="1" x14ac:dyDescent="0.25"/>
    <row r="3203" customFormat="1" x14ac:dyDescent="0.25"/>
    <row r="3204" customFormat="1" x14ac:dyDescent="0.25"/>
    <row r="3205" customFormat="1" x14ac:dyDescent="0.25"/>
    <row r="3206" customFormat="1" x14ac:dyDescent="0.25"/>
    <row r="3207" customFormat="1" x14ac:dyDescent="0.25"/>
    <row r="3208" customFormat="1" x14ac:dyDescent="0.25"/>
    <row r="3209" customFormat="1" x14ac:dyDescent="0.25"/>
    <row r="3210" customFormat="1" x14ac:dyDescent="0.25"/>
    <row r="3211" customFormat="1" x14ac:dyDescent="0.25"/>
    <row r="3212" customFormat="1" x14ac:dyDescent="0.25"/>
    <row r="3213" customFormat="1" x14ac:dyDescent="0.25"/>
    <row r="3214" customFormat="1" x14ac:dyDescent="0.25"/>
    <row r="3215" customFormat="1" x14ac:dyDescent="0.25"/>
    <row r="3216" customFormat="1" x14ac:dyDescent="0.25"/>
    <row r="3217" customFormat="1" x14ac:dyDescent="0.25"/>
    <row r="3218" customFormat="1" x14ac:dyDescent="0.25"/>
    <row r="3219" customFormat="1" x14ac:dyDescent="0.25"/>
    <row r="3220" customFormat="1" x14ac:dyDescent="0.25"/>
    <row r="3221" customFormat="1" x14ac:dyDescent="0.25"/>
    <row r="3222" customFormat="1" x14ac:dyDescent="0.25"/>
    <row r="3223" customFormat="1" x14ac:dyDescent="0.25"/>
    <row r="3224" customFormat="1" x14ac:dyDescent="0.25"/>
    <row r="3225" customFormat="1" x14ac:dyDescent="0.25"/>
    <row r="3226" customFormat="1" x14ac:dyDescent="0.25"/>
    <row r="3227" customFormat="1" x14ac:dyDescent="0.25"/>
    <row r="3228" customFormat="1" x14ac:dyDescent="0.25"/>
    <row r="3229" customFormat="1" x14ac:dyDescent="0.25"/>
    <row r="3230" customFormat="1" x14ac:dyDescent="0.25"/>
    <row r="3231" customFormat="1" x14ac:dyDescent="0.25"/>
    <row r="3232" customFormat="1" x14ac:dyDescent="0.25"/>
    <row r="3233" customFormat="1" x14ac:dyDescent="0.25"/>
    <row r="3234" customFormat="1" x14ac:dyDescent="0.25"/>
    <row r="3235" customFormat="1" x14ac:dyDescent="0.25"/>
    <row r="3236" customFormat="1" x14ac:dyDescent="0.25"/>
    <row r="3237" customFormat="1" x14ac:dyDescent="0.25"/>
    <row r="3238" customFormat="1" x14ac:dyDescent="0.25"/>
    <row r="3239" customFormat="1" x14ac:dyDescent="0.25"/>
    <row r="3240" customFormat="1" x14ac:dyDescent="0.25"/>
    <row r="3241" customFormat="1" x14ac:dyDescent="0.25"/>
    <row r="3242" customFormat="1" x14ac:dyDescent="0.25"/>
    <row r="3243" customFormat="1" x14ac:dyDescent="0.25"/>
    <row r="3244" customFormat="1" x14ac:dyDescent="0.25"/>
    <row r="3245" customFormat="1" x14ac:dyDescent="0.25"/>
    <row r="3246" customFormat="1" x14ac:dyDescent="0.25"/>
    <row r="3247" customFormat="1" x14ac:dyDescent="0.25"/>
    <row r="3248" customFormat="1" x14ac:dyDescent="0.25"/>
    <row r="3249" customFormat="1" x14ac:dyDescent="0.25"/>
    <row r="3250" customFormat="1" x14ac:dyDescent="0.25"/>
    <row r="3251" customFormat="1" x14ac:dyDescent="0.25"/>
    <row r="3252" customFormat="1" x14ac:dyDescent="0.25"/>
    <row r="3253" customFormat="1" x14ac:dyDescent="0.25"/>
    <row r="3254" customFormat="1" x14ac:dyDescent="0.25"/>
    <row r="3255" customFormat="1" x14ac:dyDescent="0.25"/>
    <row r="3256" customFormat="1" x14ac:dyDescent="0.25"/>
    <row r="3257" customFormat="1" x14ac:dyDescent="0.25"/>
    <row r="3258" customFormat="1" x14ac:dyDescent="0.25"/>
    <row r="3259" customFormat="1" x14ac:dyDescent="0.25"/>
    <row r="3260" customFormat="1" x14ac:dyDescent="0.25"/>
    <row r="3261" customFormat="1" x14ac:dyDescent="0.25"/>
    <row r="3262" customFormat="1" x14ac:dyDescent="0.25"/>
    <row r="3263" customFormat="1" x14ac:dyDescent="0.25"/>
    <row r="3264" customFormat="1" x14ac:dyDescent="0.25"/>
    <row r="3265" customFormat="1" x14ac:dyDescent="0.25"/>
    <row r="3266" customFormat="1" x14ac:dyDescent="0.25"/>
    <row r="3267" customFormat="1" x14ac:dyDescent="0.25"/>
    <row r="3268" customFormat="1" x14ac:dyDescent="0.25"/>
    <row r="3269" customFormat="1" x14ac:dyDescent="0.25"/>
    <row r="3270" customFormat="1" x14ac:dyDescent="0.25"/>
    <row r="3271" customFormat="1" x14ac:dyDescent="0.25"/>
    <row r="3272" customFormat="1" x14ac:dyDescent="0.25"/>
    <row r="3273" customFormat="1" x14ac:dyDescent="0.25"/>
    <row r="3274" customFormat="1" x14ac:dyDescent="0.25"/>
    <row r="3275" customFormat="1" x14ac:dyDescent="0.25"/>
    <row r="3276" customFormat="1" x14ac:dyDescent="0.25"/>
    <row r="3277" customFormat="1" x14ac:dyDescent="0.25"/>
    <row r="3278" customFormat="1" x14ac:dyDescent="0.25"/>
    <row r="3279" customFormat="1" x14ac:dyDescent="0.25"/>
    <row r="3280" customFormat="1" x14ac:dyDescent="0.25"/>
    <row r="3281" customFormat="1" x14ac:dyDescent="0.25"/>
    <row r="3282" customFormat="1" x14ac:dyDescent="0.25"/>
    <row r="3283" customFormat="1" x14ac:dyDescent="0.25"/>
    <row r="3284" customFormat="1" x14ac:dyDescent="0.25"/>
    <row r="3285" customFormat="1" x14ac:dyDescent="0.25"/>
    <row r="3286" customFormat="1" x14ac:dyDescent="0.25"/>
    <row r="3287" customFormat="1" x14ac:dyDescent="0.25"/>
    <row r="3288" customFormat="1" x14ac:dyDescent="0.25"/>
    <row r="3289" customFormat="1" x14ac:dyDescent="0.25"/>
    <row r="3290" customFormat="1" x14ac:dyDescent="0.25"/>
    <row r="3291" customFormat="1" x14ac:dyDescent="0.25"/>
    <row r="3292" customFormat="1" x14ac:dyDescent="0.25"/>
    <row r="3293" customFormat="1" x14ac:dyDescent="0.25"/>
    <row r="3294" customFormat="1" x14ac:dyDescent="0.25"/>
    <row r="3295" customFormat="1" x14ac:dyDescent="0.25"/>
    <row r="3296" customFormat="1" x14ac:dyDescent="0.25"/>
    <row r="3297" customFormat="1" x14ac:dyDescent="0.25"/>
    <row r="3298" customFormat="1" x14ac:dyDescent="0.25"/>
    <row r="3299" customFormat="1" x14ac:dyDescent="0.25"/>
    <row r="3300" customFormat="1" x14ac:dyDescent="0.25"/>
    <row r="3301" customFormat="1" x14ac:dyDescent="0.25"/>
    <row r="3302" customFormat="1" x14ac:dyDescent="0.25"/>
    <row r="3303" customFormat="1" x14ac:dyDescent="0.25"/>
    <row r="3304" customFormat="1" x14ac:dyDescent="0.25"/>
    <row r="3305" customFormat="1" x14ac:dyDescent="0.25"/>
    <row r="3306" customFormat="1" x14ac:dyDescent="0.25"/>
    <row r="3307" customFormat="1" x14ac:dyDescent="0.25"/>
    <row r="3308" customFormat="1" x14ac:dyDescent="0.25"/>
    <row r="3309" customFormat="1" x14ac:dyDescent="0.25"/>
    <row r="3310" customFormat="1" x14ac:dyDescent="0.25"/>
    <row r="3311" customFormat="1" x14ac:dyDescent="0.25"/>
    <row r="3312" customFormat="1" x14ac:dyDescent="0.25"/>
    <row r="3313" customFormat="1" x14ac:dyDescent="0.25"/>
    <row r="3314" customFormat="1" x14ac:dyDescent="0.25"/>
    <row r="3315" customFormat="1" x14ac:dyDescent="0.25"/>
    <row r="3316" customFormat="1" x14ac:dyDescent="0.25"/>
    <row r="3317" customFormat="1" x14ac:dyDescent="0.25"/>
    <row r="3318" customFormat="1" x14ac:dyDescent="0.25"/>
    <row r="3319" customFormat="1" x14ac:dyDescent="0.25"/>
    <row r="3320" customFormat="1" x14ac:dyDescent="0.25"/>
    <row r="3321" customFormat="1" x14ac:dyDescent="0.25"/>
    <row r="3322" customFormat="1" x14ac:dyDescent="0.25"/>
    <row r="3323" customFormat="1" x14ac:dyDescent="0.25"/>
    <row r="3324" customFormat="1" x14ac:dyDescent="0.25"/>
    <row r="3325" customFormat="1" x14ac:dyDescent="0.25"/>
    <row r="3326" customFormat="1" x14ac:dyDescent="0.25"/>
    <row r="3327" customFormat="1" x14ac:dyDescent="0.25"/>
    <row r="3328" customFormat="1" x14ac:dyDescent="0.25"/>
    <row r="3329" customFormat="1" x14ac:dyDescent="0.25"/>
    <row r="3330" customFormat="1" x14ac:dyDescent="0.25"/>
    <row r="3331" customFormat="1" x14ac:dyDescent="0.25"/>
    <row r="3332" customFormat="1" x14ac:dyDescent="0.25"/>
    <row r="3333" customFormat="1" x14ac:dyDescent="0.25"/>
    <row r="3334" customFormat="1" x14ac:dyDescent="0.25"/>
    <row r="3335" customFormat="1" x14ac:dyDescent="0.25"/>
    <row r="3336" customFormat="1" x14ac:dyDescent="0.25"/>
    <row r="3337" customFormat="1" x14ac:dyDescent="0.25"/>
    <row r="3338" customFormat="1" x14ac:dyDescent="0.25"/>
    <row r="3339" customFormat="1" x14ac:dyDescent="0.25"/>
    <row r="3340" customFormat="1" x14ac:dyDescent="0.25"/>
    <row r="3341" customFormat="1" x14ac:dyDescent="0.25"/>
    <row r="3342" customFormat="1" x14ac:dyDescent="0.25"/>
    <row r="3343" customFormat="1" x14ac:dyDescent="0.25"/>
    <row r="3344" customFormat="1" x14ac:dyDescent="0.25"/>
    <row r="3345" customFormat="1" x14ac:dyDescent="0.25"/>
    <row r="3346" customFormat="1" x14ac:dyDescent="0.25"/>
    <row r="3347" customFormat="1" x14ac:dyDescent="0.25"/>
    <row r="3348" customFormat="1" x14ac:dyDescent="0.25"/>
    <row r="3349" customFormat="1" x14ac:dyDescent="0.25"/>
    <row r="3350" customFormat="1" x14ac:dyDescent="0.25"/>
    <row r="3351" customFormat="1" x14ac:dyDescent="0.25"/>
    <row r="3352" customFormat="1" x14ac:dyDescent="0.25"/>
    <row r="3353" customFormat="1" x14ac:dyDescent="0.25"/>
    <row r="3354" customFormat="1" x14ac:dyDescent="0.25"/>
    <row r="3355" customFormat="1" x14ac:dyDescent="0.25"/>
    <row r="3356" customFormat="1" x14ac:dyDescent="0.25"/>
    <row r="3357" customFormat="1" x14ac:dyDescent="0.25"/>
    <row r="3358" customFormat="1" x14ac:dyDescent="0.25"/>
    <row r="3359" customFormat="1" x14ac:dyDescent="0.25"/>
    <row r="3360" customFormat="1" x14ac:dyDescent="0.25"/>
    <row r="3361" customFormat="1" x14ac:dyDescent="0.25"/>
    <row r="3362" customFormat="1" x14ac:dyDescent="0.25"/>
    <row r="3363" customFormat="1" x14ac:dyDescent="0.25"/>
    <row r="3364" customFormat="1" x14ac:dyDescent="0.25"/>
    <row r="3365" customFormat="1" x14ac:dyDescent="0.25"/>
    <row r="3366" customFormat="1" x14ac:dyDescent="0.25"/>
    <row r="3367" customFormat="1" x14ac:dyDescent="0.25"/>
    <row r="3368" customFormat="1" x14ac:dyDescent="0.25"/>
    <row r="3369" customFormat="1" x14ac:dyDescent="0.25"/>
    <row r="3370" customFormat="1" x14ac:dyDescent="0.25"/>
    <row r="3371" customFormat="1" x14ac:dyDescent="0.25"/>
    <row r="3372" customFormat="1" x14ac:dyDescent="0.25"/>
    <row r="3373" customFormat="1" x14ac:dyDescent="0.25"/>
    <row r="3374" customFormat="1" x14ac:dyDescent="0.25"/>
    <row r="3375" customFormat="1" x14ac:dyDescent="0.25"/>
    <row r="3376" customFormat="1" x14ac:dyDescent="0.25"/>
    <row r="3377" customFormat="1" x14ac:dyDescent="0.25"/>
    <row r="3378" customFormat="1" x14ac:dyDescent="0.25"/>
    <row r="3379" customFormat="1" x14ac:dyDescent="0.25"/>
    <row r="3380" customFormat="1" x14ac:dyDescent="0.25"/>
    <row r="3381" customFormat="1" x14ac:dyDescent="0.25"/>
    <row r="3382" customFormat="1" x14ac:dyDescent="0.25"/>
    <row r="3383" customFormat="1" x14ac:dyDescent="0.25"/>
    <row r="3384" customFormat="1" x14ac:dyDescent="0.25"/>
    <row r="3385" customFormat="1" x14ac:dyDescent="0.25"/>
    <row r="3386" customFormat="1" x14ac:dyDescent="0.25"/>
    <row r="3387" customFormat="1" x14ac:dyDescent="0.25"/>
    <row r="3388" customFormat="1" x14ac:dyDescent="0.25"/>
    <row r="3389" customFormat="1" x14ac:dyDescent="0.25"/>
    <row r="3390" customFormat="1" x14ac:dyDescent="0.25"/>
    <row r="3391" customFormat="1" x14ac:dyDescent="0.25"/>
    <row r="3392" customFormat="1" x14ac:dyDescent="0.25"/>
    <row r="3393" customFormat="1" x14ac:dyDescent="0.25"/>
    <row r="3394" customFormat="1" x14ac:dyDescent="0.25"/>
    <row r="3395" customFormat="1" x14ac:dyDescent="0.25"/>
    <row r="3396" customFormat="1" x14ac:dyDescent="0.25"/>
    <row r="3397" customFormat="1" x14ac:dyDescent="0.25"/>
    <row r="3398" customFormat="1" x14ac:dyDescent="0.25"/>
    <row r="3399" customFormat="1" x14ac:dyDescent="0.25"/>
    <row r="3400" customFormat="1" x14ac:dyDescent="0.25"/>
    <row r="3401" customFormat="1" x14ac:dyDescent="0.25"/>
    <row r="3402" customFormat="1" x14ac:dyDescent="0.25"/>
    <row r="3403" customFormat="1" x14ac:dyDescent="0.25"/>
    <row r="3404" customFormat="1" x14ac:dyDescent="0.25"/>
    <row r="3405" customFormat="1" x14ac:dyDescent="0.25"/>
    <row r="3406" customFormat="1" x14ac:dyDescent="0.25"/>
    <row r="3407" customFormat="1" x14ac:dyDescent="0.25"/>
    <row r="3408" customFormat="1" x14ac:dyDescent="0.25"/>
    <row r="3409" customFormat="1" x14ac:dyDescent="0.25"/>
    <row r="3410" customFormat="1" x14ac:dyDescent="0.25"/>
    <row r="3411" customFormat="1" x14ac:dyDescent="0.25"/>
    <row r="3412" customFormat="1" x14ac:dyDescent="0.25"/>
    <row r="3413" customFormat="1" x14ac:dyDescent="0.25"/>
    <row r="3414" customFormat="1" x14ac:dyDescent="0.25"/>
    <row r="3415" customFormat="1" x14ac:dyDescent="0.25"/>
    <row r="3416" customFormat="1" x14ac:dyDescent="0.25"/>
    <row r="3417" customFormat="1" x14ac:dyDescent="0.25"/>
    <row r="3418" customFormat="1" x14ac:dyDescent="0.25"/>
    <row r="3419" customFormat="1" x14ac:dyDescent="0.25"/>
    <row r="3420" customFormat="1" x14ac:dyDescent="0.25"/>
    <row r="3421" customFormat="1" x14ac:dyDescent="0.25"/>
    <row r="3422" customFormat="1" x14ac:dyDescent="0.25"/>
    <row r="3423" customFormat="1" x14ac:dyDescent="0.25"/>
    <row r="3424" customFormat="1" x14ac:dyDescent="0.25"/>
    <row r="3425" customFormat="1" x14ac:dyDescent="0.25"/>
    <row r="3426" customFormat="1" x14ac:dyDescent="0.25"/>
    <row r="3427" customFormat="1" x14ac:dyDescent="0.25"/>
    <row r="3428" customFormat="1" x14ac:dyDescent="0.25"/>
    <row r="3429" customFormat="1" x14ac:dyDescent="0.25"/>
    <row r="3430" customFormat="1" x14ac:dyDescent="0.25"/>
    <row r="3431" customFormat="1" x14ac:dyDescent="0.25"/>
    <row r="3432" customFormat="1" x14ac:dyDescent="0.25"/>
    <row r="3433" customFormat="1" x14ac:dyDescent="0.25"/>
    <row r="3434" customFormat="1" x14ac:dyDescent="0.25"/>
    <row r="3435" customFormat="1" x14ac:dyDescent="0.25"/>
    <row r="3436" customFormat="1" x14ac:dyDescent="0.25"/>
    <row r="3437" customFormat="1" x14ac:dyDescent="0.25"/>
    <row r="3438" customFormat="1" x14ac:dyDescent="0.25"/>
    <row r="3439" customFormat="1" x14ac:dyDescent="0.25"/>
    <row r="3440" customFormat="1" x14ac:dyDescent="0.25"/>
    <row r="3441" customFormat="1" x14ac:dyDescent="0.25"/>
    <row r="3442" customFormat="1" x14ac:dyDescent="0.25"/>
    <row r="3443" customFormat="1" x14ac:dyDescent="0.25"/>
    <row r="3444" customFormat="1" x14ac:dyDescent="0.25"/>
    <row r="3445" customFormat="1" x14ac:dyDescent="0.25"/>
    <row r="3446" customFormat="1" x14ac:dyDescent="0.25"/>
    <row r="3447" customFormat="1" x14ac:dyDescent="0.25"/>
    <row r="3448" customFormat="1" x14ac:dyDescent="0.25"/>
    <row r="3449" customFormat="1" x14ac:dyDescent="0.25"/>
    <row r="3450" customFormat="1" x14ac:dyDescent="0.25"/>
    <row r="3451" customFormat="1" x14ac:dyDescent="0.25"/>
    <row r="3452" customFormat="1" x14ac:dyDescent="0.25"/>
    <row r="3453" customFormat="1" x14ac:dyDescent="0.25"/>
    <row r="3454" customFormat="1" x14ac:dyDescent="0.25"/>
    <row r="3455" customFormat="1" x14ac:dyDescent="0.25"/>
    <row r="3456" customFormat="1" x14ac:dyDescent="0.25"/>
    <row r="3457" customFormat="1" x14ac:dyDescent="0.25"/>
    <row r="3458" customFormat="1" x14ac:dyDescent="0.25"/>
    <row r="3459" customFormat="1" x14ac:dyDescent="0.25"/>
    <row r="3460" customFormat="1" x14ac:dyDescent="0.25"/>
    <row r="3461" customFormat="1" x14ac:dyDescent="0.25"/>
    <row r="3462" customFormat="1" x14ac:dyDescent="0.25"/>
    <row r="3463" customFormat="1" x14ac:dyDescent="0.25"/>
    <row r="3464" customFormat="1" x14ac:dyDescent="0.25"/>
    <row r="3465" customFormat="1" x14ac:dyDescent="0.25"/>
    <row r="3466" customFormat="1" x14ac:dyDescent="0.25"/>
    <row r="3467" customFormat="1" x14ac:dyDescent="0.25"/>
    <row r="3468" customFormat="1" x14ac:dyDescent="0.25"/>
    <row r="3469" customFormat="1" x14ac:dyDescent="0.25"/>
    <row r="3470" customFormat="1" x14ac:dyDescent="0.25"/>
    <row r="3471" customFormat="1" x14ac:dyDescent="0.25"/>
    <row r="3472" customFormat="1" x14ac:dyDescent="0.25"/>
    <row r="3473" customFormat="1" x14ac:dyDescent="0.25"/>
    <row r="3474" customFormat="1" x14ac:dyDescent="0.25"/>
    <row r="3475" customFormat="1" x14ac:dyDescent="0.25"/>
    <row r="3476" customFormat="1" x14ac:dyDescent="0.25"/>
    <row r="3477" customFormat="1" x14ac:dyDescent="0.25"/>
    <row r="3478" customFormat="1" x14ac:dyDescent="0.25"/>
    <row r="3479" customFormat="1" x14ac:dyDescent="0.25"/>
    <row r="3480" customFormat="1" x14ac:dyDescent="0.25"/>
    <row r="3481" customFormat="1" x14ac:dyDescent="0.25"/>
    <row r="3482" customFormat="1" x14ac:dyDescent="0.25"/>
    <row r="3483" customFormat="1" x14ac:dyDescent="0.25"/>
    <row r="3484" customFormat="1" x14ac:dyDescent="0.25"/>
    <row r="3485" customFormat="1" x14ac:dyDescent="0.25"/>
    <row r="3486" customFormat="1" x14ac:dyDescent="0.25"/>
    <row r="3487" customFormat="1" x14ac:dyDescent="0.25"/>
    <row r="3488" customFormat="1" x14ac:dyDescent="0.25"/>
    <row r="3489" customFormat="1" x14ac:dyDescent="0.25"/>
    <row r="3490" customFormat="1" x14ac:dyDescent="0.25"/>
    <row r="3491" customFormat="1" x14ac:dyDescent="0.25"/>
    <row r="3492" customFormat="1" x14ac:dyDescent="0.25"/>
    <row r="3493" customFormat="1" x14ac:dyDescent="0.25"/>
    <row r="3494" customFormat="1" x14ac:dyDescent="0.25"/>
    <row r="3495" customFormat="1" x14ac:dyDescent="0.25"/>
    <row r="3496" customFormat="1" x14ac:dyDescent="0.25"/>
    <row r="3497" customFormat="1" x14ac:dyDescent="0.25"/>
    <row r="3498" customFormat="1" x14ac:dyDescent="0.25"/>
    <row r="3499" customFormat="1" x14ac:dyDescent="0.25"/>
    <row r="3500" customFormat="1" x14ac:dyDescent="0.25"/>
    <row r="3501" customFormat="1" x14ac:dyDescent="0.25"/>
    <row r="3502" customFormat="1" x14ac:dyDescent="0.25"/>
    <row r="3503" customFormat="1" x14ac:dyDescent="0.25"/>
    <row r="3504" customFormat="1" x14ac:dyDescent="0.25"/>
    <row r="3505" customFormat="1" x14ac:dyDescent="0.25"/>
    <row r="3506" customFormat="1" x14ac:dyDescent="0.25"/>
    <row r="3507" customFormat="1" x14ac:dyDescent="0.25"/>
    <row r="3508" customFormat="1" x14ac:dyDescent="0.25"/>
    <row r="3509" customFormat="1" x14ac:dyDescent="0.25"/>
    <row r="3510" customFormat="1" x14ac:dyDescent="0.25"/>
    <row r="3511" customFormat="1" x14ac:dyDescent="0.25"/>
    <row r="3512" customFormat="1" x14ac:dyDescent="0.25"/>
    <row r="3513" customFormat="1" x14ac:dyDescent="0.25"/>
    <row r="3514" customFormat="1" x14ac:dyDescent="0.25"/>
    <row r="3515" customFormat="1" x14ac:dyDescent="0.25"/>
    <row r="3516" customFormat="1" x14ac:dyDescent="0.25"/>
    <row r="3517" customFormat="1" x14ac:dyDescent="0.25"/>
    <row r="3518" customFormat="1" x14ac:dyDescent="0.25"/>
    <row r="3519" customFormat="1" x14ac:dyDescent="0.25"/>
    <row r="3520" customFormat="1" x14ac:dyDescent="0.25"/>
    <row r="3521" customFormat="1" x14ac:dyDescent="0.25"/>
    <row r="3522" customFormat="1" x14ac:dyDescent="0.25"/>
    <row r="3523" customFormat="1" x14ac:dyDescent="0.25"/>
    <row r="3524" customFormat="1" x14ac:dyDescent="0.25"/>
    <row r="3525" customFormat="1" x14ac:dyDescent="0.25"/>
    <row r="3526" customFormat="1" x14ac:dyDescent="0.25"/>
    <row r="3527" customFormat="1" x14ac:dyDescent="0.25"/>
    <row r="3528" customFormat="1" x14ac:dyDescent="0.25"/>
    <row r="3529" customFormat="1" x14ac:dyDescent="0.25"/>
    <row r="3530" customFormat="1" x14ac:dyDescent="0.25"/>
    <row r="3531" customFormat="1" x14ac:dyDescent="0.25"/>
    <row r="3532" customFormat="1" x14ac:dyDescent="0.25"/>
    <row r="3533" customFormat="1" x14ac:dyDescent="0.25"/>
    <row r="3534" customFormat="1" x14ac:dyDescent="0.25"/>
    <row r="3535" customFormat="1" x14ac:dyDescent="0.25"/>
    <row r="3536" customFormat="1" x14ac:dyDescent="0.25"/>
    <row r="3537" customFormat="1" x14ac:dyDescent="0.25"/>
    <row r="3538" customFormat="1" x14ac:dyDescent="0.25"/>
    <row r="3539" customFormat="1" x14ac:dyDescent="0.25"/>
    <row r="3540" customFormat="1" x14ac:dyDescent="0.25"/>
    <row r="3541" customFormat="1" x14ac:dyDescent="0.25"/>
    <row r="3542" customFormat="1" x14ac:dyDescent="0.25"/>
    <row r="3543" customFormat="1" x14ac:dyDescent="0.25"/>
    <row r="3544" customFormat="1" x14ac:dyDescent="0.25"/>
    <row r="3545" customFormat="1" x14ac:dyDescent="0.25"/>
    <row r="3546" customFormat="1" x14ac:dyDescent="0.25"/>
    <row r="3547" customFormat="1" x14ac:dyDescent="0.25"/>
    <row r="3548" customFormat="1" x14ac:dyDescent="0.25"/>
    <row r="3549" customFormat="1" x14ac:dyDescent="0.25"/>
    <row r="3550" customFormat="1" x14ac:dyDescent="0.25"/>
    <row r="3551" customFormat="1" x14ac:dyDescent="0.25"/>
    <row r="3552" customFormat="1" x14ac:dyDescent="0.25"/>
    <row r="3553" customFormat="1" x14ac:dyDescent="0.25"/>
    <row r="3554" customFormat="1" x14ac:dyDescent="0.25"/>
    <row r="3555" customFormat="1" x14ac:dyDescent="0.25"/>
    <row r="3556" customFormat="1" x14ac:dyDescent="0.25"/>
    <row r="3557" customFormat="1" x14ac:dyDescent="0.25"/>
    <row r="3558" customFormat="1" x14ac:dyDescent="0.25"/>
    <row r="3559" customFormat="1" x14ac:dyDescent="0.25"/>
    <row r="3560" customFormat="1" x14ac:dyDescent="0.25"/>
    <row r="3561" customFormat="1" x14ac:dyDescent="0.25"/>
    <row r="3562" customFormat="1" x14ac:dyDescent="0.25"/>
    <row r="3563" customFormat="1" x14ac:dyDescent="0.25"/>
    <row r="3564" customFormat="1" x14ac:dyDescent="0.25"/>
    <row r="3565" customFormat="1" x14ac:dyDescent="0.25"/>
    <row r="3566" customFormat="1" x14ac:dyDescent="0.25"/>
    <row r="3567" customFormat="1" x14ac:dyDescent="0.25"/>
    <row r="3568" customFormat="1" x14ac:dyDescent="0.25"/>
    <row r="3569" customFormat="1" x14ac:dyDescent="0.25"/>
    <row r="3570" customFormat="1" x14ac:dyDescent="0.25"/>
    <row r="3571" customFormat="1" x14ac:dyDescent="0.25"/>
    <row r="3572" customFormat="1" x14ac:dyDescent="0.25"/>
    <row r="3573" customFormat="1" x14ac:dyDescent="0.25"/>
    <row r="3574" customFormat="1" x14ac:dyDescent="0.25"/>
    <row r="3575" customFormat="1" x14ac:dyDescent="0.25"/>
    <row r="3576" customFormat="1" x14ac:dyDescent="0.25"/>
    <row r="3577" customFormat="1" x14ac:dyDescent="0.25"/>
    <row r="3578" customFormat="1" x14ac:dyDescent="0.25"/>
    <row r="3579" customFormat="1" x14ac:dyDescent="0.25"/>
    <row r="3580" customFormat="1" x14ac:dyDescent="0.25"/>
    <row r="3581" customFormat="1" x14ac:dyDescent="0.25"/>
    <row r="3582" customFormat="1" x14ac:dyDescent="0.25"/>
    <row r="3583" customFormat="1" x14ac:dyDescent="0.25"/>
    <row r="3584" customFormat="1" x14ac:dyDescent="0.25"/>
    <row r="3585" customFormat="1" x14ac:dyDescent="0.25"/>
    <row r="3586" customFormat="1" x14ac:dyDescent="0.25"/>
    <row r="3587" customFormat="1" x14ac:dyDescent="0.25"/>
    <row r="3588" customFormat="1" x14ac:dyDescent="0.25"/>
    <row r="3589" customFormat="1" x14ac:dyDescent="0.25"/>
    <row r="3590" customFormat="1" x14ac:dyDescent="0.25"/>
    <row r="3591" customFormat="1" x14ac:dyDescent="0.25"/>
    <row r="3592" customFormat="1" x14ac:dyDescent="0.25"/>
    <row r="3593" customFormat="1" x14ac:dyDescent="0.25"/>
    <row r="3594" customFormat="1" x14ac:dyDescent="0.25"/>
    <row r="3595" customFormat="1" x14ac:dyDescent="0.25"/>
    <row r="3596" customFormat="1" x14ac:dyDescent="0.25"/>
    <row r="3597" customFormat="1" x14ac:dyDescent="0.25"/>
    <row r="3598" customFormat="1" x14ac:dyDescent="0.25"/>
    <row r="3599" customFormat="1" x14ac:dyDescent="0.25"/>
    <row r="3600" customFormat="1" x14ac:dyDescent="0.25"/>
    <row r="3601" customFormat="1" x14ac:dyDescent="0.25"/>
    <row r="3602" customFormat="1" x14ac:dyDescent="0.25"/>
    <row r="3603" customFormat="1" x14ac:dyDescent="0.25"/>
    <row r="3604" customFormat="1" x14ac:dyDescent="0.25"/>
    <row r="3605" customFormat="1" x14ac:dyDescent="0.25"/>
    <row r="3606" customFormat="1" x14ac:dyDescent="0.25"/>
    <row r="3607" customFormat="1" x14ac:dyDescent="0.25"/>
    <row r="3608" customFormat="1" x14ac:dyDescent="0.25"/>
    <row r="3609" customFormat="1" x14ac:dyDescent="0.25"/>
    <row r="3610" customFormat="1" x14ac:dyDescent="0.25"/>
    <row r="3611" customFormat="1" x14ac:dyDescent="0.25"/>
    <row r="3612" customFormat="1" x14ac:dyDescent="0.25"/>
    <row r="3613" customFormat="1" x14ac:dyDescent="0.25"/>
    <row r="3614" customFormat="1" x14ac:dyDescent="0.25"/>
    <row r="3615" customFormat="1" x14ac:dyDescent="0.25"/>
    <row r="3616" customFormat="1" x14ac:dyDescent="0.25"/>
    <row r="3617" customFormat="1" x14ac:dyDescent="0.25"/>
    <row r="3618" customFormat="1" x14ac:dyDescent="0.25"/>
    <row r="3619" customFormat="1" x14ac:dyDescent="0.25"/>
    <row r="3620" customFormat="1" x14ac:dyDescent="0.25"/>
    <row r="3621" customFormat="1" x14ac:dyDescent="0.25"/>
    <row r="3622" customFormat="1" x14ac:dyDescent="0.25"/>
    <row r="3623" customFormat="1" x14ac:dyDescent="0.25"/>
    <row r="3624" customFormat="1" x14ac:dyDescent="0.25"/>
    <row r="3625" customFormat="1" x14ac:dyDescent="0.25"/>
    <row r="3626" customFormat="1" x14ac:dyDescent="0.25"/>
    <row r="3627" customFormat="1" x14ac:dyDescent="0.25"/>
    <row r="3628" customFormat="1" x14ac:dyDescent="0.25"/>
    <row r="3629" customFormat="1" x14ac:dyDescent="0.25"/>
    <row r="3630" customFormat="1" x14ac:dyDescent="0.25"/>
    <row r="3631" customFormat="1" x14ac:dyDescent="0.25"/>
    <row r="3632" customFormat="1" x14ac:dyDescent="0.25"/>
    <row r="3633" customFormat="1" x14ac:dyDescent="0.25"/>
    <row r="3634" customFormat="1" x14ac:dyDescent="0.25"/>
    <row r="3635" customFormat="1" x14ac:dyDescent="0.25"/>
    <row r="3636" customFormat="1" x14ac:dyDescent="0.25"/>
    <row r="3637" customFormat="1" x14ac:dyDescent="0.25"/>
    <row r="3638" customFormat="1" x14ac:dyDescent="0.25"/>
    <row r="3639" customFormat="1" x14ac:dyDescent="0.25"/>
    <row r="3640" customFormat="1" x14ac:dyDescent="0.25"/>
    <row r="3641" customFormat="1" x14ac:dyDescent="0.25"/>
    <row r="3642" customFormat="1" x14ac:dyDescent="0.25"/>
    <row r="3643" customFormat="1" x14ac:dyDescent="0.25"/>
    <row r="3644" customFormat="1" x14ac:dyDescent="0.25"/>
    <row r="3645" customFormat="1" x14ac:dyDescent="0.25"/>
    <row r="3646" customFormat="1" x14ac:dyDescent="0.25"/>
    <row r="3647" customFormat="1" x14ac:dyDescent="0.25"/>
    <row r="3648" customFormat="1" x14ac:dyDescent="0.25"/>
    <row r="3649" customFormat="1" x14ac:dyDescent="0.25"/>
    <row r="3650" customFormat="1" x14ac:dyDescent="0.25"/>
    <row r="3651" customFormat="1" x14ac:dyDescent="0.25"/>
    <row r="3652" customFormat="1" x14ac:dyDescent="0.25"/>
    <row r="3653" customFormat="1" x14ac:dyDescent="0.25"/>
    <row r="3654" customFormat="1" x14ac:dyDescent="0.25"/>
    <row r="3655" customFormat="1" x14ac:dyDescent="0.25"/>
    <row r="3656" customFormat="1" x14ac:dyDescent="0.25"/>
    <row r="3657" customFormat="1" x14ac:dyDescent="0.25"/>
    <row r="3658" customFormat="1" x14ac:dyDescent="0.25"/>
    <row r="3659" customFormat="1" x14ac:dyDescent="0.25"/>
    <row r="3660" customFormat="1" x14ac:dyDescent="0.25"/>
    <row r="3661" customFormat="1" x14ac:dyDescent="0.25"/>
    <row r="3662" customFormat="1" x14ac:dyDescent="0.25"/>
    <row r="3663" customFormat="1" x14ac:dyDescent="0.25"/>
    <row r="3664" customFormat="1" x14ac:dyDescent="0.25"/>
    <row r="3665" customFormat="1" x14ac:dyDescent="0.25"/>
    <row r="3666" customFormat="1" x14ac:dyDescent="0.25"/>
    <row r="3667" customFormat="1" x14ac:dyDescent="0.25"/>
    <row r="3668" customFormat="1" x14ac:dyDescent="0.25"/>
    <row r="3669" customFormat="1" x14ac:dyDescent="0.25"/>
    <row r="3670" customFormat="1" x14ac:dyDescent="0.25"/>
    <row r="3671" customFormat="1" x14ac:dyDescent="0.25"/>
    <row r="3672" customFormat="1" x14ac:dyDescent="0.25"/>
    <row r="3673" customFormat="1" x14ac:dyDescent="0.25"/>
    <row r="3674" customFormat="1" x14ac:dyDescent="0.25"/>
    <row r="3675" customFormat="1" x14ac:dyDescent="0.25"/>
    <row r="3676" customFormat="1" x14ac:dyDescent="0.25"/>
    <row r="3677" customFormat="1" x14ac:dyDescent="0.25"/>
    <row r="3678" customFormat="1" x14ac:dyDescent="0.25"/>
    <row r="3679" customFormat="1" x14ac:dyDescent="0.25"/>
    <row r="3680" customFormat="1" x14ac:dyDescent="0.25"/>
    <row r="3681" customFormat="1" x14ac:dyDescent="0.25"/>
    <row r="3682" customFormat="1" x14ac:dyDescent="0.25"/>
    <row r="3683" customFormat="1" x14ac:dyDescent="0.25"/>
    <row r="3684" customFormat="1" x14ac:dyDescent="0.25"/>
    <row r="3685" customFormat="1" x14ac:dyDescent="0.25"/>
    <row r="3686" customFormat="1" x14ac:dyDescent="0.25"/>
    <row r="3687" customFormat="1" x14ac:dyDescent="0.25"/>
    <row r="3688" customFormat="1" x14ac:dyDescent="0.25"/>
    <row r="3689" customFormat="1" x14ac:dyDescent="0.25"/>
    <row r="3690" customFormat="1" x14ac:dyDescent="0.25"/>
    <row r="3691" customFormat="1" x14ac:dyDescent="0.25"/>
    <row r="3692" customFormat="1" x14ac:dyDescent="0.25"/>
    <row r="3693" customFormat="1" x14ac:dyDescent="0.25"/>
    <row r="3694" customFormat="1" x14ac:dyDescent="0.25"/>
    <row r="3695" customFormat="1" x14ac:dyDescent="0.25"/>
    <row r="3696" customFormat="1" x14ac:dyDescent="0.25"/>
    <row r="3697" customFormat="1" x14ac:dyDescent="0.25"/>
    <row r="3698" customFormat="1" x14ac:dyDescent="0.25"/>
    <row r="3699" customFormat="1" x14ac:dyDescent="0.25"/>
    <row r="3700" customFormat="1" x14ac:dyDescent="0.25"/>
    <row r="3701" customFormat="1" x14ac:dyDescent="0.25"/>
    <row r="3702" customFormat="1" x14ac:dyDescent="0.25"/>
    <row r="3703" customFormat="1" x14ac:dyDescent="0.25"/>
    <row r="3704" customFormat="1" x14ac:dyDescent="0.25"/>
    <row r="3705" customFormat="1" x14ac:dyDescent="0.25"/>
    <row r="3706" customFormat="1" x14ac:dyDescent="0.25"/>
    <row r="3707" customFormat="1" x14ac:dyDescent="0.25"/>
    <row r="3708" customFormat="1" x14ac:dyDescent="0.25"/>
    <row r="3709" customFormat="1" x14ac:dyDescent="0.25"/>
    <row r="3710" customFormat="1" x14ac:dyDescent="0.25"/>
    <row r="3711" customFormat="1" x14ac:dyDescent="0.25"/>
    <row r="3712" customFormat="1" x14ac:dyDescent="0.25"/>
    <row r="3713" customFormat="1" x14ac:dyDescent="0.25"/>
    <row r="3714" customFormat="1" x14ac:dyDescent="0.25"/>
    <row r="3715" customFormat="1" x14ac:dyDescent="0.25"/>
    <row r="3716" customFormat="1" x14ac:dyDescent="0.25"/>
    <row r="3717" customFormat="1" x14ac:dyDescent="0.25"/>
    <row r="3718" customFormat="1" x14ac:dyDescent="0.25"/>
    <row r="3719" customFormat="1" x14ac:dyDescent="0.25"/>
    <row r="3720" customFormat="1" x14ac:dyDescent="0.25"/>
    <row r="3721" customFormat="1" x14ac:dyDescent="0.25"/>
    <row r="3722" customFormat="1" x14ac:dyDescent="0.25"/>
    <row r="3723" customFormat="1" x14ac:dyDescent="0.25"/>
    <row r="3724" customFormat="1" x14ac:dyDescent="0.25"/>
    <row r="3725" customFormat="1" x14ac:dyDescent="0.25"/>
    <row r="3726" customFormat="1" x14ac:dyDescent="0.25"/>
    <row r="3727" customFormat="1" x14ac:dyDescent="0.25"/>
    <row r="3728" customFormat="1" x14ac:dyDescent="0.25"/>
    <row r="3729" customFormat="1" x14ac:dyDescent="0.25"/>
    <row r="3730" customFormat="1" x14ac:dyDescent="0.25"/>
    <row r="3731" customFormat="1" x14ac:dyDescent="0.25"/>
    <row r="3732" customFormat="1" x14ac:dyDescent="0.25"/>
    <row r="3733" customFormat="1" x14ac:dyDescent="0.25"/>
    <row r="3734" customFormat="1" x14ac:dyDescent="0.25"/>
    <row r="3735" customFormat="1" x14ac:dyDescent="0.25"/>
    <row r="3736" customFormat="1" x14ac:dyDescent="0.25"/>
    <row r="3737" customFormat="1" x14ac:dyDescent="0.25"/>
    <row r="3738" customFormat="1" x14ac:dyDescent="0.25"/>
    <row r="3739" customFormat="1" x14ac:dyDescent="0.25"/>
    <row r="3740" customFormat="1" x14ac:dyDescent="0.25"/>
    <row r="3741" customFormat="1" x14ac:dyDescent="0.25"/>
    <row r="3742" customFormat="1" x14ac:dyDescent="0.25"/>
    <row r="3743" customFormat="1" x14ac:dyDescent="0.25"/>
    <row r="3744" customFormat="1" x14ac:dyDescent="0.25"/>
    <row r="3745" customFormat="1" x14ac:dyDescent="0.25"/>
    <row r="3746" customFormat="1" x14ac:dyDescent="0.25"/>
    <row r="3747" customFormat="1" x14ac:dyDescent="0.25"/>
    <row r="3748" customFormat="1" x14ac:dyDescent="0.25"/>
    <row r="3749" customFormat="1" x14ac:dyDescent="0.25"/>
    <row r="3750" customFormat="1" x14ac:dyDescent="0.25"/>
    <row r="3751" customFormat="1" x14ac:dyDescent="0.25"/>
    <row r="3752" customFormat="1" x14ac:dyDescent="0.25"/>
    <row r="3753" customFormat="1" x14ac:dyDescent="0.25"/>
    <row r="3754" customFormat="1" x14ac:dyDescent="0.25"/>
    <row r="3755" customFormat="1" x14ac:dyDescent="0.25"/>
    <row r="3756" customFormat="1" x14ac:dyDescent="0.25"/>
    <row r="3757" customFormat="1" x14ac:dyDescent="0.25"/>
    <row r="3758" customFormat="1" x14ac:dyDescent="0.25"/>
    <row r="3759" customFormat="1" x14ac:dyDescent="0.25"/>
    <row r="3760" customFormat="1" x14ac:dyDescent="0.25"/>
    <row r="3761" customFormat="1" x14ac:dyDescent="0.25"/>
    <row r="3762" customFormat="1" x14ac:dyDescent="0.25"/>
    <row r="3763" customFormat="1" x14ac:dyDescent="0.25"/>
    <row r="3764" customFormat="1" x14ac:dyDescent="0.25"/>
    <row r="3765" customFormat="1" x14ac:dyDescent="0.25"/>
    <row r="3766" customFormat="1" x14ac:dyDescent="0.25"/>
    <row r="3767" customFormat="1" x14ac:dyDescent="0.25"/>
    <row r="3768" customFormat="1" x14ac:dyDescent="0.25"/>
    <row r="3769" customFormat="1" x14ac:dyDescent="0.25"/>
    <row r="3770" customFormat="1" x14ac:dyDescent="0.25"/>
    <row r="3771" customFormat="1" x14ac:dyDescent="0.25"/>
    <row r="3772" customFormat="1" x14ac:dyDescent="0.25"/>
    <row r="3773" customFormat="1" x14ac:dyDescent="0.25"/>
    <row r="3774" customFormat="1" x14ac:dyDescent="0.25"/>
    <row r="3775" customFormat="1" x14ac:dyDescent="0.25"/>
    <row r="3776" customFormat="1" x14ac:dyDescent="0.25"/>
    <row r="3777" customFormat="1" x14ac:dyDescent="0.25"/>
    <row r="3778" customFormat="1" x14ac:dyDescent="0.25"/>
    <row r="3779" customFormat="1" x14ac:dyDescent="0.25"/>
    <row r="3780" customFormat="1" x14ac:dyDescent="0.25"/>
    <row r="3781" customFormat="1" x14ac:dyDescent="0.25"/>
    <row r="3782" customFormat="1" x14ac:dyDescent="0.25"/>
    <row r="3783" customFormat="1" x14ac:dyDescent="0.25"/>
    <row r="3784" customFormat="1" x14ac:dyDescent="0.25"/>
    <row r="3785" customFormat="1" x14ac:dyDescent="0.25"/>
    <row r="3786" customFormat="1" x14ac:dyDescent="0.25"/>
    <row r="3787" customFormat="1" x14ac:dyDescent="0.25"/>
    <row r="3788" customFormat="1" x14ac:dyDescent="0.25"/>
    <row r="3789" customFormat="1" x14ac:dyDescent="0.25"/>
    <row r="3790" customFormat="1" x14ac:dyDescent="0.25"/>
    <row r="3791" customFormat="1" x14ac:dyDescent="0.25"/>
    <row r="3792" customFormat="1" x14ac:dyDescent="0.25"/>
    <row r="3793" customFormat="1" x14ac:dyDescent="0.25"/>
    <row r="3794" customFormat="1" x14ac:dyDescent="0.25"/>
    <row r="3795" customFormat="1" x14ac:dyDescent="0.25"/>
    <row r="3796" customFormat="1" x14ac:dyDescent="0.25"/>
    <row r="3797" customFormat="1" x14ac:dyDescent="0.25"/>
    <row r="3798" customFormat="1" x14ac:dyDescent="0.25"/>
    <row r="3799" customFormat="1" x14ac:dyDescent="0.25"/>
    <row r="3800" customFormat="1" x14ac:dyDescent="0.25"/>
    <row r="3801" customFormat="1" x14ac:dyDescent="0.25"/>
    <row r="3802" customFormat="1" x14ac:dyDescent="0.25"/>
    <row r="3803" customFormat="1" x14ac:dyDescent="0.25"/>
    <row r="3804" customFormat="1" x14ac:dyDescent="0.25"/>
    <row r="3805" customFormat="1" x14ac:dyDescent="0.25"/>
    <row r="3806" customFormat="1" x14ac:dyDescent="0.25"/>
    <row r="3807" customFormat="1" x14ac:dyDescent="0.25"/>
    <row r="3808" customFormat="1" x14ac:dyDescent="0.25"/>
    <row r="3809" customFormat="1" x14ac:dyDescent="0.25"/>
    <row r="3810" customFormat="1" x14ac:dyDescent="0.25"/>
    <row r="3811" customFormat="1" x14ac:dyDescent="0.25"/>
    <row r="3812" customFormat="1" x14ac:dyDescent="0.25"/>
    <row r="3813" customFormat="1" x14ac:dyDescent="0.25"/>
    <row r="3814" customFormat="1" x14ac:dyDescent="0.25"/>
    <row r="3815" customFormat="1" x14ac:dyDescent="0.25"/>
    <row r="3816" customFormat="1" x14ac:dyDescent="0.25"/>
    <row r="3817" customFormat="1" x14ac:dyDescent="0.25"/>
    <row r="3818" customFormat="1" x14ac:dyDescent="0.25"/>
    <row r="3819" customFormat="1" x14ac:dyDescent="0.25"/>
    <row r="3820" customFormat="1" x14ac:dyDescent="0.25"/>
    <row r="3821" customFormat="1" x14ac:dyDescent="0.25"/>
    <row r="3822" customFormat="1" x14ac:dyDescent="0.25"/>
    <row r="3823" customFormat="1" x14ac:dyDescent="0.25"/>
    <row r="3824" customFormat="1" x14ac:dyDescent="0.25"/>
    <row r="3825" customFormat="1" x14ac:dyDescent="0.25"/>
    <row r="3826" customFormat="1" x14ac:dyDescent="0.25"/>
    <row r="3827" customFormat="1" x14ac:dyDescent="0.25"/>
    <row r="3828" customFormat="1" x14ac:dyDescent="0.25"/>
    <row r="3829" customFormat="1" x14ac:dyDescent="0.25"/>
    <row r="3830" customFormat="1" x14ac:dyDescent="0.25"/>
    <row r="3831" customFormat="1" x14ac:dyDescent="0.25"/>
    <row r="3832" customFormat="1" x14ac:dyDescent="0.25"/>
    <row r="3833" customFormat="1" x14ac:dyDescent="0.25"/>
    <row r="3834" customFormat="1" x14ac:dyDescent="0.25"/>
    <row r="3835" customFormat="1" x14ac:dyDescent="0.25"/>
    <row r="3836" customFormat="1" x14ac:dyDescent="0.25"/>
    <row r="3837" customFormat="1" x14ac:dyDescent="0.25"/>
    <row r="3838" customFormat="1" x14ac:dyDescent="0.25"/>
    <row r="3839" customFormat="1" x14ac:dyDescent="0.25"/>
    <row r="3840" customFormat="1" x14ac:dyDescent="0.25"/>
    <row r="3841" customFormat="1" x14ac:dyDescent="0.25"/>
    <row r="3842" customFormat="1" x14ac:dyDescent="0.25"/>
    <row r="3843" customFormat="1" x14ac:dyDescent="0.25"/>
    <row r="3844" customFormat="1" x14ac:dyDescent="0.25"/>
    <row r="3845" customFormat="1" x14ac:dyDescent="0.25"/>
    <row r="3846" customFormat="1" x14ac:dyDescent="0.25"/>
    <row r="3847" customFormat="1" x14ac:dyDescent="0.25"/>
    <row r="3848" customFormat="1" x14ac:dyDescent="0.25"/>
    <row r="3849" customFormat="1" x14ac:dyDescent="0.25"/>
    <row r="3850" customFormat="1" x14ac:dyDescent="0.25"/>
    <row r="3851" customFormat="1" x14ac:dyDescent="0.25"/>
    <row r="3852" customFormat="1" x14ac:dyDescent="0.25"/>
    <row r="3853" customFormat="1" x14ac:dyDescent="0.25"/>
    <row r="3854" customFormat="1" x14ac:dyDescent="0.25"/>
    <row r="3855" customFormat="1" x14ac:dyDescent="0.25"/>
    <row r="3856" customFormat="1" x14ac:dyDescent="0.25"/>
    <row r="3857" customFormat="1" x14ac:dyDescent="0.25"/>
    <row r="3858" customFormat="1" x14ac:dyDescent="0.25"/>
    <row r="3859" customFormat="1" x14ac:dyDescent="0.25"/>
    <row r="3860" customFormat="1" x14ac:dyDescent="0.25"/>
    <row r="3861" customFormat="1" x14ac:dyDescent="0.25"/>
    <row r="3862" customFormat="1" x14ac:dyDescent="0.25"/>
    <row r="3863" customFormat="1" x14ac:dyDescent="0.25"/>
    <row r="3864" customFormat="1" x14ac:dyDescent="0.25"/>
    <row r="3865" customFormat="1" x14ac:dyDescent="0.25"/>
    <row r="3866" customFormat="1" x14ac:dyDescent="0.25"/>
    <row r="3867" customFormat="1" x14ac:dyDescent="0.25"/>
    <row r="3868" customFormat="1" x14ac:dyDescent="0.25"/>
    <row r="3869" customFormat="1" x14ac:dyDescent="0.25"/>
    <row r="3870" customFormat="1" x14ac:dyDescent="0.25"/>
    <row r="3871" customFormat="1" x14ac:dyDescent="0.25"/>
    <row r="3872" customFormat="1" x14ac:dyDescent="0.25"/>
    <row r="3873" customFormat="1" x14ac:dyDescent="0.25"/>
    <row r="3874" customFormat="1" x14ac:dyDescent="0.25"/>
    <row r="3875" customFormat="1" x14ac:dyDescent="0.25"/>
    <row r="3876" customFormat="1" x14ac:dyDescent="0.25"/>
    <row r="3877" customFormat="1" x14ac:dyDescent="0.25"/>
    <row r="3878" customFormat="1" x14ac:dyDescent="0.25"/>
    <row r="3879" customFormat="1" x14ac:dyDescent="0.25"/>
    <row r="3880" customFormat="1" x14ac:dyDescent="0.25"/>
    <row r="3881" customFormat="1" x14ac:dyDescent="0.25"/>
    <row r="3882" customFormat="1" x14ac:dyDescent="0.25"/>
    <row r="3883" customFormat="1" x14ac:dyDescent="0.25"/>
    <row r="3884" customFormat="1" x14ac:dyDescent="0.25"/>
    <row r="3885" customFormat="1" x14ac:dyDescent="0.25"/>
    <row r="3886" customFormat="1" x14ac:dyDescent="0.25"/>
    <row r="3887" customFormat="1" x14ac:dyDescent="0.25"/>
    <row r="3888" customFormat="1" x14ac:dyDescent="0.25"/>
    <row r="3889" customFormat="1" x14ac:dyDescent="0.25"/>
    <row r="3890" customFormat="1" x14ac:dyDescent="0.25"/>
    <row r="3891" customFormat="1" x14ac:dyDescent="0.25"/>
    <row r="3892" customFormat="1" x14ac:dyDescent="0.25"/>
    <row r="3893" customFormat="1" x14ac:dyDescent="0.25"/>
    <row r="3894" customFormat="1" x14ac:dyDescent="0.25"/>
    <row r="3895" customFormat="1" x14ac:dyDescent="0.25"/>
    <row r="3896" customFormat="1" x14ac:dyDescent="0.25"/>
    <row r="3897" customFormat="1" x14ac:dyDescent="0.25"/>
    <row r="3898" customFormat="1" x14ac:dyDescent="0.25"/>
    <row r="3899" customFormat="1" x14ac:dyDescent="0.25"/>
    <row r="3900" customFormat="1" x14ac:dyDescent="0.25"/>
    <row r="3901" customFormat="1" x14ac:dyDescent="0.25"/>
    <row r="3902" customFormat="1" x14ac:dyDescent="0.25"/>
    <row r="3903" customFormat="1" x14ac:dyDescent="0.25"/>
    <row r="3904" customFormat="1" x14ac:dyDescent="0.25"/>
    <row r="3905" customFormat="1" x14ac:dyDescent="0.25"/>
    <row r="3906" customFormat="1" x14ac:dyDescent="0.25"/>
    <row r="3907" customFormat="1" x14ac:dyDescent="0.25"/>
    <row r="3908" customFormat="1" x14ac:dyDescent="0.25"/>
    <row r="3909" customFormat="1" x14ac:dyDescent="0.25"/>
    <row r="3910" customFormat="1" x14ac:dyDescent="0.25"/>
    <row r="3911" customFormat="1" x14ac:dyDescent="0.25"/>
    <row r="3912" customFormat="1" x14ac:dyDescent="0.25"/>
    <row r="3913" customFormat="1" x14ac:dyDescent="0.25"/>
    <row r="3914" customFormat="1" x14ac:dyDescent="0.25"/>
    <row r="3915" customFormat="1" x14ac:dyDescent="0.25"/>
    <row r="3916" customFormat="1" x14ac:dyDescent="0.25"/>
    <row r="3917" customFormat="1" x14ac:dyDescent="0.25"/>
    <row r="3918" customFormat="1" x14ac:dyDescent="0.25"/>
    <row r="3919" customFormat="1" x14ac:dyDescent="0.25"/>
    <row r="3920" customFormat="1" x14ac:dyDescent="0.25"/>
    <row r="3921" customFormat="1" x14ac:dyDescent="0.25"/>
    <row r="3922" customFormat="1" x14ac:dyDescent="0.25"/>
    <row r="3923" customFormat="1" x14ac:dyDescent="0.25"/>
    <row r="3924" customFormat="1" x14ac:dyDescent="0.25"/>
    <row r="3925" customFormat="1" x14ac:dyDescent="0.25"/>
    <row r="3926" customFormat="1" x14ac:dyDescent="0.25"/>
    <row r="3927" customFormat="1" x14ac:dyDescent="0.25"/>
    <row r="3928" customFormat="1" x14ac:dyDescent="0.25"/>
    <row r="3929" customFormat="1" x14ac:dyDescent="0.25"/>
    <row r="3930" customFormat="1" x14ac:dyDescent="0.25"/>
    <row r="3931" customFormat="1" x14ac:dyDescent="0.25"/>
    <row r="3932" customFormat="1" x14ac:dyDescent="0.25"/>
    <row r="3933" customFormat="1" x14ac:dyDescent="0.25"/>
    <row r="3934" customFormat="1" x14ac:dyDescent="0.25"/>
    <row r="3935" customFormat="1" x14ac:dyDescent="0.25"/>
    <row r="3936" customFormat="1" x14ac:dyDescent="0.25"/>
    <row r="3937" customFormat="1" x14ac:dyDescent="0.25"/>
    <row r="3938" customFormat="1" x14ac:dyDescent="0.25"/>
    <row r="3939" customFormat="1" x14ac:dyDescent="0.25"/>
    <row r="3940" customFormat="1" x14ac:dyDescent="0.25"/>
    <row r="3941" customFormat="1" x14ac:dyDescent="0.25"/>
    <row r="3942" customFormat="1" x14ac:dyDescent="0.25"/>
    <row r="3943" customFormat="1" x14ac:dyDescent="0.25"/>
    <row r="3944" customFormat="1" x14ac:dyDescent="0.25"/>
    <row r="3945" customFormat="1" x14ac:dyDescent="0.25"/>
    <row r="3946" customFormat="1" x14ac:dyDescent="0.25"/>
    <row r="3947" customFormat="1" x14ac:dyDescent="0.25"/>
    <row r="3948" customFormat="1" x14ac:dyDescent="0.25"/>
    <row r="3949" customFormat="1" x14ac:dyDescent="0.25"/>
    <row r="3950" customFormat="1" x14ac:dyDescent="0.25"/>
    <row r="3951" customFormat="1" x14ac:dyDescent="0.25"/>
    <row r="3952" customFormat="1" x14ac:dyDescent="0.25"/>
    <row r="3953" customFormat="1" x14ac:dyDescent="0.25"/>
    <row r="3954" customFormat="1" x14ac:dyDescent="0.25"/>
    <row r="3955" customFormat="1" x14ac:dyDescent="0.25"/>
    <row r="3956" customFormat="1" x14ac:dyDescent="0.25"/>
    <row r="3957" customFormat="1" x14ac:dyDescent="0.25"/>
    <row r="3958" customFormat="1" x14ac:dyDescent="0.25"/>
    <row r="3959" customFormat="1" x14ac:dyDescent="0.25"/>
    <row r="3960" customFormat="1" x14ac:dyDescent="0.25"/>
    <row r="3961" customFormat="1" x14ac:dyDescent="0.25"/>
    <row r="3962" customFormat="1" x14ac:dyDescent="0.25"/>
    <row r="3963" customFormat="1" x14ac:dyDescent="0.25"/>
    <row r="3964" customFormat="1" x14ac:dyDescent="0.25"/>
    <row r="3965" customFormat="1" x14ac:dyDescent="0.25"/>
    <row r="3966" customFormat="1" x14ac:dyDescent="0.25"/>
    <row r="3967" customFormat="1" x14ac:dyDescent="0.25"/>
    <row r="3968" customFormat="1" x14ac:dyDescent="0.25"/>
    <row r="3969" customFormat="1" x14ac:dyDescent="0.25"/>
    <row r="3970" customFormat="1" x14ac:dyDescent="0.25"/>
    <row r="3971" customFormat="1" x14ac:dyDescent="0.25"/>
    <row r="3972" customFormat="1" x14ac:dyDescent="0.25"/>
    <row r="3973" customFormat="1" x14ac:dyDescent="0.25"/>
    <row r="3974" customFormat="1" x14ac:dyDescent="0.25"/>
    <row r="3975" customFormat="1" x14ac:dyDescent="0.25"/>
    <row r="3976" customFormat="1" x14ac:dyDescent="0.25"/>
    <row r="3977" customFormat="1" x14ac:dyDescent="0.25"/>
    <row r="3978" customFormat="1" x14ac:dyDescent="0.25"/>
    <row r="3979" customFormat="1" x14ac:dyDescent="0.25"/>
    <row r="3980" customFormat="1" x14ac:dyDescent="0.25"/>
    <row r="3981" customFormat="1" x14ac:dyDescent="0.25"/>
    <row r="3982" customFormat="1" x14ac:dyDescent="0.25"/>
    <row r="3983" customFormat="1" x14ac:dyDescent="0.25"/>
    <row r="3984" customFormat="1" x14ac:dyDescent="0.25"/>
    <row r="3985" customFormat="1" x14ac:dyDescent="0.25"/>
    <row r="3986" customFormat="1" x14ac:dyDescent="0.25"/>
    <row r="3987" customFormat="1" x14ac:dyDescent="0.25"/>
    <row r="3988" customFormat="1" x14ac:dyDescent="0.25"/>
    <row r="3989" customFormat="1" x14ac:dyDescent="0.25"/>
    <row r="3990" customFormat="1" x14ac:dyDescent="0.25"/>
    <row r="3991" customFormat="1" x14ac:dyDescent="0.25"/>
    <row r="3992" customFormat="1" x14ac:dyDescent="0.25"/>
    <row r="3993" customFormat="1" x14ac:dyDescent="0.25"/>
    <row r="3994" customFormat="1" x14ac:dyDescent="0.25"/>
    <row r="3995" customFormat="1" x14ac:dyDescent="0.25"/>
    <row r="3996" customFormat="1" x14ac:dyDescent="0.25"/>
    <row r="3997" customFormat="1" x14ac:dyDescent="0.25"/>
    <row r="3998" customFormat="1" x14ac:dyDescent="0.25"/>
    <row r="3999" customFormat="1" x14ac:dyDescent="0.25"/>
    <row r="4000" customFormat="1" x14ac:dyDescent="0.25"/>
    <row r="4001" customFormat="1" x14ac:dyDescent="0.25"/>
    <row r="4002" customFormat="1" x14ac:dyDescent="0.25"/>
    <row r="4003" customFormat="1" x14ac:dyDescent="0.25"/>
    <row r="4004" customFormat="1" x14ac:dyDescent="0.25"/>
    <row r="4005" customFormat="1" x14ac:dyDescent="0.25"/>
    <row r="4006" customFormat="1" x14ac:dyDescent="0.25"/>
    <row r="4007" customFormat="1" x14ac:dyDescent="0.25"/>
    <row r="4008" customFormat="1" x14ac:dyDescent="0.25"/>
    <row r="4009" customFormat="1" x14ac:dyDescent="0.25"/>
    <row r="4010" customFormat="1" x14ac:dyDescent="0.25"/>
    <row r="4011" customFormat="1" x14ac:dyDescent="0.25"/>
    <row r="4012" customFormat="1" x14ac:dyDescent="0.25"/>
    <row r="4013" customFormat="1" x14ac:dyDescent="0.25"/>
    <row r="4014" customFormat="1" x14ac:dyDescent="0.25"/>
    <row r="4015" customFormat="1" x14ac:dyDescent="0.25"/>
    <row r="4016" customFormat="1" x14ac:dyDescent="0.25"/>
    <row r="4017" customFormat="1" x14ac:dyDescent="0.25"/>
    <row r="4018" customFormat="1" x14ac:dyDescent="0.25"/>
    <row r="4019" customFormat="1" x14ac:dyDescent="0.25"/>
    <row r="4020" customFormat="1" x14ac:dyDescent="0.25"/>
    <row r="4021" customFormat="1" x14ac:dyDescent="0.25"/>
    <row r="4022" customFormat="1" x14ac:dyDescent="0.25"/>
    <row r="4023" customFormat="1" x14ac:dyDescent="0.25"/>
    <row r="4024" customFormat="1" x14ac:dyDescent="0.25"/>
    <row r="4025" customFormat="1" x14ac:dyDescent="0.25"/>
    <row r="4026" customFormat="1" x14ac:dyDescent="0.25"/>
    <row r="4027" customFormat="1" x14ac:dyDescent="0.25"/>
    <row r="4028" customFormat="1" x14ac:dyDescent="0.25"/>
    <row r="4029" customFormat="1" x14ac:dyDescent="0.25"/>
    <row r="4030" customFormat="1" x14ac:dyDescent="0.25"/>
    <row r="4031" customFormat="1" x14ac:dyDescent="0.25"/>
    <row r="4032" customFormat="1" x14ac:dyDescent="0.25"/>
    <row r="4033" customFormat="1" x14ac:dyDescent="0.25"/>
    <row r="4034" customFormat="1" x14ac:dyDescent="0.25"/>
    <row r="4035" customFormat="1" x14ac:dyDescent="0.25"/>
    <row r="4036" customFormat="1" x14ac:dyDescent="0.25"/>
    <row r="4037" customFormat="1" x14ac:dyDescent="0.25"/>
    <row r="4038" customFormat="1" x14ac:dyDescent="0.25"/>
    <row r="4039" customFormat="1" x14ac:dyDescent="0.25"/>
    <row r="4040" customFormat="1" x14ac:dyDescent="0.25"/>
    <row r="4041" customFormat="1" x14ac:dyDescent="0.25"/>
    <row r="4042" customFormat="1" x14ac:dyDescent="0.25"/>
    <row r="4043" customFormat="1" x14ac:dyDescent="0.25"/>
    <row r="4044" customFormat="1" x14ac:dyDescent="0.25"/>
    <row r="4045" customFormat="1" x14ac:dyDescent="0.25"/>
    <row r="4046" customFormat="1" x14ac:dyDescent="0.25"/>
    <row r="4047" customFormat="1" x14ac:dyDescent="0.25"/>
    <row r="4048" customFormat="1" x14ac:dyDescent="0.25"/>
    <row r="4049" customFormat="1" x14ac:dyDescent="0.25"/>
    <row r="4050" customFormat="1" x14ac:dyDescent="0.25"/>
    <row r="4051" customFormat="1" x14ac:dyDescent="0.25"/>
    <row r="4052" customFormat="1" x14ac:dyDescent="0.25"/>
    <row r="4053" customFormat="1" x14ac:dyDescent="0.25"/>
    <row r="4054" customFormat="1" x14ac:dyDescent="0.25"/>
    <row r="4055" customFormat="1" x14ac:dyDescent="0.25"/>
    <row r="4056" customFormat="1" x14ac:dyDescent="0.25"/>
    <row r="4057" customFormat="1" x14ac:dyDescent="0.25"/>
    <row r="4058" customFormat="1" x14ac:dyDescent="0.25"/>
    <row r="4059" customFormat="1" x14ac:dyDescent="0.25"/>
    <row r="4060" customFormat="1" x14ac:dyDescent="0.25"/>
    <row r="4061" customFormat="1" x14ac:dyDescent="0.25"/>
    <row r="4062" customFormat="1" x14ac:dyDescent="0.25"/>
    <row r="4063" customFormat="1" x14ac:dyDescent="0.25"/>
    <row r="4064" customFormat="1" x14ac:dyDescent="0.25"/>
    <row r="4065" customFormat="1" x14ac:dyDescent="0.25"/>
    <row r="4066" customFormat="1" x14ac:dyDescent="0.25"/>
    <row r="4067" customFormat="1" x14ac:dyDescent="0.25"/>
    <row r="4068" customFormat="1" x14ac:dyDescent="0.25"/>
    <row r="4069" customFormat="1" x14ac:dyDescent="0.25"/>
    <row r="4070" customFormat="1" x14ac:dyDescent="0.25"/>
    <row r="4071" customFormat="1" x14ac:dyDescent="0.25"/>
    <row r="4072" customFormat="1" x14ac:dyDescent="0.25"/>
    <row r="4073" customFormat="1" x14ac:dyDescent="0.25"/>
    <row r="4074" customFormat="1" x14ac:dyDescent="0.25"/>
    <row r="4075" customFormat="1" x14ac:dyDescent="0.25"/>
    <row r="4076" customFormat="1" x14ac:dyDescent="0.25"/>
    <row r="4077" customFormat="1" x14ac:dyDescent="0.25"/>
    <row r="4078" customFormat="1" x14ac:dyDescent="0.25"/>
    <row r="4079" customFormat="1" x14ac:dyDescent="0.25"/>
    <row r="4080" customFormat="1" x14ac:dyDescent="0.25"/>
    <row r="4081" customFormat="1" x14ac:dyDescent="0.25"/>
    <row r="4082" customFormat="1" x14ac:dyDescent="0.25"/>
    <row r="4083" customFormat="1" x14ac:dyDescent="0.25"/>
    <row r="4084" customFormat="1" x14ac:dyDescent="0.25"/>
    <row r="4085" customFormat="1" x14ac:dyDescent="0.25"/>
    <row r="4086" customFormat="1" x14ac:dyDescent="0.25"/>
    <row r="4087" customFormat="1" x14ac:dyDescent="0.25"/>
    <row r="4088" customFormat="1" x14ac:dyDescent="0.25"/>
    <row r="4089" customFormat="1" x14ac:dyDescent="0.25"/>
    <row r="4090" customFormat="1" x14ac:dyDescent="0.25"/>
    <row r="4091" customFormat="1" x14ac:dyDescent="0.25"/>
    <row r="4092" customFormat="1" x14ac:dyDescent="0.25"/>
    <row r="4093" customFormat="1" x14ac:dyDescent="0.25"/>
    <row r="4094" customFormat="1" x14ac:dyDescent="0.25"/>
    <row r="4095" customFormat="1" x14ac:dyDescent="0.25"/>
    <row r="4096" customFormat="1" x14ac:dyDescent="0.25"/>
    <row r="4097" customFormat="1" x14ac:dyDescent="0.25"/>
    <row r="4098" customFormat="1" x14ac:dyDescent="0.25"/>
    <row r="4099" customFormat="1" x14ac:dyDescent="0.25"/>
    <row r="4100" customFormat="1" x14ac:dyDescent="0.25"/>
    <row r="4101" customFormat="1" x14ac:dyDescent="0.25"/>
    <row r="4102" customFormat="1" x14ac:dyDescent="0.25"/>
    <row r="4103" customFormat="1" x14ac:dyDescent="0.25"/>
    <row r="4104" customFormat="1" x14ac:dyDescent="0.25"/>
    <row r="4105" customFormat="1" x14ac:dyDescent="0.25"/>
    <row r="4106" customFormat="1" x14ac:dyDescent="0.25"/>
    <row r="4107" customFormat="1" x14ac:dyDescent="0.25"/>
    <row r="4108" customFormat="1" x14ac:dyDescent="0.25"/>
    <row r="4109" customFormat="1" x14ac:dyDescent="0.25"/>
    <row r="4110" customFormat="1" x14ac:dyDescent="0.25"/>
    <row r="4111" customFormat="1" x14ac:dyDescent="0.25"/>
    <row r="4112" customFormat="1" x14ac:dyDescent="0.25"/>
    <row r="4113" customFormat="1" x14ac:dyDescent="0.25"/>
    <row r="4114" customFormat="1" x14ac:dyDescent="0.25"/>
    <row r="4115" customFormat="1" x14ac:dyDescent="0.25"/>
    <row r="4116" customFormat="1" x14ac:dyDescent="0.25"/>
    <row r="4117" customFormat="1" x14ac:dyDescent="0.25"/>
    <row r="4118" customFormat="1" x14ac:dyDescent="0.25"/>
    <row r="4119" customFormat="1" x14ac:dyDescent="0.25"/>
    <row r="4120" customFormat="1" x14ac:dyDescent="0.25"/>
    <row r="4121" customFormat="1" x14ac:dyDescent="0.25"/>
    <row r="4122" customFormat="1" x14ac:dyDescent="0.25"/>
    <row r="4123" customFormat="1" x14ac:dyDescent="0.25"/>
    <row r="4124" customFormat="1" x14ac:dyDescent="0.25"/>
    <row r="4125" customFormat="1" x14ac:dyDescent="0.25"/>
    <row r="4126" customFormat="1" x14ac:dyDescent="0.25"/>
    <row r="4127" customFormat="1" x14ac:dyDescent="0.25"/>
    <row r="4128" customFormat="1" x14ac:dyDescent="0.25"/>
    <row r="4129" customFormat="1" x14ac:dyDescent="0.25"/>
    <row r="4130" customFormat="1" x14ac:dyDescent="0.25"/>
    <row r="4131" customFormat="1" x14ac:dyDescent="0.25"/>
    <row r="4132" customFormat="1" x14ac:dyDescent="0.25"/>
    <row r="4133" customFormat="1" x14ac:dyDescent="0.25"/>
    <row r="4134" customFormat="1" x14ac:dyDescent="0.25"/>
    <row r="4135" customFormat="1" x14ac:dyDescent="0.25"/>
    <row r="4136" customFormat="1" x14ac:dyDescent="0.25"/>
    <row r="4137" customFormat="1" x14ac:dyDescent="0.25"/>
    <row r="4138" customFormat="1" x14ac:dyDescent="0.25"/>
    <row r="4139" customFormat="1" x14ac:dyDescent="0.25"/>
    <row r="4140" customFormat="1" x14ac:dyDescent="0.25"/>
    <row r="4141" customFormat="1" x14ac:dyDescent="0.25"/>
    <row r="4142" customFormat="1" x14ac:dyDescent="0.25"/>
    <row r="4143" customFormat="1" x14ac:dyDescent="0.25"/>
    <row r="4144" customFormat="1" x14ac:dyDescent="0.25"/>
    <row r="4145" customFormat="1" x14ac:dyDescent="0.25"/>
    <row r="4146" customFormat="1" x14ac:dyDescent="0.25"/>
    <row r="4147" customFormat="1" x14ac:dyDescent="0.25"/>
    <row r="4148" customFormat="1" x14ac:dyDescent="0.25"/>
    <row r="4149" customFormat="1" x14ac:dyDescent="0.25"/>
    <row r="4150" customFormat="1" x14ac:dyDescent="0.25"/>
    <row r="4151" customFormat="1" x14ac:dyDescent="0.25"/>
    <row r="4152" customFormat="1" x14ac:dyDescent="0.25"/>
    <row r="4153" customFormat="1" x14ac:dyDescent="0.25"/>
    <row r="4154" customFormat="1" x14ac:dyDescent="0.25"/>
    <row r="4155" customFormat="1" x14ac:dyDescent="0.25"/>
    <row r="4156" customFormat="1" x14ac:dyDescent="0.25"/>
    <row r="4157" customFormat="1" x14ac:dyDescent="0.25"/>
    <row r="4158" customFormat="1" x14ac:dyDescent="0.25"/>
    <row r="4159" customFormat="1" x14ac:dyDescent="0.25"/>
    <row r="4160" customFormat="1" x14ac:dyDescent="0.25"/>
    <row r="4161" customFormat="1" x14ac:dyDescent="0.25"/>
    <row r="4162" customFormat="1" x14ac:dyDescent="0.25"/>
    <row r="4163" customFormat="1" x14ac:dyDescent="0.25"/>
    <row r="4164" customFormat="1" x14ac:dyDescent="0.25"/>
    <row r="4165" customFormat="1" x14ac:dyDescent="0.25"/>
    <row r="4166" customFormat="1" x14ac:dyDescent="0.25"/>
    <row r="4167" customFormat="1" x14ac:dyDescent="0.25"/>
    <row r="4168" customFormat="1" x14ac:dyDescent="0.25"/>
    <row r="4169" customFormat="1" x14ac:dyDescent="0.25"/>
    <row r="4170" customFormat="1" x14ac:dyDescent="0.25"/>
    <row r="4171" customFormat="1" x14ac:dyDescent="0.25"/>
    <row r="4172" customFormat="1" x14ac:dyDescent="0.25"/>
    <row r="4173" customFormat="1" x14ac:dyDescent="0.25"/>
    <row r="4174" customFormat="1" x14ac:dyDescent="0.25"/>
    <row r="4175" customFormat="1" x14ac:dyDescent="0.25"/>
    <row r="4176" customFormat="1" x14ac:dyDescent="0.25"/>
    <row r="4177" customFormat="1" x14ac:dyDescent="0.25"/>
    <row r="4178" customFormat="1" x14ac:dyDescent="0.25"/>
    <row r="4179" customFormat="1" x14ac:dyDescent="0.25"/>
    <row r="4180" customFormat="1" x14ac:dyDescent="0.25"/>
    <row r="4181" customFormat="1" x14ac:dyDescent="0.25"/>
    <row r="4182" customFormat="1" x14ac:dyDescent="0.25"/>
    <row r="4183" customFormat="1" x14ac:dyDescent="0.25"/>
    <row r="4184" customFormat="1" x14ac:dyDescent="0.25"/>
    <row r="4185" customFormat="1" x14ac:dyDescent="0.25"/>
    <row r="4186" customFormat="1" x14ac:dyDescent="0.25"/>
    <row r="4187" customFormat="1" x14ac:dyDescent="0.25"/>
    <row r="4188" customFormat="1" x14ac:dyDescent="0.25"/>
    <row r="4189" customFormat="1" x14ac:dyDescent="0.25"/>
    <row r="4190" customFormat="1" x14ac:dyDescent="0.25"/>
    <row r="4191" customFormat="1" x14ac:dyDescent="0.25"/>
    <row r="4192" customFormat="1" x14ac:dyDescent="0.25"/>
    <row r="4193" customFormat="1" x14ac:dyDescent="0.25"/>
    <row r="4194" customFormat="1" x14ac:dyDescent="0.25"/>
    <row r="4195" customFormat="1" x14ac:dyDescent="0.25"/>
    <row r="4196" customFormat="1" x14ac:dyDescent="0.25"/>
    <row r="4197" customFormat="1" x14ac:dyDescent="0.25"/>
    <row r="4198" customFormat="1" x14ac:dyDescent="0.25"/>
    <row r="4199" customFormat="1" x14ac:dyDescent="0.25"/>
    <row r="4200" customFormat="1" x14ac:dyDescent="0.25"/>
    <row r="4201" customFormat="1" x14ac:dyDescent="0.25"/>
    <row r="4202" customFormat="1" x14ac:dyDescent="0.25"/>
    <row r="4203" customFormat="1" x14ac:dyDescent="0.25"/>
    <row r="4204" customFormat="1" x14ac:dyDescent="0.25"/>
    <row r="4205" customFormat="1" x14ac:dyDescent="0.25"/>
    <row r="4206" customFormat="1" x14ac:dyDescent="0.25"/>
    <row r="4207" customFormat="1" x14ac:dyDescent="0.25"/>
    <row r="4208" customFormat="1" x14ac:dyDescent="0.25"/>
    <row r="4209" customFormat="1" x14ac:dyDescent="0.25"/>
    <row r="4210" customFormat="1" x14ac:dyDescent="0.25"/>
    <row r="4211" customFormat="1" x14ac:dyDescent="0.25"/>
    <row r="4212" customFormat="1" x14ac:dyDescent="0.25"/>
    <row r="4213" customFormat="1" x14ac:dyDescent="0.25"/>
    <row r="4214" customFormat="1" x14ac:dyDescent="0.25"/>
    <row r="4215" customFormat="1" x14ac:dyDescent="0.25"/>
    <row r="4216" customFormat="1" x14ac:dyDescent="0.25"/>
    <row r="4217" customFormat="1" x14ac:dyDescent="0.25"/>
    <row r="4218" customFormat="1" x14ac:dyDescent="0.25"/>
    <row r="4219" customFormat="1" x14ac:dyDescent="0.25"/>
    <row r="4220" customFormat="1" x14ac:dyDescent="0.25"/>
    <row r="4221" customFormat="1" x14ac:dyDescent="0.25"/>
    <row r="4222" customFormat="1" x14ac:dyDescent="0.25"/>
    <row r="4223" customFormat="1" x14ac:dyDescent="0.25"/>
    <row r="4224" customFormat="1" x14ac:dyDescent="0.25"/>
    <row r="4225" customFormat="1" x14ac:dyDescent="0.25"/>
    <row r="4226" customFormat="1" x14ac:dyDescent="0.25"/>
    <row r="4227" customFormat="1" x14ac:dyDescent="0.25"/>
    <row r="4228" customFormat="1" x14ac:dyDescent="0.25"/>
    <row r="4229" customFormat="1" x14ac:dyDescent="0.25"/>
    <row r="4230" customFormat="1" x14ac:dyDescent="0.25"/>
    <row r="4231" customFormat="1" x14ac:dyDescent="0.25"/>
    <row r="4232" customFormat="1" x14ac:dyDescent="0.25"/>
    <row r="4233" customFormat="1" x14ac:dyDescent="0.25"/>
    <row r="4234" customFormat="1" x14ac:dyDescent="0.25"/>
    <row r="4235" customFormat="1" x14ac:dyDescent="0.25"/>
    <row r="4236" customFormat="1" x14ac:dyDescent="0.25"/>
    <row r="4237" customFormat="1" x14ac:dyDescent="0.25"/>
    <row r="4238" customFormat="1" x14ac:dyDescent="0.25"/>
    <row r="4239" customFormat="1" x14ac:dyDescent="0.25"/>
    <row r="4240" customFormat="1" x14ac:dyDescent="0.25"/>
    <row r="4241" customFormat="1" x14ac:dyDescent="0.25"/>
    <row r="4242" customFormat="1" x14ac:dyDescent="0.25"/>
    <row r="4243" customFormat="1" x14ac:dyDescent="0.25"/>
    <row r="4244" customFormat="1" x14ac:dyDescent="0.25"/>
    <row r="4245" customFormat="1" x14ac:dyDescent="0.25"/>
    <row r="4246" customFormat="1" x14ac:dyDescent="0.25"/>
    <row r="4247" customFormat="1" x14ac:dyDescent="0.25"/>
    <row r="4248" customFormat="1" x14ac:dyDescent="0.25"/>
    <row r="4249" customFormat="1" x14ac:dyDescent="0.25"/>
    <row r="4250" customFormat="1" x14ac:dyDescent="0.25"/>
    <row r="4251" customFormat="1" x14ac:dyDescent="0.25"/>
    <row r="4252" customFormat="1" x14ac:dyDescent="0.25"/>
    <row r="4253" customFormat="1" x14ac:dyDescent="0.25"/>
    <row r="4254" customFormat="1" x14ac:dyDescent="0.25"/>
    <row r="4255" customFormat="1" x14ac:dyDescent="0.25"/>
    <row r="4256" customFormat="1" x14ac:dyDescent="0.25"/>
    <row r="4257" customFormat="1" x14ac:dyDescent="0.25"/>
    <row r="4258" customFormat="1" x14ac:dyDescent="0.25"/>
    <row r="4259" customFormat="1" x14ac:dyDescent="0.25"/>
    <row r="4260" customFormat="1" x14ac:dyDescent="0.25"/>
    <row r="4261" customFormat="1" x14ac:dyDescent="0.25"/>
    <row r="4262" customFormat="1" x14ac:dyDescent="0.25"/>
    <row r="4263" customFormat="1" x14ac:dyDescent="0.25"/>
    <row r="4264" customFormat="1" x14ac:dyDescent="0.25"/>
    <row r="4265" customFormat="1" x14ac:dyDescent="0.25"/>
    <row r="4266" customFormat="1" x14ac:dyDescent="0.25"/>
    <row r="4267" customFormat="1" x14ac:dyDescent="0.25"/>
    <row r="4268" customFormat="1" x14ac:dyDescent="0.25"/>
    <row r="4269" customFormat="1" x14ac:dyDescent="0.25"/>
    <row r="4270" customFormat="1" x14ac:dyDescent="0.25"/>
    <row r="4271" customFormat="1" x14ac:dyDescent="0.25"/>
    <row r="4272" customFormat="1" x14ac:dyDescent="0.25"/>
    <row r="4273" customFormat="1" x14ac:dyDescent="0.25"/>
    <row r="4274" customFormat="1" x14ac:dyDescent="0.25"/>
    <row r="4275" customFormat="1" x14ac:dyDescent="0.25"/>
    <row r="4276" customFormat="1" x14ac:dyDescent="0.25"/>
    <row r="4277" customFormat="1" x14ac:dyDescent="0.25"/>
    <row r="4278" customFormat="1" x14ac:dyDescent="0.25"/>
    <row r="4279" customFormat="1" x14ac:dyDescent="0.25"/>
    <row r="4280" customFormat="1" x14ac:dyDescent="0.25"/>
    <row r="4281" customFormat="1" x14ac:dyDescent="0.25"/>
    <row r="4282" customFormat="1" x14ac:dyDescent="0.25"/>
    <row r="4283" customFormat="1" x14ac:dyDescent="0.25"/>
    <row r="4284" customFormat="1" x14ac:dyDescent="0.25"/>
    <row r="4285" customFormat="1" x14ac:dyDescent="0.25"/>
    <row r="4286" customFormat="1" x14ac:dyDescent="0.25"/>
    <row r="4287" customFormat="1" x14ac:dyDescent="0.25"/>
    <row r="4288" customFormat="1" x14ac:dyDescent="0.25"/>
    <row r="4289" customFormat="1" x14ac:dyDescent="0.25"/>
    <row r="4290" customFormat="1" x14ac:dyDescent="0.25"/>
    <row r="4291" customFormat="1" x14ac:dyDescent="0.25"/>
    <row r="4292" customFormat="1" x14ac:dyDescent="0.25"/>
    <row r="4293" customFormat="1" x14ac:dyDescent="0.25"/>
    <row r="4294" customFormat="1" x14ac:dyDescent="0.25"/>
    <row r="4295" customFormat="1" x14ac:dyDescent="0.25"/>
    <row r="4296" customFormat="1" x14ac:dyDescent="0.25"/>
    <row r="4297" customFormat="1" x14ac:dyDescent="0.25"/>
    <row r="4298" customFormat="1" x14ac:dyDescent="0.25"/>
    <row r="4299" customFormat="1" x14ac:dyDescent="0.25"/>
    <row r="4300" customFormat="1" x14ac:dyDescent="0.25"/>
    <row r="4301" customFormat="1" x14ac:dyDescent="0.25"/>
    <row r="4302" customFormat="1" x14ac:dyDescent="0.25"/>
    <row r="4303" customFormat="1" x14ac:dyDescent="0.25"/>
    <row r="4304" customFormat="1" x14ac:dyDescent="0.25"/>
    <row r="4305" customFormat="1" x14ac:dyDescent="0.25"/>
    <row r="4306" customFormat="1" x14ac:dyDescent="0.25"/>
    <row r="4307" customFormat="1" x14ac:dyDescent="0.25"/>
    <row r="4308" customFormat="1" x14ac:dyDescent="0.25"/>
    <row r="4309" customFormat="1" x14ac:dyDescent="0.25"/>
    <row r="4310" customFormat="1" x14ac:dyDescent="0.25"/>
    <row r="4311" customFormat="1" x14ac:dyDescent="0.25"/>
    <row r="4312" customFormat="1" x14ac:dyDescent="0.25"/>
    <row r="4313" customFormat="1" x14ac:dyDescent="0.25"/>
    <row r="4314" customFormat="1" x14ac:dyDescent="0.25"/>
    <row r="4315" customFormat="1" x14ac:dyDescent="0.25"/>
    <row r="4316" customFormat="1" x14ac:dyDescent="0.25"/>
    <row r="4317" customFormat="1" x14ac:dyDescent="0.25"/>
    <row r="4318" customFormat="1" x14ac:dyDescent="0.25"/>
    <row r="4319" customFormat="1" x14ac:dyDescent="0.25"/>
    <row r="4320" customFormat="1" x14ac:dyDescent="0.25"/>
    <row r="4321" customFormat="1" x14ac:dyDescent="0.25"/>
    <row r="4322" customFormat="1" x14ac:dyDescent="0.25"/>
    <row r="4323" customFormat="1" x14ac:dyDescent="0.25"/>
    <row r="4324" customFormat="1" x14ac:dyDescent="0.25"/>
    <row r="4325" customFormat="1" x14ac:dyDescent="0.25"/>
    <row r="4326" customFormat="1" x14ac:dyDescent="0.25"/>
    <row r="4327" customFormat="1" x14ac:dyDescent="0.25"/>
    <row r="4328" customFormat="1" x14ac:dyDescent="0.25"/>
    <row r="4329" customFormat="1" x14ac:dyDescent="0.25"/>
    <row r="4330" customFormat="1" x14ac:dyDescent="0.25"/>
    <row r="4331" customFormat="1" x14ac:dyDescent="0.25"/>
    <row r="4332" customFormat="1" x14ac:dyDescent="0.25"/>
    <row r="4333" customFormat="1" x14ac:dyDescent="0.25"/>
    <row r="4334" customFormat="1" x14ac:dyDescent="0.25"/>
    <row r="4335" customFormat="1" x14ac:dyDescent="0.25"/>
    <row r="4336" customFormat="1" x14ac:dyDescent="0.25"/>
    <row r="4337" customFormat="1" x14ac:dyDescent="0.25"/>
    <row r="4338" customFormat="1" x14ac:dyDescent="0.25"/>
    <row r="4339" customFormat="1" x14ac:dyDescent="0.25"/>
    <row r="4340" customFormat="1" x14ac:dyDescent="0.25"/>
    <row r="4341" customFormat="1" x14ac:dyDescent="0.25"/>
    <row r="4342" customFormat="1" x14ac:dyDescent="0.25"/>
    <row r="4343" customFormat="1" x14ac:dyDescent="0.25"/>
    <row r="4344" customFormat="1" x14ac:dyDescent="0.25"/>
    <row r="4345" customFormat="1" x14ac:dyDescent="0.25"/>
    <row r="4346" customFormat="1" x14ac:dyDescent="0.25"/>
    <row r="4347" customFormat="1" x14ac:dyDescent="0.25"/>
    <row r="4348" customFormat="1" x14ac:dyDescent="0.25"/>
    <row r="4349" customFormat="1" x14ac:dyDescent="0.25"/>
    <row r="4350" customFormat="1" x14ac:dyDescent="0.25"/>
    <row r="4351" customFormat="1" x14ac:dyDescent="0.25"/>
    <row r="4352" customFormat="1" x14ac:dyDescent="0.25"/>
    <row r="4353" customFormat="1" x14ac:dyDescent="0.25"/>
    <row r="4354" customFormat="1" x14ac:dyDescent="0.25"/>
    <row r="4355" customFormat="1" x14ac:dyDescent="0.25"/>
    <row r="4356" customFormat="1" x14ac:dyDescent="0.25"/>
    <row r="4357" customFormat="1" x14ac:dyDescent="0.25"/>
    <row r="4358" customFormat="1" x14ac:dyDescent="0.25"/>
    <row r="4359" customFormat="1" x14ac:dyDescent="0.25"/>
    <row r="4360" customFormat="1" x14ac:dyDescent="0.25"/>
    <row r="4361" customFormat="1" x14ac:dyDescent="0.25"/>
    <row r="4362" customFormat="1" x14ac:dyDescent="0.25"/>
    <row r="4363" customFormat="1" x14ac:dyDescent="0.25"/>
    <row r="4364" customFormat="1" x14ac:dyDescent="0.25"/>
    <row r="4365" customFormat="1" x14ac:dyDescent="0.25"/>
    <row r="4366" customFormat="1" x14ac:dyDescent="0.25"/>
    <row r="4367" customFormat="1" x14ac:dyDescent="0.25"/>
    <row r="4368" customFormat="1" x14ac:dyDescent="0.25"/>
    <row r="4369" customFormat="1" x14ac:dyDescent="0.25"/>
    <row r="4370" customFormat="1" x14ac:dyDescent="0.25"/>
    <row r="4371" customFormat="1" x14ac:dyDescent="0.25"/>
    <row r="4372" customFormat="1" x14ac:dyDescent="0.25"/>
    <row r="4373" customFormat="1" x14ac:dyDescent="0.25"/>
    <row r="4374" customFormat="1" x14ac:dyDescent="0.25"/>
    <row r="4375" customFormat="1" x14ac:dyDescent="0.25"/>
    <row r="4376" customFormat="1" x14ac:dyDescent="0.25"/>
    <row r="4377" customFormat="1" x14ac:dyDescent="0.25"/>
    <row r="4378" customFormat="1" x14ac:dyDescent="0.25"/>
    <row r="4379" customFormat="1" x14ac:dyDescent="0.25"/>
    <row r="4380" customFormat="1" x14ac:dyDescent="0.25"/>
    <row r="4381" customFormat="1" x14ac:dyDescent="0.25"/>
    <row r="4382" customFormat="1" x14ac:dyDescent="0.25"/>
    <row r="4383" customFormat="1" x14ac:dyDescent="0.25"/>
    <row r="4384" customFormat="1" x14ac:dyDescent="0.25"/>
    <row r="4385" customFormat="1" x14ac:dyDescent="0.25"/>
    <row r="4386" customFormat="1" x14ac:dyDescent="0.25"/>
    <row r="4387" customFormat="1" x14ac:dyDescent="0.25"/>
    <row r="4388" customFormat="1" x14ac:dyDescent="0.25"/>
    <row r="4389" customFormat="1" x14ac:dyDescent="0.25"/>
    <row r="4390" customFormat="1" x14ac:dyDescent="0.25"/>
    <row r="4391" customFormat="1" x14ac:dyDescent="0.25"/>
    <row r="4392" customFormat="1" x14ac:dyDescent="0.25"/>
    <row r="4393" customFormat="1" x14ac:dyDescent="0.25"/>
    <row r="4394" customFormat="1" x14ac:dyDescent="0.25"/>
    <row r="4395" customFormat="1" x14ac:dyDescent="0.25"/>
    <row r="4396" customFormat="1" x14ac:dyDescent="0.25"/>
    <row r="4397" customFormat="1" x14ac:dyDescent="0.25"/>
    <row r="4398" customFormat="1" x14ac:dyDescent="0.25"/>
    <row r="4399" customFormat="1" x14ac:dyDescent="0.25"/>
    <row r="4400" customFormat="1" x14ac:dyDescent="0.25"/>
    <row r="4401" customFormat="1" x14ac:dyDescent="0.25"/>
    <row r="4402" customFormat="1" x14ac:dyDescent="0.25"/>
    <row r="4403" customFormat="1" x14ac:dyDescent="0.25"/>
    <row r="4404" customFormat="1" x14ac:dyDescent="0.25"/>
    <row r="4405" customFormat="1" x14ac:dyDescent="0.25"/>
    <row r="4406" customFormat="1" x14ac:dyDescent="0.25"/>
    <row r="4407" customFormat="1" x14ac:dyDescent="0.25"/>
    <row r="4408" customFormat="1" x14ac:dyDescent="0.25"/>
    <row r="4409" customFormat="1" x14ac:dyDescent="0.25"/>
    <row r="4410" customFormat="1" x14ac:dyDescent="0.25"/>
    <row r="4411" customFormat="1" x14ac:dyDescent="0.25"/>
    <row r="4412" customFormat="1" x14ac:dyDescent="0.25"/>
    <row r="4413" customFormat="1" x14ac:dyDescent="0.25"/>
    <row r="4414" customFormat="1" x14ac:dyDescent="0.25"/>
    <row r="4415" customFormat="1" x14ac:dyDescent="0.25"/>
    <row r="4416" customFormat="1" x14ac:dyDescent="0.25"/>
    <row r="4417" customFormat="1" x14ac:dyDescent="0.25"/>
    <row r="4418" customFormat="1" x14ac:dyDescent="0.25"/>
    <row r="4419" customFormat="1" x14ac:dyDescent="0.25"/>
    <row r="4420" customFormat="1" x14ac:dyDescent="0.25"/>
    <row r="4421" customFormat="1" x14ac:dyDescent="0.25"/>
    <row r="4422" customFormat="1" x14ac:dyDescent="0.25"/>
    <row r="4423" customFormat="1" x14ac:dyDescent="0.25"/>
    <row r="4424" customFormat="1" x14ac:dyDescent="0.25"/>
    <row r="4425" customFormat="1" x14ac:dyDescent="0.25"/>
    <row r="4426" customFormat="1" x14ac:dyDescent="0.25"/>
    <row r="4427" customFormat="1" x14ac:dyDescent="0.25"/>
    <row r="4428" customFormat="1" x14ac:dyDescent="0.25"/>
    <row r="4429" customFormat="1" x14ac:dyDescent="0.25"/>
    <row r="4430" customFormat="1" x14ac:dyDescent="0.25"/>
    <row r="4431" customFormat="1" x14ac:dyDescent="0.25"/>
    <row r="4432" customFormat="1" x14ac:dyDescent="0.25"/>
    <row r="4433" customFormat="1" x14ac:dyDescent="0.25"/>
    <row r="4434" customFormat="1" x14ac:dyDescent="0.25"/>
    <row r="4435" customFormat="1" x14ac:dyDescent="0.25"/>
    <row r="4436" customFormat="1" x14ac:dyDescent="0.25"/>
    <row r="4437" customFormat="1" x14ac:dyDescent="0.25"/>
    <row r="4438" customFormat="1" x14ac:dyDescent="0.25"/>
    <row r="4439" customFormat="1" x14ac:dyDescent="0.25"/>
    <row r="4440" customFormat="1" x14ac:dyDescent="0.25"/>
    <row r="4441" customFormat="1" x14ac:dyDescent="0.25"/>
    <row r="4442" customFormat="1" x14ac:dyDescent="0.25"/>
    <row r="4443" customFormat="1" x14ac:dyDescent="0.25"/>
    <row r="4444" customFormat="1" x14ac:dyDescent="0.25"/>
    <row r="4445" customFormat="1" x14ac:dyDescent="0.25"/>
    <row r="4446" customFormat="1" x14ac:dyDescent="0.25"/>
    <row r="4447" customFormat="1" x14ac:dyDescent="0.25"/>
    <row r="4448" customFormat="1" x14ac:dyDescent="0.25"/>
    <row r="4449" customFormat="1" x14ac:dyDescent="0.25"/>
    <row r="4450" customFormat="1" x14ac:dyDescent="0.25"/>
    <row r="4451" customFormat="1" x14ac:dyDescent="0.25"/>
    <row r="4452" customFormat="1" x14ac:dyDescent="0.25"/>
    <row r="4453" customFormat="1" x14ac:dyDescent="0.25"/>
    <row r="4454" customFormat="1" x14ac:dyDescent="0.25"/>
    <row r="4455" customFormat="1" x14ac:dyDescent="0.25"/>
    <row r="4456" customFormat="1" x14ac:dyDescent="0.25"/>
    <row r="4457" customFormat="1" x14ac:dyDescent="0.25"/>
    <row r="4458" customFormat="1" x14ac:dyDescent="0.25"/>
    <row r="4459" customFormat="1" x14ac:dyDescent="0.25"/>
    <row r="4460" customFormat="1" x14ac:dyDescent="0.25"/>
    <row r="4461" customFormat="1" x14ac:dyDescent="0.25"/>
    <row r="4462" customFormat="1" x14ac:dyDescent="0.25"/>
    <row r="4463" customFormat="1" x14ac:dyDescent="0.25"/>
    <row r="4464" customFormat="1" x14ac:dyDescent="0.25"/>
    <row r="4465" customFormat="1" x14ac:dyDescent="0.25"/>
    <row r="4466" customFormat="1" x14ac:dyDescent="0.25"/>
    <row r="4467" customFormat="1" x14ac:dyDescent="0.25"/>
    <row r="4468" customFormat="1" x14ac:dyDescent="0.25"/>
    <row r="4469" customFormat="1" x14ac:dyDescent="0.25"/>
    <row r="4470" customFormat="1" x14ac:dyDescent="0.25"/>
    <row r="4471" customFormat="1" x14ac:dyDescent="0.25"/>
    <row r="4472" customFormat="1" x14ac:dyDescent="0.25"/>
    <row r="4473" customFormat="1" x14ac:dyDescent="0.25"/>
    <row r="4474" customFormat="1" x14ac:dyDescent="0.25"/>
    <row r="4475" customFormat="1" x14ac:dyDescent="0.25"/>
    <row r="4476" customFormat="1" x14ac:dyDescent="0.25"/>
    <row r="4477" customFormat="1" x14ac:dyDescent="0.25"/>
    <row r="4478" customFormat="1" x14ac:dyDescent="0.25"/>
    <row r="4479" customFormat="1" x14ac:dyDescent="0.25"/>
    <row r="4480" customFormat="1" x14ac:dyDescent="0.25"/>
    <row r="4481" customFormat="1" x14ac:dyDescent="0.25"/>
    <row r="4482" customFormat="1" x14ac:dyDescent="0.25"/>
    <row r="4483" customFormat="1" x14ac:dyDescent="0.25"/>
    <row r="4484" customFormat="1" x14ac:dyDescent="0.25"/>
    <row r="4485" customFormat="1" x14ac:dyDescent="0.25"/>
    <row r="4486" customFormat="1" x14ac:dyDescent="0.25"/>
    <row r="4487" customFormat="1" x14ac:dyDescent="0.25"/>
    <row r="4488" customFormat="1" x14ac:dyDescent="0.25"/>
    <row r="4489" customFormat="1" x14ac:dyDescent="0.25"/>
    <row r="4490" customFormat="1" x14ac:dyDescent="0.25"/>
    <row r="4491" customFormat="1" x14ac:dyDescent="0.25"/>
    <row r="4492" customFormat="1" x14ac:dyDescent="0.25"/>
    <row r="4493" customFormat="1" x14ac:dyDescent="0.25"/>
    <row r="4494" customFormat="1" x14ac:dyDescent="0.25"/>
    <row r="4495" customFormat="1" x14ac:dyDescent="0.25"/>
    <row r="4496" customFormat="1" x14ac:dyDescent="0.25"/>
    <row r="4497" customFormat="1" x14ac:dyDescent="0.25"/>
    <row r="4498" customFormat="1" x14ac:dyDescent="0.25"/>
    <row r="4499" customFormat="1" x14ac:dyDescent="0.25"/>
    <row r="4500" customFormat="1" x14ac:dyDescent="0.25"/>
    <row r="4501" customFormat="1" x14ac:dyDescent="0.25"/>
    <row r="4502" customFormat="1" x14ac:dyDescent="0.25"/>
    <row r="4503" customFormat="1" x14ac:dyDescent="0.25"/>
    <row r="4504" customFormat="1" x14ac:dyDescent="0.25"/>
    <row r="4505" customFormat="1" x14ac:dyDescent="0.25"/>
    <row r="4506" customFormat="1" x14ac:dyDescent="0.25"/>
    <row r="4507" customFormat="1" x14ac:dyDescent="0.25"/>
    <row r="4508" customFormat="1" x14ac:dyDescent="0.25"/>
    <row r="4509" customFormat="1" x14ac:dyDescent="0.25"/>
    <row r="4510" customFormat="1" x14ac:dyDescent="0.25"/>
    <row r="4511" customFormat="1" x14ac:dyDescent="0.25"/>
    <row r="4512" customFormat="1" x14ac:dyDescent="0.25"/>
    <row r="4513" customFormat="1" x14ac:dyDescent="0.25"/>
    <row r="4514" customFormat="1" x14ac:dyDescent="0.25"/>
    <row r="4515" customFormat="1" x14ac:dyDescent="0.25"/>
    <row r="4516" customFormat="1" x14ac:dyDescent="0.25"/>
    <row r="4517" customFormat="1" x14ac:dyDescent="0.25"/>
    <row r="4518" customFormat="1" x14ac:dyDescent="0.25"/>
    <row r="4519" customFormat="1" x14ac:dyDescent="0.25"/>
    <row r="4520" customFormat="1" x14ac:dyDescent="0.25"/>
    <row r="4521" customFormat="1" x14ac:dyDescent="0.25"/>
    <row r="4522" customFormat="1" x14ac:dyDescent="0.25"/>
    <row r="4523" customFormat="1" x14ac:dyDescent="0.25"/>
    <row r="4524" customFormat="1" x14ac:dyDescent="0.25"/>
    <row r="4525" customFormat="1" x14ac:dyDescent="0.25"/>
    <row r="4526" customFormat="1" x14ac:dyDescent="0.25"/>
    <row r="4527" customFormat="1" x14ac:dyDescent="0.25"/>
    <row r="4528" customFormat="1" x14ac:dyDescent="0.25"/>
    <row r="4529" customFormat="1" x14ac:dyDescent="0.25"/>
    <row r="4530" customFormat="1" x14ac:dyDescent="0.25"/>
    <row r="4531" customFormat="1" x14ac:dyDescent="0.25"/>
    <row r="4532" customFormat="1" x14ac:dyDescent="0.25"/>
    <row r="4533" customFormat="1" x14ac:dyDescent="0.25"/>
    <row r="4534" customFormat="1" x14ac:dyDescent="0.25"/>
    <row r="4535" customFormat="1" x14ac:dyDescent="0.25"/>
    <row r="4536" customFormat="1" x14ac:dyDescent="0.25"/>
    <row r="4537" customFormat="1" x14ac:dyDescent="0.25"/>
    <row r="4538" customFormat="1" x14ac:dyDescent="0.25"/>
    <row r="4539" customFormat="1" x14ac:dyDescent="0.25"/>
    <row r="4540" customFormat="1" x14ac:dyDescent="0.25"/>
    <row r="4541" customFormat="1" x14ac:dyDescent="0.25"/>
    <row r="4542" customFormat="1" x14ac:dyDescent="0.25"/>
    <row r="4543" customFormat="1" x14ac:dyDescent="0.25"/>
    <row r="4544" customFormat="1" x14ac:dyDescent="0.25"/>
    <row r="4545" customFormat="1" x14ac:dyDescent="0.25"/>
    <row r="4546" customFormat="1" x14ac:dyDescent="0.25"/>
    <row r="4547" customFormat="1" x14ac:dyDescent="0.25"/>
    <row r="4548" customFormat="1" x14ac:dyDescent="0.25"/>
    <row r="4549" customFormat="1" x14ac:dyDescent="0.25"/>
    <row r="4550" customFormat="1" x14ac:dyDescent="0.25"/>
    <row r="4551" customFormat="1" x14ac:dyDescent="0.25"/>
    <row r="4552" customFormat="1" x14ac:dyDescent="0.25"/>
    <row r="4553" customFormat="1" x14ac:dyDescent="0.25"/>
    <row r="4554" customFormat="1" x14ac:dyDescent="0.25"/>
    <row r="4555" customFormat="1" x14ac:dyDescent="0.25"/>
    <row r="4556" customFormat="1" x14ac:dyDescent="0.25"/>
    <row r="4557" customFormat="1" x14ac:dyDescent="0.25"/>
    <row r="4558" customFormat="1" x14ac:dyDescent="0.25"/>
    <row r="4559" customFormat="1" x14ac:dyDescent="0.25"/>
    <row r="4560" customFormat="1" x14ac:dyDescent="0.25"/>
    <row r="4561" customFormat="1" x14ac:dyDescent="0.25"/>
    <row r="4562" customFormat="1" x14ac:dyDescent="0.25"/>
    <row r="4563" customFormat="1" x14ac:dyDescent="0.25"/>
    <row r="4564" customFormat="1" x14ac:dyDescent="0.25"/>
    <row r="4565" customFormat="1" x14ac:dyDescent="0.25"/>
    <row r="4566" customFormat="1" x14ac:dyDescent="0.25"/>
    <row r="4567" customFormat="1" x14ac:dyDescent="0.25"/>
    <row r="4568" customFormat="1" x14ac:dyDescent="0.25"/>
    <row r="4569" customFormat="1" x14ac:dyDescent="0.25"/>
    <row r="4570" customFormat="1" x14ac:dyDescent="0.25"/>
    <row r="4571" customFormat="1" x14ac:dyDescent="0.25"/>
    <row r="4572" customFormat="1" x14ac:dyDescent="0.25"/>
    <row r="4573" customFormat="1" x14ac:dyDescent="0.25"/>
    <row r="4574" customFormat="1" x14ac:dyDescent="0.25"/>
    <row r="4575" customFormat="1" x14ac:dyDescent="0.25"/>
    <row r="4576" customFormat="1" x14ac:dyDescent="0.25"/>
    <row r="4577" customFormat="1" x14ac:dyDescent="0.25"/>
    <row r="4578" customFormat="1" x14ac:dyDescent="0.25"/>
    <row r="4579" customFormat="1" x14ac:dyDescent="0.25"/>
    <row r="4580" customFormat="1" x14ac:dyDescent="0.25"/>
    <row r="4581" customFormat="1" x14ac:dyDescent="0.25"/>
    <row r="4582" customFormat="1" x14ac:dyDescent="0.25"/>
    <row r="4583" customFormat="1" x14ac:dyDescent="0.25"/>
    <row r="4584" customFormat="1" x14ac:dyDescent="0.25"/>
    <row r="4585" customFormat="1" x14ac:dyDescent="0.25"/>
    <row r="4586" customFormat="1" x14ac:dyDescent="0.25"/>
    <row r="4587" customFormat="1" x14ac:dyDescent="0.25"/>
    <row r="4588" customFormat="1" x14ac:dyDescent="0.25"/>
    <row r="4589" customFormat="1" x14ac:dyDescent="0.25"/>
    <row r="4590" customFormat="1" x14ac:dyDescent="0.25"/>
    <row r="4591" customFormat="1" x14ac:dyDescent="0.25"/>
    <row r="4592" customFormat="1" x14ac:dyDescent="0.25"/>
    <row r="4593" customFormat="1" x14ac:dyDescent="0.25"/>
    <row r="4594" customFormat="1" x14ac:dyDescent="0.25"/>
    <row r="4595" customFormat="1" x14ac:dyDescent="0.25"/>
    <row r="4596" customFormat="1" x14ac:dyDescent="0.25"/>
    <row r="4597" customFormat="1" x14ac:dyDescent="0.25"/>
    <row r="4598" customFormat="1" x14ac:dyDescent="0.25"/>
    <row r="4599" customFormat="1" x14ac:dyDescent="0.25"/>
    <row r="4600" customFormat="1" x14ac:dyDescent="0.25"/>
    <row r="4601" customFormat="1" x14ac:dyDescent="0.25"/>
    <row r="4602" customFormat="1" x14ac:dyDescent="0.25"/>
    <row r="4603" customFormat="1" x14ac:dyDescent="0.25"/>
    <row r="4604" customFormat="1" x14ac:dyDescent="0.25"/>
    <row r="4605" customFormat="1" x14ac:dyDescent="0.25"/>
    <row r="4606" customFormat="1" x14ac:dyDescent="0.25"/>
    <row r="4607" customFormat="1" x14ac:dyDescent="0.25"/>
    <row r="4608" customFormat="1" x14ac:dyDescent="0.25"/>
    <row r="4609" customFormat="1" x14ac:dyDescent="0.25"/>
    <row r="4610" customFormat="1" x14ac:dyDescent="0.25"/>
    <row r="4611" customFormat="1" x14ac:dyDescent="0.25"/>
    <row r="4612" customFormat="1" x14ac:dyDescent="0.25"/>
    <row r="4613" customFormat="1" x14ac:dyDescent="0.25"/>
    <row r="4614" customFormat="1" x14ac:dyDescent="0.25"/>
    <row r="4615" customFormat="1" x14ac:dyDescent="0.25"/>
    <row r="4616" customFormat="1" x14ac:dyDescent="0.25"/>
    <row r="4617" customFormat="1" x14ac:dyDescent="0.25"/>
    <row r="4618" customFormat="1" x14ac:dyDescent="0.25"/>
    <row r="4619" customFormat="1" x14ac:dyDescent="0.25"/>
    <row r="4620" customFormat="1" x14ac:dyDescent="0.25"/>
    <row r="4621" customFormat="1" x14ac:dyDescent="0.25"/>
    <row r="4622" customFormat="1" x14ac:dyDescent="0.25"/>
    <row r="4623" customFormat="1" x14ac:dyDescent="0.25"/>
  </sheetData>
  <autoFilter ref="B2:D2" xr:uid="{F6BAF904-8339-CB46-BA51-E9DA632A172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  <pageSetUpPr fitToPage="1"/>
  </sheetPr>
  <dimension ref="B1:AM2509"/>
  <sheetViews>
    <sheetView tabSelected="1" zoomScaleNormal="100" workbookViewId="0">
      <selection activeCell="C3" sqref="C3:F3"/>
    </sheetView>
  </sheetViews>
  <sheetFormatPr defaultColWidth="8.85546875" defaultRowHeight="15" x14ac:dyDescent="0.25"/>
  <cols>
    <col min="1" max="1" width="0.85546875" style="5" customWidth="1"/>
    <col min="2" max="2" width="1.42578125" style="5" customWidth="1"/>
    <col min="3" max="3" width="12" style="5" customWidth="1"/>
    <col min="4" max="4" width="8.42578125" style="5" customWidth="1"/>
    <col min="5" max="5" width="4.5703125" style="5" customWidth="1"/>
    <col min="6" max="6" width="10.42578125" style="5" customWidth="1"/>
    <col min="7" max="7" width="8.28515625" style="5" customWidth="1"/>
    <col min="8" max="8" width="3.85546875" style="5" customWidth="1"/>
    <col min="9" max="9" width="1.140625" style="5" customWidth="1"/>
    <col min="10" max="10" width="0.85546875" style="5" customWidth="1"/>
    <col min="11" max="11" width="1.28515625" style="5" customWidth="1"/>
    <col min="12" max="12" width="9" style="5" customWidth="1"/>
    <col min="13" max="13" width="8.85546875" style="5"/>
    <col min="14" max="14" width="10.28515625" style="5" customWidth="1"/>
    <col min="15" max="15" width="7" style="5" customWidth="1"/>
    <col min="16" max="16" width="1" style="5" customWidth="1"/>
    <col min="17" max="17" width="0.85546875" style="5" customWidth="1"/>
    <col min="18" max="18" width="9.7109375" style="5" customWidth="1"/>
    <col min="19" max="19" width="8.85546875" style="5"/>
    <col min="20" max="20" width="10.85546875" style="5" customWidth="1"/>
    <col min="21" max="21" width="8.42578125" style="5" customWidth="1"/>
    <col min="22" max="22" width="6.7109375" style="5" customWidth="1"/>
    <col min="23" max="23" width="8.140625" style="5" customWidth="1"/>
    <col min="24" max="24" width="0.85546875" style="5" customWidth="1"/>
    <col min="25" max="25" width="1.140625" style="5" customWidth="1"/>
    <col min="26" max="26" width="0.85546875" style="5" customWidth="1"/>
    <col min="27" max="27" width="8.28515625" style="5" customWidth="1"/>
    <col min="28" max="28" width="8.85546875" style="5"/>
    <col min="29" max="29" width="12.7109375" style="5" customWidth="1"/>
    <col min="30" max="30" width="4.85546875" style="5" customWidth="1"/>
    <col min="31" max="31" width="2.85546875" style="5" customWidth="1"/>
    <col min="32" max="33" width="8.85546875" style="5"/>
    <col min="34" max="34" width="10.85546875" style="5" customWidth="1"/>
    <col min="35" max="36" width="8.85546875" style="5"/>
    <col min="37" max="37" width="8.42578125" style="5" customWidth="1"/>
    <col min="38" max="38" width="0.85546875" style="5" customWidth="1"/>
    <col min="39" max="16384" width="8.85546875" style="5"/>
  </cols>
  <sheetData>
    <row r="1" spans="2:39" ht="4.7" customHeight="1" thickBot="1" x14ac:dyDescent="0.3"/>
    <row r="2" spans="2:39" ht="4.3499999999999996" customHeight="1" thickBot="1" x14ac:dyDescent="0.3">
      <c r="B2" s="16"/>
      <c r="C2" s="17"/>
      <c r="D2" s="17"/>
      <c r="E2" s="17"/>
      <c r="F2" s="17"/>
      <c r="G2" s="17"/>
      <c r="H2" s="17"/>
      <c r="I2" s="18"/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8"/>
      <c r="Z2" s="16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8"/>
    </row>
    <row r="3" spans="2:39" ht="15" customHeight="1" thickBot="1" x14ac:dyDescent="0.3">
      <c r="B3" s="19"/>
      <c r="C3" s="644" t="s">
        <v>567</v>
      </c>
      <c r="D3" s="645"/>
      <c r="E3" s="645"/>
      <c r="F3" s="646"/>
      <c r="G3" s="20"/>
      <c r="H3" s="20"/>
      <c r="I3" s="21"/>
      <c r="K3" s="19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1"/>
      <c r="Z3" s="19"/>
      <c r="AA3" s="59" t="str">
        <f>$C$5</f>
        <v>001090</v>
      </c>
      <c r="AB3" s="27" t="s">
        <v>68</v>
      </c>
      <c r="AC3" s="26"/>
      <c r="AD3" s="60"/>
      <c r="AE3" s="20"/>
      <c r="AF3" s="20"/>
      <c r="AG3" s="20"/>
      <c r="AH3" s="20"/>
      <c r="AI3" s="20"/>
      <c r="AJ3" s="20"/>
      <c r="AK3" s="20"/>
      <c r="AL3" s="21"/>
    </row>
    <row r="4" spans="2:39" x14ac:dyDescent="0.25">
      <c r="B4" s="19"/>
      <c r="C4" s="44" t="s">
        <v>74</v>
      </c>
      <c r="D4" s="20"/>
      <c r="E4" s="20"/>
      <c r="F4" s="20"/>
      <c r="G4" s="20"/>
      <c r="H4" s="20"/>
      <c r="I4" s="21"/>
      <c r="K4" s="19"/>
      <c r="L4" s="59" t="str">
        <f>$C$5</f>
        <v>001090</v>
      </c>
      <c r="M4" s="27" t="s">
        <v>22</v>
      </c>
      <c r="N4" s="26"/>
      <c r="O4" s="60"/>
      <c r="P4" s="20"/>
      <c r="Q4" s="20"/>
      <c r="R4" s="20"/>
      <c r="S4" s="20"/>
      <c r="T4" s="20"/>
      <c r="U4" s="20"/>
      <c r="V4" s="20"/>
      <c r="W4" s="20"/>
      <c r="X4" s="21"/>
      <c r="Z4" s="19"/>
      <c r="AA4" s="64">
        <f>IFERROR(VLOOKUP(Data!$K$3,Data!$C$19:$EX$82,152,FALSE),"-")</f>
        <v>49</v>
      </c>
      <c r="AB4" s="30" t="s">
        <v>79</v>
      </c>
      <c r="AC4" s="30"/>
      <c r="AD4" s="65"/>
      <c r="AE4" s="20"/>
      <c r="AF4" s="20"/>
      <c r="AG4" s="20"/>
      <c r="AH4" s="20"/>
      <c r="AI4" s="20"/>
      <c r="AJ4" s="20"/>
      <c r="AK4" s="20"/>
      <c r="AL4" s="21"/>
    </row>
    <row r="5" spans="2:39" ht="15.75" thickBot="1" x14ac:dyDescent="0.3">
      <c r="B5" s="19"/>
      <c r="C5" s="40" t="str">
        <f>Data!$K$3</f>
        <v>001090</v>
      </c>
      <c r="D5" s="139" t="s">
        <v>504</v>
      </c>
      <c r="E5" s="139"/>
      <c r="F5" s="20"/>
      <c r="G5" s="20"/>
      <c r="H5" s="20"/>
      <c r="I5" s="21"/>
      <c r="K5" s="19"/>
      <c r="L5" s="61">
        <f>IFERROR(VLOOKUP(Data!$K$3,Data!$C$19:$Z$82,24,FALSE),"-")</f>
        <v>65</v>
      </c>
      <c r="M5" s="62" t="s">
        <v>54</v>
      </c>
      <c r="N5" s="62"/>
      <c r="O5" s="63"/>
      <c r="P5" s="41"/>
      <c r="Q5" s="20"/>
      <c r="R5" s="20"/>
      <c r="S5" s="20"/>
      <c r="T5" s="20"/>
      <c r="U5" s="20"/>
      <c r="V5" s="20"/>
      <c r="W5" s="20"/>
      <c r="X5" s="21"/>
      <c r="Z5" s="19"/>
      <c r="AA5" s="64">
        <f>IFERROR(VLOOKUP(Data!$K$3,Data!$C$19:$FH$82,162,FALSE),"-")</f>
        <v>6</v>
      </c>
      <c r="AB5" s="30" t="s">
        <v>64</v>
      </c>
      <c r="AC5" s="30"/>
      <c r="AD5" s="32"/>
      <c r="AE5" s="20"/>
      <c r="AF5" s="20"/>
      <c r="AG5" s="20"/>
      <c r="AH5" s="20"/>
      <c r="AI5" s="20"/>
      <c r="AJ5" s="20"/>
      <c r="AK5" s="20"/>
      <c r="AL5" s="21"/>
    </row>
    <row r="6" spans="2:39" ht="15.75" thickBot="1" x14ac:dyDescent="0.3">
      <c r="B6" s="19"/>
      <c r="C6" s="85" t="s">
        <v>327</v>
      </c>
      <c r="D6" s="257">
        <f>IFERROR(VLOOKUP(Data!$K$3,Data!$C$19:$AJ$82,34,FALSE),"-")</f>
        <v>8</v>
      </c>
      <c r="E6" s="79" t="s">
        <v>290</v>
      </c>
      <c r="F6" s="146"/>
      <c r="G6" s="20"/>
      <c r="H6" s="85"/>
      <c r="I6" s="83"/>
      <c r="J6" s="9"/>
      <c r="K6" s="51"/>
      <c r="L6" s="41"/>
      <c r="M6" s="41"/>
      <c r="N6" s="41"/>
      <c r="O6" s="41"/>
      <c r="P6" s="41"/>
      <c r="Q6" s="20"/>
      <c r="R6" s="20"/>
      <c r="S6" s="20"/>
      <c r="T6" s="20"/>
      <c r="U6" s="20"/>
      <c r="V6" s="20"/>
      <c r="W6" s="20"/>
      <c r="X6" s="21"/>
      <c r="Z6" s="19"/>
      <c r="AA6" s="66">
        <f>IFERROR(VLOOKUP(Data!$K$3,Data!$C$19:$EE$82,133,FALSE),"-")</f>
        <v>0.12</v>
      </c>
      <c r="AB6" s="30" t="s">
        <v>65</v>
      </c>
      <c r="AC6" s="31"/>
      <c r="AD6" s="65"/>
      <c r="AE6" s="20"/>
      <c r="AF6" s="20"/>
      <c r="AG6" s="20"/>
      <c r="AH6" s="20"/>
      <c r="AI6" s="20"/>
      <c r="AJ6" s="20"/>
      <c r="AK6" s="20"/>
      <c r="AL6" s="21"/>
    </row>
    <row r="7" spans="2:39" ht="15.75" thickBot="1" x14ac:dyDescent="0.3">
      <c r="B7" s="19"/>
      <c r="C7" s="8">
        <f>IFERROR(VLOOKUP(Data!$K$3,Data!$C$19:$H$82,5,FALSE),"-")</f>
        <v>0.12195121951219513</v>
      </c>
      <c r="D7" s="647" t="s">
        <v>40</v>
      </c>
      <c r="E7" s="648"/>
      <c r="F7" s="648"/>
      <c r="G7" s="20"/>
      <c r="H7" s="263"/>
      <c r="I7" s="83"/>
      <c r="J7" s="9"/>
      <c r="K7" s="51"/>
      <c r="L7" s="72">
        <f>IFERROR((VLOOKUP(Data!$K$3,Data!$C$19:$AA$82,25,FALSE)/$D$6),"-")</f>
        <v>0</v>
      </c>
      <c r="M7" s="73" t="s">
        <v>23</v>
      </c>
      <c r="N7" s="74"/>
      <c r="O7" s="75"/>
      <c r="P7" s="44"/>
      <c r="Q7" s="20"/>
      <c r="R7" s="20"/>
      <c r="S7" s="20"/>
      <c r="T7" s="20"/>
      <c r="U7" s="20"/>
      <c r="V7" s="20"/>
      <c r="W7" s="20"/>
      <c r="X7" s="21"/>
      <c r="Z7" s="19"/>
      <c r="AA7" s="66">
        <f>IFERROR(VLOOKUP(Data!$K$3,Data!$C$19:$ED$82,132,FALSE),"-")</f>
        <v>0.29795918367346935</v>
      </c>
      <c r="AB7" s="30" t="s">
        <v>41</v>
      </c>
      <c r="AC7" s="30"/>
      <c r="AD7" s="70"/>
      <c r="AE7" s="20"/>
      <c r="AF7" s="20"/>
      <c r="AG7" s="20"/>
      <c r="AH7" s="20"/>
      <c r="AI7" s="20"/>
      <c r="AJ7" s="20"/>
      <c r="AK7" s="20"/>
      <c r="AL7" s="21"/>
    </row>
    <row r="8" spans="2:39" ht="15.75" thickBot="1" x14ac:dyDescent="0.3">
      <c r="B8" s="19"/>
      <c r="C8" s="8">
        <f>IFERROR(VLOOKUP(Data!$K$3,Data!$C$19:$H$82,4,FALSE),"-")</f>
        <v>0.30280404844864778</v>
      </c>
      <c r="D8" s="647" t="s">
        <v>41</v>
      </c>
      <c r="E8" s="648"/>
      <c r="F8" s="648"/>
      <c r="G8" s="20"/>
      <c r="H8" s="263"/>
      <c r="I8" s="83"/>
      <c r="J8" s="9"/>
      <c r="K8" s="51"/>
      <c r="L8" s="66">
        <f>IFERROR((VLOOKUP(Data!$K$3,Data!$C$19:$AF$82,26,FALSE)/$D$6),"-")</f>
        <v>0.25</v>
      </c>
      <c r="M8" s="33" t="s">
        <v>24</v>
      </c>
      <c r="N8" s="68"/>
      <c r="O8" s="70"/>
      <c r="P8" s="44"/>
      <c r="Q8" s="20"/>
      <c r="R8" s="20"/>
      <c r="S8" s="20"/>
      <c r="T8" s="20"/>
      <c r="U8" s="20"/>
      <c r="V8" s="20"/>
      <c r="W8" s="20"/>
      <c r="X8" s="21"/>
      <c r="Z8" s="19"/>
      <c r="AA8" s="66">
        <f>IFERROR((VLOOKUP(Data!$K$3,Data!$C$19:$FG$82,153,FALSE)/$AA$5),"-")</f>
        <v>0</v>
      </c>
      <c r="AB8" s="33" t="s">
        <v>23</v>
      </c>
      <c r="AC8" s="68"/>
      <c r="AD8" s="70"/>
      <c r="AE8" s="20"/>
      <c r="AF8" s="20"/>
      <c r="AG8" s="20"/>
      <c r="AH8" s="20"/>
      <c r="AI8" s="20"/>
      <c r="AJ8" s="20"/>
      <c r="AK8" s="20"/>
      <c r="AL8" s="21"/>
    </row>
    <row r="9" spans="2:39" ht="15.75" thickBot="1" x14ac:dyDescent="0.3">
      <c r="B9" s="19"/>
      <c r="C9" s="8">
        <f>IFERROR(VLOOKUP(Data!$K$3,Data!$C$19:$H$82,6,FALSE),"-")</f>
        <v>3.0487804878048783E-2</v>
      </c>
      <c r="D9" s="647" t="s">
        <v>42</v>
      </c>
      <c r="E9" s="648"/>
      <c r="F9" s="648"/>
      <c r="G9" s="20"/>
      <c r="H9" s="263"/>
      <c r="I9" s="83"/>
      <c r="J9" s="9"/>
      <c r="K9" s="51"/>
      <c r="L9" s="66">
        <f>IFERROR((VLOOKUP(Data!$K$3,Data!$C$19:$AF$82,27,FALSE)/$D$6),"-")</f>
        <v>0.25</v>
      </c>
      <c r="M9" s="33" t="s">
        <v>25</v>
      </c>
      <c r="N9" s="68"/>
      <c r="O9" s="70"/>
      <c r="P9" s="44"/>
      <c r="Q9" s="20"/>
      <c r="R9" s="40"/>
      <c r="S9" s="40"/>
      <c r="T9" s="40"/>
      <c r="U9" s="40"/>
      <c r="V9" s="40"/>
      <c r="W9" s="41"/>
      <c r="X9" s="46"/>
      <c r="Y9" s="7"/>
      <c r="Z9" s="45"/>
      <c r="AA9" s="66">
        <f>IFERROR((VLOOKUP(Data!$K$3,Data!$C$19:$FG$82,154,FALSE)/$AA$5),"-")</f>
        <v>0.16666666666666666</v>
      </c>
      <c r="AB9" s="33" t="s">
        <v>24</v>
      </c>
      <c r="AC9" s="68"/>
      <c r="AD9" s="70"/>
      <c r="AE9" s="20"/>
      <c r="AF9" s="40"/>
      <c r="AG9" s="40"/>
      <c r="AH9" s="40"/>
      <c r="AI9" s="40"/>
      <c r="AJ9" s="40"/>
      <c r="AK9" s="41"/>
      <c r="AL9" s="46"/>
      <c r="AM9" s="7"/>
    </row>
    <row r="10" spans="2:39" x14ac:dyDescent="0.25">
      <c r="B10" s="19"/>
      <c r="C10" s="146" t="s">
        <v>107</v>
      </c>
      <c r="D10" s="84"/>
      <c r="E10" s="84"/>
      <c r="F10" s="20"/>
      <c r="G10" s="20"/>
      <c r="H10" s="20"/>
      <c r="I10" s="83"/>
      <c r="J10" s="9"/>
      <c r="K10" s="51"/>
      <c r="L10" s="66">
        <f>IFERROR((VLOOKUP(Data!$K$3,Data!$C$19:$AF$82,28,FALSE)/$D$6),"-")</f>
        <v>0</v>
      </c>
      <c r="M10" s="33" t="s">
        <v>26</v>
      </c>
      <c r="N10" s="68"/>
      <c r="O10" s="70"/>
      <c r="P10" s="44"/>
      <c r="Q10" s="20"/>
      <c r="R10" s="20"/>
      <c r="S10" s="20"/>
      <c r="T10" s="20"/>
      <c r="U10" s="20"/>
      <c r="V10" s="20"/>
      <c r="W10" s="20"/>
      <c r="X10" s="21"/>
      <c r="Z10" s="19"/>
      <c r="AA10" s="66">
        <f>IFERROR((VLOOKUP(Data!$K$3,Data!$C$19:$FG$82,155,FALSE)/$AA$5),"-")</f>
        <v>0.16666666666666666</v>
      </c>
      <c r="AB10" s="33" t="s">
        <v>25</v>
      </c>
      <c r="AC10" s="68"/>
      <c r="AD10" s="70"/>
      <c r="AE10" s="20"/>
      <c r="AF10" s="20"/>
      <c r="AG10" s="20"/>
      <c r="AH10" s="20"/>
      <c r="AI10" s="20"/>
      <c r="AJ10" s="20"/>
      <c r="AK10" s="20"/>
      <c r="AL10" s="21"/>
    </row>
    <row r="11" spans="2:39" x14ac:dyDescent="0.25">
      <c r="B11" s="19"/>
      <c r="C11" s="126" t="s">
        <v>671</v>
      </c>
      <c r="D11" s="40"/>
      <c r="E11" s="40"/>
      <c r="F11" s="41"/>
      <c r="G11" s="40"/>
      <c r="H11" s="40"/>
      <c r="I11" s="83"/>
      <c r="J11" s="9"/>
      <c r="K11" s="51"/>
      <c r="L11" s="66">
        <f>IFERROR((VLOOKUP(Data!$K$3,Data!$C$19:$AF$82,29,FALSE)/$D$6),"-")</f>
        <v>0</v>
      </c>
      <c r="M11" s="33" t="s">
        <v>27</v>
      </c>
      <c r="N11" s="69"/>
      <c r="O11" s="71"/>
      <c r="P11" s="47"/>
      <c r="Q11" s="40"/>
      <c r="R11" s="20"/>
      <c r="S11" s="20"/>
      <c r="T11" s="20"/>
      <c r="U11" s="20"/>
      <c r="V11" s="20"/>
      <c r="W11" s="20"/>
      <c r="X11" s="21"/>
      <c r="Z11" s="19"/>
      <c r="AA11" s="66">
        <f>IFERROR((VLOOKUP(Data!$K$3,Data!$C$19:$FG$82,156,FALSE)/$AA$5),"-")</f>
        <v>0</v>
      </c>
      <c r="AB11" s="33" t="s">
        <v>26</v>
      </c>
      <c r="AC11" s="68"/>
      <c r="AD11" s="71"/>
      <c r="AE11" s="40"/>
      <c r="AF11" s="20"/>
      <c r="AG11" s="20"/>
      <c r="AH11" s="20"/>
      <c r="AI11" s="20"/>
      <c r="AJ11" s="20"/>
      <c r="AK11" s="20"/>
      <c r="AL11" s="21"/>
    </row>
    <row r="12" spans="2:39" ht="15.75" thickBot="1" x14ac:dyDescent="0.3">
      <c r="B12" s="19"/>
      <c r="C12" s="97" t="s">
        <v>449</v>
      </c>
      <c r="D12" s="42"/>
      <c r="E12" s="42"/>
      <c r="F12" s="20"/>
      <c r="G12" s="20"/>
      <c r="H12" s="20"/>
      <c r="I12" s="83"/>
      <c r="J12" s="9"/>
      <c r="K12" s="51"/>
      <c r="L12" s="66">
        <f>IFERROR((VLOOKUP(Data!$K$3,Data!$C$19:$AF$82,30,FALSE)/$D$6),"-")</f>
        <v>0</v>
      </c>
      <c r="M12" s="33" t="s">
        <v>28</v>
      </c>
      <c r="N12" s="68"/>
      <c r="O12" s="70"/>
      <c r="P12" s="44"/>
      <c r="Q12" s="20"/>
      <c r="R12" s="20"/>
      <c r="S12" s="20"/>
      <c r="T12" s="20"/>
      <c r="U12" s="20"/>
      <c r="V12" s="20"/>
      <c r="W12" s="20"/>
      <c r="X12" s="21"/>
      <c r="Z12" s="19"/>
      <c r="AA12" s="66">
        <f>IFERROR((VLOOKUP(Data!$K$3,Data!$C$19:$FG$82,157,FALSE)/$AA$5),"-")</f>
        <v>0</v>
      </c>
      <c r="AB12" s="33" t="s">
        <v>27</v>
      </c>
      <c r="AC12" s="69"/>
      <c r="AD12" s="70"/>
      <c r="AE12" s="20"/>
      <c r="AF12" s="20"/>
      <c r="AG12" s="20"/>
      <c r="AH12" s="20"/>
      <c r="AI12" s="20"/>
      <c r="AJ12" s="20"/>
      <c r="AK12" s="20"/>
      <c r="AL12" s="21"/>
    </row>
    <row r="13" spans="2:39" ht="15.75" thickBot="1" x14ac:dyDescent="0.3">
      <c r="B13" s="19"/>
      <c r="C13" s="138">
        <f>IFERROR(Data!$K$13,"-")</f>
        <v>0.20161290322580644</v>
      </c>
      <c r="D13" s="42"/>
      <c r="E13" s="42"/>
      <c r="F13" s="20"/>
      <c r="G13" s="20"/>
      <c r="H13" s="20"/>
      <c r="I13" s="83"/>
      <c r="J13" s="9"/>
      <c r="K13" s="51"/>
      <c r="L13" s="66">
        <f>IFERROR((VLOOKUP(Data!$K$3,Data!$C$19:$AG$82,31,FALSE)/$D$6),"-")</f>
        <v>0.5</v>
      </c>
      <c r="M13" s="33" t="s">
        <v>201</v>
      </c>
      <c r="N13" s="68"/>
      <c r="O13" s="70"/>
      <c r="P13" s="44"/>
      <c r="Q13" s="20"/>
      <c r="R13" s="20"/>
      <c r="S13" s="20"/>
      <c r="T13" s="20"/>
      <c r="U13" s="20"/>
      <c r="V13" s="20"/>
      <c r="W13" s="20"/>
      <c r="X13" s="21"/>
      <c r="Z13" s="19"/>
      <c r="AA13" s="66">
        <f>IFERROR((VLOOKUP(Data!$K$3,Data!$C$19:$FG$82,158,FALSE)/$AA$5),"-")</f>
        <v>0</v>
      </c>
      <c r="AB13" s="33" t="s">
        <v>28</v>
      </c>
      <c r="AC13" s="68"/>
      <c r="AD13" s="70"/>
      <c r="AE13" s="20"/>
      <c r="AF13" s="20"/>
      <c r="AG13" s="20"/>
      <c r="AH13" s="20"/>
      <c r="AI13" s="20"/>
      <c r="AJ13" s="20"/>
      <c r="AK13" s="20"/>
      <c r="AL13" s="21"/>
    </row>
    <row r="14" spans="2:39" ht="15.75" thickBot="1" x14ac:dyDescent="0.3">
      <c r="B14" s="19"/>
      <c r="C14" s="138">
        <f>IFERROR(Data!$K$14,"-")</f>
        <v>0.50060346719332893</v>
      </c>
      <c r="D14" s="42"/>
      <c r="E14" s="42"/>
      <c r="F14" s="20"/>
      <c r="G14" s="20"/>
      <c r="H14" s="20"/>
      <c r="I14" s="83"/>
      <c r="J14" s="9"/>
      <c r="K14" s="51"/>
      <c r="L14" s="66">
        <f>IFERROR((VLOOKUP(Data!$K$3,Data!$C$19:$AH$82,32,FALSE)/$D$6),"-")</f>
        <v>0</v>
      </c>
      <c r="M14" s="33" t="s">
        <v>29</v>
      </c>
      <c r="N14" s="68"/>
      <c r="O14" s="70"/>
      <c r="P14" s="44"/>
      <c r="Q14" s="20"/>
      <c r="R14" s="20"/>
      <c r="S14" s="20"/>
      <c r="T14" s="20"/>
      <c r="U14" s="20"/>
      <c r="V14" s="20"/>
      <c r="W14" s="20"/>
      <c r="X14" s="21"/>
      <c r="Z14" s="19"/>
      <c r="AA14" s="66">
        <f>IFERROR((VLOOKUP(Data!$K$3,Data!$C$19:$FG$82,159,FALSE)/$AA$5),"-")</f>
        <v>0.66666666666666663</v>
      </c>
      <c r="AB14" s="33" t="s">
        <v>201</v>
      </c>
      <c r="AC14" s="68"/>
      <c r="AD14" s="70"/>
      <c r="AE14" s="20"/>
      <c r="AF14" s="20"/>
      <c r="AG14" s="20"/>
      <c r="AH14" s="20"/>
      <c r="AI14" s="20"/>
      <c r="AJ14" s="20"/>
      <c r="AK14" s="20"/>
      <c r="AL14" s="21"/>
    </row>
    <row r="15" spans="2:39" ht="15.75" thickBot="1" x14ac:dyDescent="0.3">
      <c r="B15" s="19"/>
      <c r="C15" s="8">
        <f>IFERROR(Data!$K$15,"-")</f>
        <v>6.7204301075268813E-2</v>
      </c>
      <c r="D15" s="20"/>
      <c r="E15" s="20"/>
      <c r="F15" s="20"/>
      <c r="G15" s="20"/>
      <c r="H15" s="20"/>
      <c r="I15" s="21"/>
      <c r="K15" s="19"/>
      <c r="L15" s="67">
        <f>IFERROR((VLOOKUP(Data!$K$3,Data!$C$19:$AI$82,33,FALSE)/$D$6),"-")</f>
        <v>0</v>
      </c>
      <c r="M15" s="76" t="s">
        <v>67</v>
      </c>
      <c r="N15" s="77"/>
      <c r="O15" s="78"/>
      <c r="P15" s="44"/>
      <c r="Q15" s="20"/>
      <c r="R15" s="20"/>
      <c r="S15" s="20"/>
      <c r="T15" s="20"/>
      <c r="U15" s="20"/>
      <c r="V15" s="20"/>
      <c r="W15" s="20"/>
      <c r="X15" s="21"/>
      <c r="Z15" s="19"/>
      <c r="AA15" s="66">
        <f>IFERROR((VLOOKUP(Data!$K$3,Data!$C$19:$FG$82,160,FALSE)/$AA$5),"-")</f>
        <v>0</v>
      </c>
      <c r="AB15" s="33" t="s">
        <v>29</v>
      </c>
      <c r="AC15" s="68"/>
      <c r="AD15" s="70"/>
      <c r="AE15" s="20"/>
      <c r="AF15" s="20"/>
      <c r="AG15" s="20"/>
      <c r="AH15" s="20"/>
      <c r="AI15" s="20"/>
      <c r="AJ15" s="20"/>
      <c r="AK15" s="20"/>
      <c r="AL15" s="21"/>
    </row>
    <row r="16" spans="2:39" ht="15" customHeight="1" thickBot="1" x14ac:dyDescent="0.3">
      <c r="B16" s="123"/>
      <c r="C16" s="126"/>
      <c r="D16" s="122"/>
      <c r="E16" s="122"/>
      <c r="F16" s="20"/>
      <c r="G16" s="20"/>
      <c r="H16" s="20"/>
      <c r="I16" s="21"/>
      <c r="K16" s="19"/>
      <c r="L16" s="20"/>
      <c r="M16" s="20"/>
      <c r="N16" s="20"/>
      <c r="O16" s="20"/>
      <c r="P16" s="20"/>
      <c r="Q16" s="20"/>
      <c r="R16" s="91" t="s">
        <v>51</v>
      </c>
      <c r="S16" s="92">
        <f>IFERROR((VLOOKUP($C$5, Data!$C$19:$AP$82,40,FALSE)/$D$6),"-")</f>
        <v>0.75</v>
      </c>
      <c r="T16" s="93" t="s">
        <v>50</v>
      </c>
      <c r="U16" s="92">
        <f>IFERROR((VLOOKUP($C$5, Data!$C$19:$AQ$82,41,FALSE)/$D$6),"-")</f>
        <v>0.25</v>
      </c>
      <c r="V16" s="93" t="s">
        <v>52</v>
      </c>
      <c r="W16" s="94">
        <f>IFERROR((VLOOKUP($C$5, Data!$C$19:$AR$82,42,FALSE)/$D$6),"-")</f>
        <v>0</v>
      </c>
      <c r="X16" s="52"/>
      <c r="Z16" s="19"/>
      <c r="AA16" s="67">
        <f>IFERROR((VLOOKUP(Data!$K$3,Data!$C$19:$FG$82,161,FALSE)/$AA$5),"-")</f>
        <v>0</v>
      </c>
      <c r="AB16" s="76" t="s">
        <v>67</v>
      </c>
      <c r="AC16" s="77"/>
      <c r="AD16" s="36"/>
      <c r="AE16" s="20"/>
      <c r="AF16" s="91" t="s">
        <v>51</v>
      </c>
      <c r="AG16" s="92">
        <f>IFERROR((VLOOKUP($C$5, Data!$C$19:$FN$82,168,FALSE)/$AA$5),"-")</f>
        <v>0.83333333333333337</v>
      </c>
      <c r="AH16" s="93" t="s">
        <v>50</v>
      </c>
      <c r="AI16" s="92">
        <f>IFERROR((VLOOKUP($C$5, Data!$C$19:$FO$82,169,FALSE)/$AA$5),"-")</f>
        <v>0.16666666666666666</v>
      </c>
      <c r="AJ16" s="93" t="s">
        <v>52</v>
      </c>
      <c r="AK16" s="94">
        <f>IFERROR((VLOOKUP($C$5, Data!$C$19:$FP$82,170,FALSE)/$AA$5),"-")</f>
        <v>0</v>
      </c>
      <c r="AL16" s="43"/>
    </row>
    <row r="17" spans="2:38" ht="6.95" customHeight="1" thickBot="1" x14ac:dyDescent="0.3">
      <c r="B17" s="22"/>
      <c r="C17" s="23"/>
      <c r="D17" s="23"/>
      <c r="E17" s="23"/>
      <c r="F17" s="23"/>
      <c r="G17" s="23"/>
      <c r="H17" s="23"/>
      <c r="I17" s="24"/>
      <c r="K17" s="22"/>
      <c r="L17" s="23"/>
      <c r="M17" s="23"/>
      <c r="N17" s="23"/>
      <c r="O17" s="23"/>
      <c r="P17" s="23"/>
      <c r="Q17" s="23"/>
      <c r="R17" s="53"/>
      <c r="S17" s="54"/>
      <c r="T17" s="53"/>
      <c r="U17" s="54"/>
      <c r="V17" s="53"/>
      <c r="W17" s="54"/>
      <c r="X17" s="55"/>
      <c r="Z17" s="22"/>
      <c r="AA17" s="23"/>
      <c r="AB17" s="23"/>
      <c r="AC17" s="23"/>
      <c r="AD17" s="23"/>
      <c r="AE17" s="23"/>
      <c r="AF17" s="48"/>
      <c r="AG17" s="49"/>
      <c r="AH17" s="48"/>
      <c r="AI17" s="49"/>
      <c r="AJ17" s="48"/>
      <c r="AK17" s="49"/>
      <c r="AL17" s="50"/>
    </row>
    <row r="18" spans="2:38" ht="6" customHeight="1" thickBot="1" x14ac:dyDescent="0.3">
      <c r="R18" s="6"/>
      <c r="S18" s="12"/>
      <c r="T18" s="6"/>
      <c r="U18" s="12"/>
      <c r="V18" s="6"/>
      <c r="W18" s="12"/>
      <c r="X18" s="12"/>
      <c r="AF18" s="6"/>
      <c r="AG18" s="12"/>
      <c r="AH18" s="6"/>
      <c r="AI18" s="12"/>
      <c r="AJ18" s="6"/>
      <c r="AK18" s="12"/>
      <c r="AL18" s="12"/>
    </row>
    <row r="19" spans="2:38" ht="6" customHeight="1" thickBot="1" x14ac:dyDescent="0.3">
      <c r="B19" s="16"/>
      <c r="C19" s="17"/>
      <c r="D19" s="17"/>
      <c r="E19" s="17"/>
      <c r="F19" s="17"/>
      <c r="G19" s="17"/>
      <c r="H19" s="17"/>
      <c r="I19" s="18"/>
      <c r="K19" s="16"/>
      <c r="L19" s="17"/>
      <c r="M19" s="17"/>
      <c r="N19" s="17"/>
      <c r="O19" s="17"/>
      <c r="P19" s="17"/>
      <c r="Q19" s="17"/>
      <c r="R19" s="37"/>
      <c r="S19" s="38"/>
      <c r="T19" s="37"/>
      <c r="U19" s="38"/>
      <c r="V19" s="37"/>
      <c r="W19" s="38"/>
      <c r="X19" s="39"/>
      <c r="Z19" s="16"/>
      <c r="AA19" s="17"/>
      <c r="AB19" s="17"/>
      <c r="AC19" s="17"/>
      <c r="AD19" s="17"/>
      <c r="AE19" s="17"/>
      <c r="AF19" s="37"/>
      <c r="AG19" s="38"/>
      <c r="AH19" s="37"/>
      <c r="AI19" s="38"/>
      <c r="AJ19" s="37"/>
      <c r="AK19" s="38"/>
      <c r="AL19" s="39"/>
    </row>
    <row r="20" spans="2:38" ht="16.5" thickBot="1" x14ac:dyDescent="0.3">
      <c r="B20" s="19"/>
      <c r="C20" s="88" t="str">
        <f>C5</f>
        <v>001090</v>
      </c>
      <c r="D20" s="87" t="s">
        <v>293</v>
      </c>
      <c r="E20" s="89"/>
      <c r="F20" s="90"/>
      <c r="G20" s="453"/>
      <c r="H20" s="300"/>
      <c r="I20" s="21"/>
      <c r="K20" s="19"/>
      <c r="L20" s="59" t="str">
        <f>Data!$K$4</f>
        <v>North</v>
      </c>
      <c r="M20" s="27" t="s">
        <v>22</v>
      </c>
      <c r="N20" s="26"/>
      <c r="O20" s="60"/>
      <c r="P20" s="20"/>
      <c r="Q20" s="20"/>
      <c r="R20" s="20"/>
      <c r="S20" s="20"/>
      <c r="T20" s="20"/>
      <c r="U20" s="20"/>
      <c r="V20" s="20"/>
      <c r="W20" s="20"/>
      <c r="X20" s="21"/>
      <c r="Z20" s="19"/>
      <c r="AA20" s="59" t="str">
        <f>$C$5</f>
        <v>001090</v>
      </c>
      <c r="AB20" s="27" t="s">
        <v>69</v>
      </c>
      <c r="AC20" s="26"/>
      <c r="AD20" s="60"/>
      <c r="AE20" s="20"/>
      <c r="AF20" s="20"/>
      <c r="AG20" s="20"/>
      <c r="AH20" s="20"/>
      <c r="AI20" s="20"/>
      <c r="AJ20" s="20"/>
      <c r="AK20" s="20"/>
      <c r="AL20" s="21"/>
    </row>
    <row r="21" spans="2:38" x14ac:dyDescent="0.25">
      <c r="B21" s="19"/>
      <c r="C21" s="454" t="s">
        <v>46</v>
      </c>
      <c r="D21" s="455" t="s">
        <v>43</v>
      </c>
      <c r="E21" s="649" t="s">
        <v>44</v>
      </c>
      <c r="F21" s="649"/>
      <c r="G21" s="455" t="s">
        <v>45</v>
      </c>
      <c r="H21" s="456"/>
      <c r="I21" s="80"/>
      <c r="J21" s="7"/>
      <c r="K21" s="45"/>
      <c r="L21" s="64">
        <f>IFERROR(VLOOKUP(Data!$K$4,Data!$D$87:$AJ$91,33,FALSE),"-")</f>
        <v>201</v>
      </c>
      <c r="M21" s="30" t="s">
        <v>64</v>
      </c>
      <c r="N21" s="30"/>
      <c r="O21" s="65"/>
      <c r="P21" s="41"/>
      <c r="Q21" s="20"/>
      <c r="R21" s="20"/>
      <c r="S21" s="20"/>
      <c r="T21" s="20"/>
      <c r="U21" s="20"/>
      <c r="V21" s="20"/>
      <c r="W21" s="20"/>
      <c r="X21" s="21"/>
      <c r="Z21" s="19"/>
      <c r="AA21" s="64">
        <f>IFERROR(VLOOKUP(Data!$K$3,Data!$C$19:$HF$82,204,FALSE),"-")</f>
        <v>2</v>
      </c>
      <c r="AB21" s="30" t="s">
        <v>64</v>
      </c>
      <c r="AC21" s="30"/>
      <c r="AD21" s="65"/>
      <c r="AE21" s="20"/>
      <c r="AF21" s="20"/>
      <c r="AG21" s="20"/>
      <c r="AH21" s="20"/>
      <c r="AI21" s="20"/>
      <c r="AJ21" s="20"/>
      <c r="AK21" s="20"/>
      <c r="AL21" s="21"/>
    </row>
    <row r="22" spans="2:38" x14ac:dyDescent="0.25">
      <c r="B22" s="19"/>
      <c r="C22" s="457" t="s">
        <v>8</v>
      </c>
      <c r="D22" s="530">
        <f>E22/Data!BT16</f>
        <v>1.5625E-2</v>
      </c>
      <c r="E22" s="641">
        <f>VLOOKUP($C$20,Data!$C$19:$BT$82,70,FALSE)</f>
        <v>0.20368303571428573</v>
      </c>
      <c r="F22" s="641">
        <f>VLOOKUP($C$20,Data!$C$19:$BT$82,70,FALSE)</f>
        <v>0.20368303571428573</v>
      </c>
      <c r="G22" s="530">
        <f>D22</f>
        <v>1.5625E-2</v>
      </c>
      <c r="H22" s="458"/>
      <c r="I22" s="81"/>
      <c r="J22" s="11"/>
      <c r="K22" s="56"/>
      <c r="L22" s="66">
        <f>IFERROR(VLOOKUP(Data!$K$4,Data!$D$87:$G$91,4,FALSE),"-")</f>
        <v>0.22840909090909092</v>
      </c>
      <c r="M22" s="30" t="s">
        <v>65</v>
      </c>
      <c r="N22" s="31"/>
      <c r="O22" s="32"/>
      <c r="P22" s="20"/>
      <c r="Q22" s="20"/>
      <c r="R22" s="20"/>
      <c r="S22" s="20"/>
      <c r="T22" s="20"/>
      <c r="U22" s="20"/>
      <c r="V22" s="20"/>
      <c r="W22" s="20"/>
      <c r="X22" s="21"/>
      <c r="Z22" s="19"/>
      <c r="AA22" s="66">
        <f>IFERROR(VLOOKUP(Data!$K$3,Data!$C$19:$GY$82,175,FALSE),"-")</f>
        <v>0.12820512820512822</v>
      </c>
      <c r="AB22" s="30" t="s">
        <v>65</v>
      </c>
      <c r="AC22" s="31"/>
      <c r="AD22" s="32"/>
      <c r="AE22" s="20"/>
      <c r="AF22" s="20"/>
      <c r="AG22" s="20"/>
      <c r="AH22" s="20"/>
      <c r="AI22" s="20"/>
      <c r="AJ22" s="20"/>
      <c r="AK22" s="20"/>
      <c r="AL22" s="21"/>
    </row>
    <row r="23" spans="2:38" ht="15.75" thickBot="1" x14ac:dyDescent="0.3">
      <c r="B23" s="19"/>
      <c r="C23" s="457" t="s">
        <v>9</v>
      </c>
      <c r="D23" s="530">
        <f>E23/Data!BU16</f>
        <v>3.0769230769230767E-2</v>
      </c>
      <c r="E23" s="641">
        <f>VLOOKUP($C$20,Data!$C$19:$CE$82,71,FALSE)</f>
        <v>0.20054945054945056</v>
      </c>
      <c r="F23" s="641">
        <f>VLOOKUP($C$20,Data!$C$19:$BT$82,70,FALSE)</f>
        <v>0.20368303571428573</v>
      </c>
      <c r="G23" s="530">
        <f>D23-D22</f>
        <v>1.5144230769230767E-2</v>
      </c>
      <c r="H23" s="459"/>
      <c r="I23" s="143"/>
      <c r="J23" s="11"/>
      <c r="K23" s="56"/>
      <c r="L23" s="67">
        <f>IFERROR(VLOOKUP(Data!$K$4,Data!$D$87:$G$91,3,FALSE),"-")</f>
        <v>0.56713821892393323</v>
      </c>
      <c r="M23" s="62" t="s">
        <v>41</v>
      </c>
      <c r="N23" s="62"/>
      <c r="O23" s="63"/>
      <c r="P23" s="41"/>
      <c r="Q23" s="20"/>
      <c r="R23" s="20"/>
      <c r="S23" s="20"/>
      <c r="T23" s="20"/>
      <c r="U23" s="20"/>
      <c r="V23" s="20"/>
      <c r="W23" s="20"/>
      <c r="X23" s="21"/>
      <c r="Z23" s="19"/>
      <c r="AA23" s="66">
        <f>IFERROR(VLOOKUP(Data!$K$3,Data!$C$19:$GY$82,174,FALSE),"-")</f>
        <v>0.31833246118960407</v>
      </c>
      <c r="AB23" s="30" t="s">
        <v>41</v>
      </c>
      <c r="AC23" s="30"/>
      <c r="AD23" s="65"/>
      <c r="AE23" s="20"/>
      <c r="AF23" s="20"/>
      <c r="AG23" s="20"/>
      <c r="AH23" s="20"/>
      <c r="AI23" s="20"/>
      <c r="AJ23" s="20"/>
      <c r="AK23" s="20"/>
      <c r="AL23" s="21"/>
    </row>
    <row r="24" spans="2:38" ht="15.75" thickBot="1" x14ac:dyDescent="0.3">
      <c r="B24" s="19"/>
      <c r="C24" s="457" t="s">
        <v>10</v>
      </c>
      <c r="D24" s="530">
        <f>E24/Data!BV16</f>
        <v>6.0606060606060601E-2</v>
      </c>
      <c r="E24" s="641">
        <f>VLOOKUP($C$20,Data!$C$19:$CE$82,72,FALSE)</f>
        <v>0.24309024309024307</v>
      </c>
      <c r="F24" s="641">
        <f>VLOOKUP($C$20,Data!$C$19:$BT$82,70,FALSE)</f>
        <v>0.20368303571428573</v>
      </c>
      <c r="G24" s="530">
        <f>D24-D23</f>
        <v>2.9836829836829833E-2</v>
      </c>
      <c r="H24" s="460"/>
      <c r="I24" s="81"/>
      <c r="J24" s="11"/>
      <c r="K24" s="56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1"/>
      <c r="Z24" s="19"/>
      <c r="AA24" s="28"/>
      <c r="AB24" s="31"/>
      <c r="AC24" s="31"/>
      <c r="AD24" s="32"/>
      <c r="AE24" s="20"/>
      <c r="AF24" s="20"/>
      <c r="AG24" s="20"/>
      <c r="AH24" s="20"/>
      <c r="AI24" s="20"/>
      <c r="AJ24" s="20"/>
      <c r="AK24" s="20"/>
      <c r="AL24" s="21"/>
    </row>
    <row r="25" spans="2:38" x14ac:dyDescent="0.25">
      <c r="B25" s="19"/>
      <c r="C25" s="457" t="s">
        <v>11</v>
      </c>
      <c r="D25" s="530">
        <f>E25/Data!BW16</f>
        <v>9.1254752851711043E-2</v>
      </c>
      <c r="E25" s="641">
        <f>VLOOKUP($C$20,Data!$C$19:$CE$82,73,FALSE)</f>
        <v>0.2798990318560885</v>
      </c>
      <c r="F25" s="641">
        <f>VLOOKUP($C$20,Data!$C$19:$BT$82,70,FALSE)</f>
        <v>0.20368303571428573</v>
      </c>
      <c r="G25" s="530">
        <f>D25-D24</f>
        <v>3.0648692245650443E-2</v>
      </c>
      <c r="H25" s="460"/>
      <c r="I25" s="81"/>
      <c r="J25" s="11"/>
      <c r="K25" s="56"/>
      <c r="L25" s="72">
        <f>IFERROR((VLOOKUP(Data!$K$4,Data!$C$87:$AA$91,25,FALSE)/$L$21),"-")</f>
        <v>2.4875621890547265E-2</v>
      </c>
      <c r="M25" s="73" t="s">
        <v>23</v>
      </c>
      <c r="N25" s="26"/>
      <c r="O25" s="60"/>
      <c r="P25" s="20"/>
      <c r="Q25" s="20"/>
      <c r="R25" s="20"/>
      <c r="S25" s="20"/>
      <c r="T25" s="20"/>
      <c r="U25" s="20"/>
      <c r="V25" s="20"/>
      <c r="W25" s="20"/>
      <c r="X25" s="21"/>
      <c r="Z25" s="19"/>
      <c r="AA25" s="66">
        <f>IFERROR((VLOOKUP(Data!$K$3,Data!$C$19:$HF$82,195,FALSE)/$AA$21),"-")</f>
        <v>0</v>
      </c>
      <c r="AB25" s="33" t="s">
        <v>23</v>
      </c>
      <c r="AC25" s="31"/>
      <c r="AD25" s="32"/>
      <c r="AE25" s="20"/>
      <c r="AF25" s="20"/>
      <c r="AG25" s="20"/>
      <c r="AH25" s="20"/>
      <c r="AI25" s="20"/>
      <c r="AJ25" s="20"/>
      <c r="AK25" s="20"/>
      <c r="AL25" s="21"/>
    </row>
    <row r="26" spans="2:38" x14ac:dyDescent="0.25">
      <c r="B26" s="19"/>
      <c r="C26" s="457" t="s">
        <v>12</v>
      </c>
      <c r="D26" s="553">
        <f>E26/Data!BX16</f>
        <v>0.12195121951219513</v>
      </c>
      <c r="E26" s="643">
        <f>VLOOKUP($C$20,Data!$C$19:$CE$82,74,FALSE)</f>
        <v>0.30280404844864778</v>
      </c>
      <c r="F26" s="643">
        <f>VLOOKUP($C$20,Data!$C$19:$BT$82,70,FALSE)</f>
        <v>0.20368303571428573</v>
      </c>
      <c r="G26" s="553">
        <f>D26-D25</f>
        <v>3.069646666048409E-2</v>
      </c>
      <c r="H26" s="459"/>
      <c r="I26" s="81"/>
      <c r="J26" s="11"/>
      <c r="K26" s="56"/>
      <c r="L26" s="66">
        <f>IFERROR((VLOOKUP(Data!$K$4,Data!$C$87:$AF$91,26,FALSE)/$L$21),"-")</f>
        <v>0.29850746268656714</v>
      </c>
      <c r="M26" s="33" t="s">
        <v>24</v>
      </c>
      <c r="N26" s="31"/>
      <c r="O26" s="32"/>
      <c r="P26" s="20"/>
      <c r="Q26" s="20"/>
      <c r="R26" s="20"/>
      <c r="S26" s="20"/>
      <c r="T26" s="20"/>
      <c r="U26" s="20"/>
      <c r="V26" s="20"/>
      <c r="W26" s="20"/>
      <c r="X26" s="21"/>
      <c r="Z26" s="19"/>
      <c r="AA26" s="66">
        <f>IFERROR((VLOOKUP(Data!$K$3,Data!$C$19:$HF$82,196,FALSE)/$AA$21),"-")</f>
        <v>0.5</v>
      </c>
      <c r="AB26" s="33" t="s">
        <v>24</v>
      </c>
      <c r="AC26" s="31"/>
      <c r="AD26" s="32"/>
      <c r="AE26" s="20"/>
      <c r="AF26" s="20"/>
      <c r="AG26" s="20"/>
      <c r="AH26" s="20"/>
      <c r="AI26" s="20"/>
      <c r="AJ26" s="20"/>
      <c r="AK26" s="20"/>
      <c r="AL26" s="21"/>
    </row>
    <row r="27" spans="2:38" x14ac:dyDescent="0.25">
      <c r="B27" s="19"/>
      <c r="C27" s="457" t="s">
        <v>13</v>
      </c>
      <c r="D27" s="530"/>
      <c r="E27" s="641"/>
      <c r="F27" s="641"/>
      <c r="G27" s="530"/>
      <c r="H27" s="460"/>
      <c r="I27" s="81"/>
      <c r="J27" s="11"/>
      <c r="K27" s="56"/>
      <c r="L27" s="66">
        <f>IFERROR((VLOOKUP(Data!$K$4,Data!$C$87:$AF$91,27,FALSE)/$L$21),"-")</f>
        <v>6.4676616915422883E-2</v>
      </c>
      <c r="M27" s="33" t="s">
        <v>25</v>
      </c>
      <c r="N27" s="31"/>
      <c r="O27" s="32"/>
      <c r="P27" s="20"/>
      <c r="Q27" s="20"/>
      <c r="R27" s="20"/>
      <c r="S27" s="20"/>
      <c r="T27" s="20"/>
      <c r="U27" s="20"/>
      <c r="V27" s="20"/>
      <c r="W27" s="20"/>
      <c r="X27" s="21"/>
      <c r="Z27" s="19"/>
      <c r="AA27" s="66">
        <f>IFERROR((VLOOKUP(Data!$K$3,Data!$C$19:$HF$82,197,FALSE)/$AA$21),"-")</f>
        <v>0.5</v>
      </c>
      <c r="AB27" s="33" t="s">
        <v>25</v>
      </c>
      <c r="AC27" s="31"/>
      <c r="AD27" s="32"/>
      <c r="AE27" s="20"/>
      <c r="AF27" s="20"/>
      <c r="AG27" s="20"/>
      <c r="AH27" s="20"/>
      <c r="AI27" s="20"/>
      <c r="AJ27" s="20"/>
      <c r="AK27" s="20"/>
      <c r="AL27" s="21"/>
    </row>
    <row r="28" spans="2:38" x14ac:dyDescent="0.25">
      <c r="B28" s="19"/>
      <c r="C28" s="457" t="s">
        <v>14</v>
      </c>
      <c r="D28" s="530"/>
      <c r="E28" s="641"/>
      <c r="F28" s="641"/>
      <c r="G28" s="530"/>
      <c r="H28" s="483"/>
      <c r="I28" s="81"/>
      <c r="J28" s="11"/>
      <c r="K28" s="56"/>
      <c r="L28" s="66">
        <f>IFERROR((VLOOKUP(Data!$K$4,Data!$C$87:$AF$91,28,FALSE)/$L$21),"-")</f>
        <v>2.4875621890547265E-2</v>
      </c>
      <c r="M28" s="33" t="s">
        <v>26</v>
      </c>
      <c r="N28" s="31"/>
      <c r="O28" s="32"/>
      <c r="P28" s="20"/>
      <c r="Q28" s="20"/>
      <c r="R28" s="20"/>
      <c r="S28" s="20"/>
      <c r="T28" s="20"/>
      <c r="U28" s="20"/>
      <c r="V28" s="20"/>
      <c r="W28" s="20"/>
      <c r="X28" s="21"/>
      <c r="Z28" s="19"/>
      <c r="AA28" s="66">
        <f>IFERROR((VLOOKUP(Data!$K$3,Data!$C$19:$HF$82,198,FALSE)/$AA$21),"-")</f>
        <v>0</v>
      </c>
      <c r="AB28" s="33" t="s">
        <v>26</v>
      </c>
      <c r="AC28" s="31"/>
      <c r="AD28" s="32"/>
      <c r="AE28" s="20"/>
      <c r="AF28" s="20"/>
      <c r="AG28" s="20"/>
      <c r="AH28" s="20"/>
      <c r="AI28" s="20"/>
      <c r="AJ28" s="20"/>
      <c r="AK28" s="20"/>
      <c r="AL28" s="21"/>
    </row>
    <row r="29" spans="2:38" x14ac:dyDescent="0.25">
      <c r="B29" s="19"/>
      <c r="C29" s="457" t="s">
        <v>15</v>
      </c>
      <c r="D29" s="530"/>
      <c r="E29" s="641"/>
      <c r="F29" s="641"/>
      <c r="G29" s="530"/>
      <c r="H29" s="460"/>
      <c r="I29" s="81"/>
      <c r="J29" s="12"/>
      <c r="K29" s="57"/>
      <c r="L29" s="66">
        <f>IFERROR((VLOOKUP(Data!$K$4,Data!$C$87:$AF$91,29,FALSE)/$L$21),"-")</f>
        <v>1.9900497512437811E-2</v>
      </c>
      <c r="M29" s="33" t="s">
        <v>27</v>
      </c>
      <c r="N29" s="31"/>
      <c r="O29" s="32"/>
      <c r="P29" s="20"/>
      <c r="Q29" s="20"/>
      <c r="R29" s="20"/>
      <c r="S29" s="20"/>
      <c r="T29" s="20"/>
      <c r="U29" s="20"/>
      <c r="V29" s="20"/>
      <c r="W29" s="20"/>
      <c r="X29" s="21"/>
      <c r="Z29" s="19"/>
      <c r="AA29" s="66">
        <f>IFERROR((VLOOKUP(Data!$K$3,Data!$C$19:$HF$82,199,FALSE)/$AA$21),"-")</f>
        <v>0</v>
      </c>
      <c r="AB29" s="33" t="s">
        <v>27</v>
      </c>
      <c r="AC29" s="31"/>
      <c r="AD29" s="32"/>
      <c r="AE29" s="20"/>
      <c r="AF29" s="20"/>
      <c r="AG29" s="20"/>
      <c r="AH29" s="20"/>
      <c r="AI29" s="20"/>
      <c r="AJ29" s="20"/>
      <c r="AK29" s="20"/>
      <c r="AL29" s="21"/>
    </row>
    <row r="30" spans="2:38" x14ac:dyDescent="0.25">
      <c r="B30" s="19"/>
      <c r="C30" s="457" t="s">
        <v>16</v>
      </c>
      <c r="D30" s="530"/>
      <c r="E30" s="641"/>
      <c r="F30" s="641"/>
      <c r="G30" s="530"/>
      <c r="H30" s="483"/>
      <c r="I30" s="81"/>
      <c r="J30" s="10"/>
      <c r="K30" s="58"/>
      <c r="L30" s="66">
        <f>IFERROR((VLOOKUP(Data!$K$4,Data!$C$87:$AF$91,30,FALSE)/$L$21),"-")</f>
        <v>9.9502487562189053E-3</v>
      </c>
      <c r="M30" s="33" t="s">
        <v>28</v>
      </c>
      <c r="N30" s="31"/>
      <c r="O30" s="32"/>
      <c r="P30" s="20"/>
      <c r="Q30" s="20"/>
      <c r="R30" s="20"/>
      <c r="S30" s="20"/>
      <c r="T30" s="20"/>
      <c r="U30" s="20"/>
      <c r="V30" s="20"/>
      <c r="W30" s="20"/>
      <c r="X30" s="21"/>
      <c r="Z30" s="19"/>
      <c r="AA30" s="66">
        <f>IFERROR((VLOOKUP(Data!$K$3,Data!$C$19:$HF$82,200,FALSE)/$AA$21),"-")</f>
        <v>0</v>
      </c>
      <c r="AB30" s="33" t="s">
        <v>28</v>
      </c>
      <c r="AC30" s="31"/>
      <c r="AD30" s="32"/>
      <c r="AE30" s="20"/>
      <c r="AF30" s="20"/>
      <c r="AG30" s="20"/>
      <c r="AH30" s="20"/>
      <c r="AI30" s="20"/>
      <c r="AJ30" s="20"/>
      <c r="AK30" s="20"/>
      <c r="AL30" s="21"/>
    </row>
    <row r="31" spans="2:38" x14ac:dyDescent="0.25">
      <c r="B31" s="19"/>
      <c r="C31" s="457" t="s">
        <v>17</v>
      </c>
      <c r="D31" s="530"/>
      <c r="E31" s="641"/>
      <c r="F31" s="641"/>
      <c r="G31" s="530"/>
      <c r="H31" s="460"/>
      <c r="I31" s="81"/>
      <c r="J31" s="10"/>
      <c r="K31" s="58"/>
      <c r="L31" s="66">
        <f>IFERROR((VLOOKUP(Data!$K$4,Data!$C$87:$AG$91,31,FALSE)/$L$21),"-")</f>
        <v>0.54228855721393032</v>
      </c>
      <c r="M31" s="33" t="s">
        <v>201</v>
      </c>
      <c r="N31" s="31"/>
      <c r="O31" s="32"/>
      <c r="P31" s="20"/>
      <c r="Q31" s="20"/>
      <c r="R31" s="20"/>
      <c r="S31" s="20"/>
      <c r="T31" s="20"/>
      <c r="U31" s="20"/>
      <c r="V31" s="20"/>
      <c r="W31" s="20"/>
      <c r="X31" s="21"/>
      <c r="Z31" s="19"/>
      <c r="AA31" s="66">
        <f>IFERROR((VLOOKUP(Data!$K$3,Data!$C$19:$HF$82,201,FALSE)/$AA$21),"-")</f>
        <v>0</v>
      </c>
      <c r="AB31" s="33" t="s">
        <v>201</v>
      </c>
      <c r="AC31" s="31"/>
      <c r="AD31" s="32"/>
      <c r="AE31" s="20"/>
      <c r="AF31" s="20"/>
      <c r="AG31" s="20"/>
      <c r="AH31" s="20"/>
      <c r="AI31" s="20"/>
      <c r="AJ31" s="20"/>
      <c r="AK31" s="20"/>
      <c r="AL31" s="21"/>
    </row>
    <row r="32" spans="2:38" x14ac:dyDescent="0.25">
      <c r="B32" s="19"/>
      <c r="C32" s="457" t="s">
        <v>18</v>
      </c>
      <c r="D32" s="530"/>
      <c r="E32" s="641"/>
      <c r="F32" s="641"/>
      <c r="G32" s="530"/>
      <c r="H32" s="460"/>
      <c r="I32" s="143"/>
      <c r="J32" s="144"/>
      <c r="K32" s="58"/>
      <c r="L32" s="66">
        <f>IFERROR((VLOOKUP(Data!$K$4,Data!$C$87:$AH$91,32,FALSE)/$L$21),"-")</f>
        <v>0</v>
      </c>
      <c r="M32" s="33" t="s">
        <v>29</v>
      </c>
      <c r="N32" s="31"/>
      <c r="O32" s="32"/>
      <c r="P32" s="20"/>
      <c r="Q32" s="20"/>
      <c r="R32" s="20"/>
      <c r="S32" s="20"/>
      <c r="T32" s="20"/>
      <c r="U32" s="20"/>
      <c r="V32" s="20"/>
      <c r="W32" s="20"/>
      <c r="X32" s="21"/>
      <c r="Z32" s="19"/>
      <c r="AA32" s="66">
        <f>IFERROR((VLOOKUP(Data!$K$3,Data!$C$19:$HF$82,202,FALSE)/$AA$21),"-")</f>
        <v>0</v>
      </c>
      <c r="AB32" s="33" t="s">
        <v>29</v>
      </c>
      <c r="AC32" s="31"/>
      <c r="AD32" s="32"/>
      <c r="AE32" s="20"/>
      <c r="AF32" s="20"/>
      <c r="AG32" s="20"/>
      <c r="AH32" s="20"/>
      <c r="AI32" s="20"/>
      <c r="AJ32" s="20"/>
      <c r="AK32" s="20"/>
      <c r="AL32" s="21"/>
    </row>
    <row r="33" spans="2:38" ht="13.7" customHeight="1" thickBot="1" x14ac:dyDescent="0.3">
      <c r="B33" s="19"/>
      <c r="C33" s="461" t="s">
        <v>19</v>
      </c>
      <c r="D33" s="538"/>
      <c r="E33" s="642"/>
      <c r="F33" s="642"/>
      <c r="G33" s="538"/>
      <c r="H33" s="462"/>
      <c r="I33" s="82"/>
      <c r="J33" s="10"/>
      <c r="K33" s="58"/>
      <c r="L33" s="67">
        <f>IFERROR((VLOOKUP(Data!$K$4,Data!$C$87:$AI$91,33,FALSE)/$L$21),"-")</f>
        <v>1.4925373134328358E-2</v>
      </c>
      <c r="M33" s="76" t="s">
        <v>67</v>
      </c>
      <c r="N33" s="35"/>
      <c r="O33" s="36"/>
      <c r="P33" s="20"/>
      <c r="Q33" s="20"/>
      <c r="R33" s="20"/>
      <c r="S33" s="20"/>
      <c r="T33" s="20"/>
      <c r="U33" s="20"/>
      <c r="V33" s="20"/>
      <c r="W33" s="20"/>
      <c r="X33" s="21"/>
      <c r="Z33" s="19"/>
      <c r="AA33" s="66">
        <f>IFERROR((VLOOKUP(Data!$K$3,Data!$C$19:$HF$82,203,FALSE)/$AA$21),"-")</f>
        <v>0</v>
      </c>
      <c r="AB33" s="33" t="s">
        <v>67</v>
      </c>
      <c r="AC33" s="31"/>
      <c r="AD33" s="32"/>
      <c r="AE33" s="20"/>
      <c r="AF33" s="20"/>
      <c r="AG33" s="20"/>
      <c r="AH33" s="20"/>
      <c r="AI33" s="20"/>
      <c r="AJ33" s="20"/>
      <c r="AK33" s="20"/>
      <c r="AL33" s="21"/>
    </row>
    <row r="34" spans="2:38" ht="13.35" customHeight="1" thickBot="1" x14ac:dyDescent="0.3">
      <c r="B34" s="19"/>
      <c r="C34" s="146"/>
      <c r="D34" s="20"/>
      <c r="E34" s="40"/>
      <c r="F34" s="146"/>
      <c r="G34" s="20"/>
      <c r="H34" s="40"/>
      <c r="I34" s="21"/>
      <c r="K34" s="19"/>
      <c r="L34" s="20"/>
      <c r="M34" s="20"/>
      <c r="N34" s="20"/>
      <c r="O34" s="20"/>
      <c r="P34" s="20"/>
      <c r="Q34" s="20"/>
      <c r="R34" s="86" t="s">
        <v>51</v>
      </c>
      <c r="S34" s="463">
        <f>IFERROR((VLOOKUP($L$20, Data!$C$87:$AP$91,40,FALSE)/$L$21),"-")</f>
        <v>0.89054726368159209</v>
      </c>
      <c r="T34" s="464" t="s">
        <v>50</v>
      </c>
      <c r="U34" s="463">
        <f>IFERROR((VLOOKUP($L$20, Data!$C$87:$AQ$91,41,FALSE)/$L$21),"-")</f>
        <v>0.10945273631840796</v>
      </c>
      <c r="V34" s="464" t="s">
        <v>52</v>
      </c>
      <c r="W34" s="465">
        <f>IFERROR((VLOOKUP($L$20, Data!$C$87:$AR$91,42,FALSE)/$L$21),"-")</f>
        <v>0</v>
      </c>
      <c r="X34" s="43"/>
      <c r="Z34" s="19"/>
      <c r="AA34" s="34"/>
      <c r="AB34" s="35"/>
      <c r="AC34" s="35"/>
      <c r="AD34" s="36"/>
      <c r="AE34" s="20"/>
      <c r="AF34" s="86" t="s">
        <v>51</v>
      </c>
      <c r="AG34" s="481">
        <f>IFERROR((VLOOKUP(Data!$K$3,Data!$C$19:$HF$82,210,FALSE)/$AA$21),"-")</f>
        <v>0.5</v>
      </c>
      <c r="AH34" s="87" t="s">
        <v>50</v>
      </c>
      <c r="AI34" s="481">
        <f>IFERROR((VLOOKUP(Data!$K$3,Data!$C$19:$HF$82,211,FALSE)/$AA$21),"-")</f>
        <v>0.5</v>
      </c>
      <c r="AJ34" s="87" t="s">
        <v>52</v>
      </c>
      <c r="AK34" s="482">
        <f>IFERROR((VLOOKUP(Data!$K$3,Data!$C$19:$HF$82,212,FALSE)/$AA$21),"-")</f>
        <v>0</v>
      </c>
      <c r="AL34" s="43"/>
    </row>
    <row r="35" spans="2:38" ht="4.7" customHeight="1" thickBot="1" x14ac:dyDescent="0.3">
      <c r="B35" s="22"/>
      <c r="C35" s="23"/>
      <c r="D35" s="23"/>
      <c r="E35" s="23"/>
      <c r="F35" s="23"/>
      <c r="G35" s="23"/>
      <c r="H35" s="23"/>
      <c r="I35" s="24"/>
      <c r="K35" s="22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4"/>
      <c r="Z35" s="22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4"/>
    </row>
    <row r="40" spans="2:38" x14ac:dyDescent="0.25">
      <c r="D40" s="131" t="s">
        <v>96</v>
      </c>
      <c r="E40" s="131"/>
    </row>
    <row r="2509" spans="33:33" x14ac:dyDescent="0.25">
      <c r="AG2509" s="141">
        <v>0.114</v>
      </c>
    </row>
  </sheetData>
  <mergeCells count="17">
    <mergeCell ref="C3:F3"/>
    <mergeCell ref="D7:F7"/>
    <mergeCell ref="D8:F8"/>
    <mergeCell ref="D9:F9"/>
    <mergeCell ref="E21:F21"/>
    <mergeCell ref="E22:F22"/>
    <mergeCell ref="E23:F23"/>
    <mergeCell ref="E24:F24"/>
    <mergeCell ref="E25:F25"/>
    <mergeCell ref="E31:F31"/>
    <mergeCell ref="E32:F32"/>
    <mergeCell ref="E33:F33"/>
    <mergeCell ref="E26:F26"/>
    <mergeCell ref="E27:F27"/>
    <mergeCell ref="E28:F28"/>
    <mergeCell ref="E29:F29"/>
    <mergeCell ref="E30:F30"/>
  </mergeCells>
  <conditionalFormatting sqref="C7">
    <cfRule type="cellIs" dxfId="8" priority="3" operator="greaterThan">
      <formula>$C$13</formula>
    </cfRule>
    <cfRule type="cellIs" dxfId="7" priority="4" operator="lessThan">
      <formula>$C$13</formula>
    </cfRule>
  </conditionalFormatting>
  <conditionalFormatting sqref="C8">
    <cfRule type="cellIs" dxfId="6" priority="5" operator="lessThan">
      <formula>$C$14</formula>
    </cfRule>
    <cfRule type="cellIs" dxfId="5" priority="6" operator="greaterThan">
      <formula>$C$14</formula>
    </cfRule>
  </conditionalFormatting>
  <conditionalFormatting sqref="C9">
    <cfRule type="cellIs" dxfId="4" priority="1" operator="lessThan">
      <formula>$C$15</formula>
    </cfRule>
    <cfRule type="cellIs" dxfId="3" priority="2" operator="greaterThan">
      <formula>$C$15</formula>
    </cfRule>
  </conditionalFormatting>
  <pageMargins left="0.7" right="0.7" top="0.75" bottom="0.75" header="0.3" footer="0.3"/>
  <pageSetup paperSize="17" scale="8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'Location Detail'!$O$2:$O$59</xm:f>
          </x14:formula1>
          <xm:sqref>C3:F3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59999389629810485"/>
  </sheetPr>
  <dimension ref="B1:T40"/>
  <sheetViews>
    <sheetView zoomScale="90" zoomScaleNormal="90" workbookViewId="0">
      <selection activeCell="D4" sqref="D4:G4"/>
    </sheetView>
  </sheetViews>
  <sheetFormatPr defaultColWidth="8.85546875" defaultRowHeight="15" x14ac:dyDescent="0.25"/>
  <cols>
    <col min="1" max="1" width="1.28515625" style="5" customWidth="1"/>
    <col min="2" max="3" width="1" style="5" customWidth="1"/>
    <col min="4" max="4" width="11.5703125" style="5" customWidth="1"/>
    <col min="5" max="5" width="9" style="5" customWidth="1"/>
    <col min="6" max="6" width="9.140625" style="5" customWidth="1"/>
    <col min="7" max="7" width="8.85546875" style="5"/>
    <col min="8" max="8" width="8.140625" style="5" customWidth="1"/>
    <col min="9" max="9" width="9.85546875" style="5" customWidth="1"/>
    <col min="10" max="10" width="1.7109375" style="5" customWidth="1"/>
    <col min="11" max="11" width="2.42578125" style="5" customWidth="1"/>
    <col min="12" max="12" width="8.85546875" style="5"/>
    <col min="13" max="13" width="8.42578125" style="5" customWidth="1"/>
    <col min="14" max="14" width="11.140625" style="5" customWidth="1"/>
    <col min="15" max="15" width="8.85546875" style="5" customWidth="1"/>
    <col min="16" max="16" width="5.42578125" style="5" customWidth="1"/>
    <col min="17" max="17" width="11.140625" style="5" customWidth="1"/>
    <col min="18" max="18" width="8.85546875" style="5" customWidth="1"/>
    <col min="19" max="19" width="5.42578125" style="5" customWidth="1"/>
    <col min="20" max="20" width="2.85546875" style="5" customWidth="1"/>
    <col min="21" max="16384" width="8.85546875" style="5"/>
  </cols>
  <sheetData>
    <row r="1" spans="2:20" ht="5.45" customHeight="1" thickBot="1" x14ac:dyDescent="0.3"/>
    <row r="2" spans="2:20" ht="5.45" customHeight="1" thickBot="1" x14ac:dyDescent="0.3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8"/>
    </row>
    <row r="3" spans="2:20" ht="5.45" customHeight="1" thickBot="1" x14ac:dyDescent="0.3">
      <c r="B3" s="19"/>
      <c r="C3" s="103"/>
      <c r="D3" s="104"/>
      <c r="E3" s="104"/>
      <c r="F3" s="104"/>
      <c r="G3" s="104"/>
      <c r="H3" s="104"/>
      <c r="I3" s="104"/>
      <c r="J3" s="105"/>
      <c r="K3" s="20"/>
      <c r="L3" s="20"/>
      <c r="M3" s="20"/>
      <c r="N3" s="20"/>
      <c r="O3" s="20"/>
      <c r="P3" s="20"/>
      <c r="Q3" s="20"/>
      <c r="R3" s="20"/>
      <c r="S3" s="20"/>
      <c r="T3" s="21"/>
    </row>
    <row r="4" spans="2:20" ht="29.1" customHeight="1" thickBot="1" x14ac:dyDescent="0.3">
      <c r="B4" s="19"/>
      <c r="C4" s="106"/>
      <c r="D4" s="652" t="s">
        <v>567</v>
      </c>
      <c r="E4" s="653"/>
      <c r="F4" s="653"/>
      <c r="G4" s="654"/>
      <c r="H4" s="655" t="s">
        <v>674</v>
      </c>
      <c r="I4" s="656"/>
      <c r="J4" s="107"/>
      <c r="K4" s="20"/>
      <c r="L4" s="20"/>
      <c r="M4" s="20"/>
      <c r="N4" s="20"/>
      <c r="O4" s="20"/>
      <c r="P4" s="20"/>
      <c r="Q4" s="20"/>
      <c r="R4" s="20"/>
      <c r="S4" s="20"/>
      <c r="T4" s="21"/>
    </row>
    <row r="5" spans="2:20" ht="26.25" customHeight="1" thickBot="1" x14ac:dyDescent="0.3">
      <c r="B5" s="19"/>
      <c r="C5" s="106"/>
      <c r="D5" s="31"/>
      <c r="E5" s="624">
        <f>IFERROR(VLOOKUP(Data!$K$7,Past_Year!B3:H66,7,FALSE),"-")</f>
        <v>64</v>
      </c>
      <c r="F5" s="625" t="s">
        <v>673</v>
      </c>
      <c r="G5" s="303"/>
      <c r="H5" s="626">
        <f>E12</f>
        <v>65</v>
      </c>
      <c r="I5" s="627" t="s">
        <v>54</v>
      </c>
      <c r="J5" s="108"/>
      <c r="K5" s="20"/>
      <c r="L5" s="20"/>
      <c r="M5" s="20"/>
      <c r="N5" s="20"/>
      <c r="O5" s="20"/>
      <c r="P5" s="20"/>
      <c r="Q5" s="20"/>
      <c r="R5" s="20"/>
      <c r="S5" s="20"/>
      <c r="T5" s="21"/>
    </row>
    <row r="6" spans="2:20" ht="5.45" customHeight="1" thickBot="1" x14ac:dyDescent="0.3">
      <c r="B6" s="19"/>
      <c r="C6" s="109"/>
      <c r="D6" s="110"/>
      <c r="E6" s="111"/>
      <c r="F6" s="112"/>
      <c r="G6" s="113"/>
      <c r="H6" s="113"/>
      <c r="I6" s="113"/>
      <c r="J6" s="114"/>
      <c r="K6" s="20"/>
      <c r="L6" s="20"/>
      <c r="M6" s="20"/>
      <c r="N6" s="20"/>
      <c r="O6" s="20"/>
      <c r="P6" s="20"/>
      <c r="Q6" s="20"/>
      <c r="R6" s="20"/>
      <c r="S6" s="20"/>
      <c r="T6" s="21"/>
    </row>
    <row r="7" spans="2:20" ht="6.75" customHeight="1" thickBot="1" x14ac:dyDescent="0.3">
      <c r="B7" s="19"/>
      <c r="C7" s="20"/>
      <c r="D7" s="20"/>
      <c r="E7" s="95"/>
      <c r="F7" s="79"/>
      <c r="G7" s="85"/>
      <c r="H7" s="96"/>
      <c r="I7" s="85"/>
      <c r="J7" s="85"/>
      <c r="K7" s="20"/>
      <c r="L7" s="20"/>
      <c r="M7" s="20"/>
      <c r="N7" s="20"/>
      <c r="O7" s="20"/>
      <c r="P7" s="20"/>
      <c r="Q7" s="20"/>
      <c r="R7" s="20"/>
      <c r="S7" s="20"/>
      <c r="T7" s="21"/>
    </row>
    <row r="8" spans="2:20" ht="37.35" customHeight="1" thickBot="1" x14ac:dyDescent="0.3">
      <c r="B8" s="19"/>
      <c r="C8" s="25"/>
      <c r="D8" s="26"/>
      <c r="E8" s="101" t="s">
        <v>71</v>
      </c>
      <c r="F8" s="101" t="s">
        <v>72</v>
      </c>
      <c r="G8" s="101" t="s">
        <v>21</v>
      </c>
      <c r="H8" s="101" t="s">
        <v>70</v>
      </c>
      <c r="I8" s="101" t="s">
        <v>75</v>
      </c>
      <c r="J8" s="100"/>
      <c r="K8" s="20"/>
      <c r="L8" s="20"/>
      <c r="M8" s="20"/>
      <c r="N8" s="20"/>
      <c r="O8" s="20"/>
      <c r="P8" s="20"/>
      <c r="Q8" s="20"/>
      <c r="R8" s="20"/>
      <c r="S8" s="20"/>
      <c r="T8" s="21"/>
    </row>
    <row r="9" spans="2:20" x14ac:dyDescent="0.25">
      <c r="B9" s="19"/>
      <c r="C9" s="28"/>
      <c r="D9" s="305" t="s">
        <v>8</v>
      </c>
      <c r="E9" s="450">
        <f>IFERROR(VLOOKUP(Data!$K$7,Data!$C$19:$Y$82,11,FALSE),"-")</f>
        <v>64</v>
      </c>
      <c r="F9" s="449">
        <f>E9-E5</f>
        <v>0</v>
      </c>
      <c r="G9" s="525">
        <f>IFERROR(VLOOKUP(Data!$K$7,Data!$C$19:$AT$82,44,FALSE),"-")</f>
        <v>1</v>
      </c>
      <c r="H9" s="450">
        <f>IFERROR(VLOOKUP(Data!$K$7,Data!$C$19:$BR$82,57,FALSE),"-")</f>
        <v>3</v>
      </c>
      <c r="I9" s="526">
        <f t="shared" ref="I9:I20" si="0">E9-$E$5</f>
        <v>0</v>
      </c>
      <c r="J9" s="98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2:20" x14ac:dyDescent="0.25">
      <c r="B10" s="19"/>
      <c r="C10" s="28"/>
      <c r="D10" s="628" t="s">
        <v>9</v>
      </c>
      <c r="E10" s="629">
        <f>IFERROR(VLOOKUP(Data!$K$7,Data!$C$19:$Y$82,12,FALSE),"-")</f>
        <v>66</v>
      </c>
      <c r="F10" s="630">
        <f>E10-E9</f>
        <v>2</v>
      </c>
      <c r="G10" s="631">
        <f>IFERROR(VLOOKUP(Data!$K$7,Data!$C$19:$AU$82,45,FALSE),"-")</f>
        <v>1</v>
      </c>
      <c r="H10" s="629">
        <f>IFERROR(VLOOKUP(Data!$K$7,Data!$C$19:$BR$82,58,FALSE),"-")</f>
        <v>3</v>
      </c>
      <c r="I10" s="630">
        <f t="shared" si="0"/>
        <v>2</v>
      </c>
      <c r="J10" s="98"/>
      <c r="K10" s="20"/>
      <c r="L10" s="20"/>
      <c r="M10" s="20"/>
      <c r="N10" s="20"/>
      <c r="O10" s="20"/>
      <c r="P10" s="20"/>
      <c r="Q10" s="20"/>
      <c r="R10" s="20"/>
      <c r="S10" s="20"/>
      <c r="T10" s="21"/>
    </row>
    <row r="11" spans="2:20" x14ac:dyDescent="0.25">
      <c r="B11" s="19"/>
      <c r="C11" s="28"/>
      <c r="D11" s="306" t="s">
        <v>10</v>
      </c>
      <c r="E11" s="545">
        <f>IFERROR(VLOOKUP(Data!$K$7,Data!$C$19:$Y$82,13,FALSE),"-")</f>
        <v>68</v>
      </c>
      <c r="F11" s="546">
        <f t="shared" ref="F11:F20" si="1">E11-E10</f>
        <v>2</v>
      </c>
      <c r="G11" s="547">
        <f>IFERROR(VLOOKUP(Data!$K$7,Data!$C$19:$AV$82,46,FALSE),"-")</f>
        <v>2</v>
      </c>
      <c r="H11" s="545">
        <f>IFERROR(VLOOKUP(Data!$K$7,Data!$C$19:$BR$82,59,FALSE),"-")</f>
        <v>3</v>
      </c>
      <c r="I11" s="548">
        <f t="shared" si="0"/>
        <v>4</v>
      </c>
      <c r="J11" s="98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2:20" x14ac:dyDescent="0.25">
      <c r="B12" s="19"/>
      <c r="C12" s="28"/>
      <c r="D12" s="628" t="s">
        <v>11</v>
      </c>
      <c r="E12" s="629">
        <f>IFERROR(VLOOKUP(Data!$K$7,Data!$C$19:$Y$82,14,FALSE),"-")</f>
        <v>65</v>
      </c>
      <c r="F12" s="630">
        <f t="shared" si="1"/>
        <v>-3</v>
      </c>
      <c r="G12" s="631">
        <f>IFERROR(VLOOKUP(Data!$K$7,Data!$C$19:$AW$82,47,FALSE),"-")</f>
        <v>2</v>
      </c>
      <c r="H12" s="629">
        <f>IFERROR(VLOOKUP(Data!$K$7,Data!$C$19:$BR$82,60,FALSE),"-")</f>
        <v>2</v>
      </c>
      <c r="I12" s="632">
        <f t="shared" si="0"/>
        <v>1</v>
      </c>
      <c r="J12" s="98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2:20" x14ac:dyDescent="0.25">
      <c r="B13" s="19"/>
      <c r="C13" s="28"/>
      <c r="D13" s="130" t="s">
        <v>12</v>
      </c>
      <c r="E13" s="555">
        <f>IFERROR(VLOOKUP(Data!$K$7,Data!$C$19:$Y$82,15,FALSE),"-")</f>
        <v>65</v>
      </c>
      <c r="F13" s="546">
        <v>0</v>
      </c>
      <c r="G13" s="556">
        <f>IFERROR(VLOOKUP(Data!$K$7,Data!$C$19:$AW$82,47,FALSE),"-")</f>
        <v>2</v>
      </c>
      <c r="H13" s="555">
        <f>IFERROR(VLOOKUP(Data!$K$7,Data!$C$19:$BR$82,61,FALSE),"-")</f>
        <v>3</v>
      </c>
      <c r="I13" s="557">
        <f t="shared" si="0"/>
        <v>1</v>
      </c>
      <c r="J13" s="98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2:20" x14ac:dyDescent="0.25">
      <c r="B14" s="19"/>
      <c r="C14" s="28"/>
      <c r="D14" s="628" t="s">
        <v>13</v>
      </c>
      <c r="E14" s="633">
        <f>IFERROR(VLOOKUP(Data!$K$7,Data!$C$19:$R$82,16,FALSE),"-")</f>
        <v>0</v>
      </c>
      <c r="F14" s="630">
        <v>0</v>
      </c>
      <c r="G14" s="634">
        <f>IFERROR(VLOOKUP(Data!$K$7,Data!$C$19:$AW$82,47,FALSE),"-")</f>
        <v>2</v>
      </c>
      <c r="H14" s="633">
        <f>IFERROR(VLOOKUP(Data!$K$7,Data!$C$19:$BR$82,62,FALSE),"-")</f>
        <v>0</v>
      </c>
      <c r="I14" s="635">
        <f t="shared" si="0"/>
        <v>-64</v>
      </c>
      <c r="J14" s="98"/>
      <c r="K14" s="20"/>
      <c r="L14" s="20"/>
      <c r="M14" s="20"/>
      <c r="N14" s="20"/>
      <c r="O14" s="20"/>
      <c r="P14" s="20"/>
      <c r="Q14" s="20"/>
      <c r="R14" s="20"/>
      <c r="S14" s="20"/>
      <c r="T14" s="21"/>
    </row>
    <row r="15" spans="2:20" x14ac:dyDescent="0.25">
      <c r="B15" s="19"/>
      <c r="C15" s="28"/>
      <c r="D15" s="130" t="s">
        <v>14</v>
      </c>
      <c r="E15" s="541">
        <f>IFERROR(VLOOKUP(Data!$K$7,Data!$C$19:$S$82,17,FALSE),"-")</f>
        <v>0</v>
      </c>
      <c r="F15" s="546">
        <f t="shared" si="1"/>
        <v>0</v>
      </c>
      <c r="G15" s="543">
        <f>IFERROR(VLOOKUP(Data!$K$7,Data!$C$19:$AZ$82,50,FALSE),"-")</f>
        <v>0</v>
      </c>
      <c r="H15" s="541">
        <f>IFERROR(VLOOKUP(Data!$K$7,Data!$C$19:$BR$82,63,FALSE),"-")</f>
        <v>0</v>
      </c>
      <c r="I15" s="544">
        <f t="shared" si="0"/>
        <v>-64</v>
      </c>
      <c r="J15" s="98"/>
      <c r="K15" s="20"/>
      <c r="L15" s="20"/>
      <c r="M15" s="20"/>
      <c r="N15" s="20"/>
      <c r="O15" s="20"/>
      <c r="P15" s="20"/>
      <c r="Q15" s="20"/>
      <c r="R15" s="20"/>
      <c r="S15" s="20"/>
      <c r="T15" s="21"/>
    </row>
    <row r="16" spans="2:20" x14ac:dyDescent="0.25">
      <c r="B16" s="19"/>
      <c r="C16" s="28"/>
      <c r="D16" s="628" t="s">
        <v>15</v>
      </c>
      <c r="E16" s="633">
        <f>IFERROR(VLOOKUP(Data!$K$7,Data!$C$19:$U$82,18,FALSE),"-")</f>
        <v>0</v>
      </c>
      <c r="F16" s="630">
        <f t="shared" si="1"/>
        <v>0</v>
      </c>
      <c r="G16" s="634">
        <f>IFERROR(VLOOKUP(Data!$K$7,Data!$C$19:$BA$82,51,FALSE),"-")</f>
        <v>0</v>
      </c>
      <c r="H16" s="633">
        <f>IFERROR(VLOOKUP(Data!$K$7,Data!$C$19:$BR$82,64,FALSE),"-")</f>
        <v>0</v>
      </c>
      <c r="I16" s="636">
        <f t="shared" si="0"/>
        <v>-64</v>
      </c>
      <c r="J16" s="98"/>
      <c r="K16" s="20"/>
      <c r="L16" s="20"/>
      <c r="M16" s="20"/>
      <c r="N16" s="20"/>
      <c r="O16" s="20"/>
      <c r="P16" s="20"/>
      <c r="Q16" s="20"/>
      <c r="R16" s="20"/>
      <c r="S16" s="20"/>
      <c r="T16" s="21"/>
    </row>
    <row r="17" spans="2:20" x14ac:dyDescent="0.25">
      <c r="B17" s="19"/>
      <c r="C17" s="28"/>
      <c r="D17" s="306" t="s">
        <v>16</v>
      </c>
      <c r="E17" s="539">
        <f>IFERROR(VLOOKUP(Data!$K$7,Data!$C$19:$V$82,19,FALSE),"-")</f>
        <v>0</v>
      </c>
      <c r="F17" s="546">
        <f t="shared" si="1"/>
        <v>0</v>
      </c>
      <c r="G17" s="543">
        <f>IFERROR(VLOOKUP(Data!$K$7,Data!$C$19:$BB$83,51,FALSE),"-")</f>
        <v>0</v>
      </c>
      <c r="H17" s="541">
        <f>IFERROR(VLOOKUP(Data!$K$7,Data!$C$19:$BS$82,65,FALSE),"-")</f>
        <v>0</v>
      </c>
      <c r="I17" s="542">
        <f t="shared" ref="I17" si="2">E17-$E$5</f>
        <v>-64</v>
      </c>
      <c r="J17" s="98"/>
      <c r="K17" s="20"/>
      <c r="L17" s="20"/>
      <c r="M17" s="20"/>
      <c r="N17" s="20"/>
      <c r="O17" s="20"/>
      <c r="P17" s="20"/>
      <c r="Q17" s="20"/>
      <c r="R17" s="20"/>
      <c r="S17" s="20"/>
      <c r="T17" s="21"/>
    </row>
    <row r="18" spans="2:20" x14ac:dyDescent="0.25">
      <c r="B18" s="19"/>
      <c r="C18" s="28"/>
      <c r="D18" s="628" t="s">
        <v>17</v>
      </c>
      <c r="E18" s="633">
        <f>IFERROR(VLOOKUP(Data!$K$7,Data!$C$19:$Z$82,20,FALSE),"-")</f>
        <v>0</v>
      </c>
      <c r="F18" s="630">
        <f t="shared" si="1"/>
        <v>0</v>
      </c>
      <c r="G18" s="634">
        <f>IFERROR(VLOOKUP(Data!$K$7,Data!$C$19:$BC$84,52,FALSE),"-")</f>
        <v>0</v>
      </c>
      <c r="H18" s="633">
        <f>IFERROR(VLOOKUP(Data!$K$7,Data!$C$19:$BT$82,66,FALSE),"-")</f>
        <v>0</v>
      </c>
      <c r="I18" s="636">
        <f t="shared" ref="I18:I19" si="3">E18-$E$5</f>
        <v>-64</v>
      </c>
      <c r="J18" s="98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spans="2:20" x14ac:dyDescent="0.25">
      <c r="B19" s="19"/>
      <c r="C19" s="28"/>
      <c r="D19" s="306" t="s">
        <v>18</v>
      </c>
      <c r="E19" s="539">
        <f>IFERROR(VLOOKUP(Data!$K$7,Data!$C$19:$Z$82,21,FALSE),"-")</f>
        <v>0</v>
      </c>
      <c r="F19" s="546">
        <f t="shared" si="1"/>
        <v>0</v>
      </c>
      <c r="G19" s="540">
        <f>IFERROR(VLOOKUP(Data!$K$7,Data!$C$19:$BD$82,54,FALSE),"-")</f>
        <v>0</v>
      </c>
      <c r="H19" s="539">
        <f>IFERROR(VLOOKUP(Data!$K$7,Data!$C$19:$BR$82,67,FALSE),"-")</f>
        <v>0</v>
      </c>
      <c r="I19" s="542">
        <f t="shared" si="3"/>
        <v>-64</v>
      </c>
      <c r="J19" s="98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spans="2:20" ht="15.75" thickBot="1" x14ac:dyDescent="0.3">
      <c r="B20" s="19"/>
      <c r="C20" s="28"/>
      <c r="D20" s="637" t="s">
        <v>19</v>
      </c>
      <c r="E20" s="638">
        <f>IFERROR(VLOOKUP(Data!$K$7,Data!$C$19:$Z$82,22,FALSE),"-")</f>
        <v>0</v>
      </c>
      <c r="F20" s="630">
        <f t="shared" si="1"/>
        <v>0</v>
      </c>
      <c r="G20" s="639">
        <f>IFERROR(VLOOKUP(Data!$K$7,Data!$C$19:$BE$82,55,FALSE),"-")</f>
        <v>0</v>
      </c>
      <c r="H20" s="638">
        <f>IFERROR(VLOOKUP(Data!$K$7,Data!$C$19:$BR$82,68,FALSE),"-")</f>
        <v>0</v>
      </c>
      <c r="I20" s="640">
        <f t="shared" si="0"/>
        <v>-64</v>
      </c>
      <c r="J20" s="32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1" spans="2:20" ht="15" customHeight="1" thickBot="1" x14ac:dyDescent="0.3">
      <c r="B21" s="19"/>
      <c r="C21" s="28"/>
      <c r="D21" s="650" t="s">
        <v>323</v>
      </c>
      <c r="E21" s="650"/>
      <c r="F21" s="650"/>
      <c r="G21" s="102">
        <f>SUM(G9:G18)</f>
        <v>10</v>
      </c>
      <c r="H21" s="99">
        <f>SUM(H9:H18)</f>
        <v>14</v>
      </c>
      <c r="I21" s="29"/>
      <c r="J21" s="98"/>
      <c r="K21" s="20"/>
      <c r="L21" s="20"/>
      <c r="M21" s="20"/>
      <c r="N21" s="20"/>
      <c r="O21" s="20"/>
      <c r="P21" s="20"/>
      <c r="Q21" s="20"/>
      <c r="R21" s="20"/>
      <c r="S21" s="20"/>
      <c r="T21" s="21"/>
    </row>
    <row r="22" spans="2:20" ht="15.75" thickBot="1" x14ac:dyDescent="0.3">
      <c r="B22" s="19"/>
      <c r="C22" s="28"/>
      <c r="D22" s="650"/>
      <c r="E22" s="650"/>
      <c r="F22" s="650"/>
      <c r="G22" s="124" t="s">
        <v>671</v>
      </c>
      <c r="H22" s="31"/>
      <c r="I22" s="31"/>
      <c r="J22" s="32"/>
      <c r="K22" s="20"/>
      <c r="L22" s="20"/>
      <c r="M22" s="20"/>
      <c r="N22" s="20"/>
      <c r="O22" s="20"/>
      <c r="P22" s="20"/>
      <c r="Q22" s="20"/>
      <c r="R22" s="20"/>
      <c r="S22" s="20"/>
      <c r="T22" s="21"/>
    </row>
    <row r="23" spans="2:20" ht="15.75" thickBot="1" x14ac:dyDescent="0.3">
      <c r="B23" s="19"/>
      <c r="C23" s="34"/>
      <c r="D23" s="651"/>
      <c r="E23" s="651"/>
      <c r="F23" s="651"/>
      <c r="G23" s="35"/>
      <c r="H23" s="35"/>
      <c r="I23" s="35"/>
      <c r="J23" s="36"/>
      <c r="K23" s="20"/>
      <c r="L23" s="88" t="s">
        <v>104</v>
      </c>
      <c r="M23" s="622">
        <f>SUM(P23,(S23/2))</f>
        <v>62.5</v>
      </c>
      <c r="N23" s="20"/>
      <c r="O23" s="623" t="s">
        <v>103</v>
      </c>
      <c r="P23" s="622">
        <f>IFERROR(VLOOKUP(Data!$K$7,Data!$C$19:$AN$82,37,FALSE),"-")</f>
        <v>60</v>
      </c>
      <c r="Q23" s="20"/>
      <c r="R23" s="623" t="s">
        <v>102</v>
      </c>
      <c r="S23" s="622">
        <f>IFERROR(VLOOKUP(Data!$K$7,Data!$C$19:$AN$82,38,FALSE),"-")</f>
        <v>5</v>
      </c>
      <c r="T23" s="21"/>
    </row>
    <row r="24" spans="2:20" ht="21.75" customHeight="1" thickBot="1" x14ac:dyDescent="0.3">
      <c r="B24" s="22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4"/>
    </row>
    <row r="40" spans="4:4" x14ac:dyDescent="0.25">
      <c r="D40" s="131" t="s">
        <v>96</v>
      </c>
    </row>
  </sheetData>
  <mergeCells count="3">
    <mergeCell ref="D21:F23"/>
    <mergeCell ref="D4:G4"/>
    <mergeCell ref="H4:I4"/>
  </mergeCells>
  <conditionalFormatting sqref="J9:J19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greaterThan">
      <formula>"&gt;0"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'Location Detail'!$O$2:$O$58</xm:f>
          </x14:formula1>
          <xm:sqref>D4:G4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CEE4-3D8C-4CD5-9975-474C964C9811}">
  <sheetPr>
    <tabColor rgb="FFFFC000"/>
  </sheetPr>
  <dimension ref="B1:V35"/>
  <sheetViews>
    <sheetView zoomScaleNormal="100" workbookViewId="0">
      <selection activeCell="C3" sqref="C3:E3"/>
    </sheetView>
  </sheetViews>
  <sheetFormatPr defaultColWidth="8.85546875" defaultRowHeight="15" x14ac:dyDescent="0.25"/>
  <cols>
    <col min="1" max="1" width="1.28515625" style="561" customWidth="1"/>
    <col min="2" max="2" width="2.28515625" style="561" customWidth="1"/>
    <col min="3" max="4" width="8.85546875" style="561"/>
    <col min="5" max="5" width="17" style="561" customWidth="1"/>
    <col min="6" max="6" width="6.7109375" style="561" customWidth="1"/>
    <col min="7" max="7" width="2.28515625" style="561" customWidth="1"/>
    <col min="8" max="8" width="3.140625" style="561" customWidth="1"/>
    <col min="9" max="9" width="1.28515625" style="561" customWidth="1"/>
    <col min="10" max="11" width="8.85546875" style="561"/>
    <col min="12" max="12" width="14.140625" style="561" customWidth="1"/>
    <col min="13" max="13" width="4.42578125" style="561" customWidth="1"/>
    <col min="14" max="14" width="1.140625" style="561" customWidth="1"/>
    <col min="15" max="15" width="1.85546875" style="561" customWidth="1"/>
    <col min="16" max="21" width="8.85546875" style="561"/>
    <col min="22" max="22" width="1" style="561" customWidth="1"/>
    <col min="23" max="16384" width="8.85546875" style="561"/>
  </cols>
  <sheetData>
    <row r="1" spans="2:22" ht="7.5" customHeight="1" thickBot="1" x14ac:dyDescent="0.3"/>
    <row r="2" spans="2:22" ht="3.95" customHeight="1" thickBot="1" x14ac:dyDescent="0.3">
      <c r="B2" s="16"/>
      <c r="C2" s="17"/>
      <c r="D2" s="17"/>
      <c r="E2" s="17"/>
      <c r="F2" s="17"/>
      <c r="G2" s="18"/>
      <c r="I2" s="16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8"/>
    </row>
    <row r="3" spans="2:22" ht="16.5" thickBot="1" x14ac:dyDescent="0.3">
      <c r="B3" s="19"/>
      <c r="C3" s="644" t="s">
        <v>567</v>
      </c>
      <c r="D3" s="645"/>
      <c r="E3" s="646"/>
      <c r="F3" s="20"/>
      <c r="G3" s="21"/>
      <c r="I3" s="19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1"/>
    </row>
    <row r="4" spans="2:22" x14ac:dyDescent="0.25">
      <c r="B4" s="19"/>
      <c r="C4" s="44" t="s">
        <v>74</v>
      </c>
      <c r="D4" s="20"/>
      <c r="E4" s="20"/>
      <c r="F4" s="20"/>
      <c r="G4" s="21"/>
      <c r="I4" s="19"/>
      <c r="J4" s="608" t="str">
        <f>Data!$K$10</f>
        <v>001090</v>
      </c>
      <c r="K4" s="609" t="str">
        <f>C3</f>
        <v>1090 - St. Paul,MN</v>
      </c>
      <c r="L4" s="610"/>
      <c r="M4" s="20"/>
      <c r="N4" s="20"/>
      <c r="O4" s="20"/>
      <c r="P4" s="20"/>
      <c r="Q4" s="20"/>
      <c r="R4" s="20"/>
      <c r="S4" s="20"/>
      <c r="T4" s="20"/>
      <c r="U4" s="20"/>
      <c r="V4" s="21"/>
    </row>
    <row r="5" spans="2:22" ht="15.75" thickBot="1" x14ac:dyDescent="0.3">
      <c r="B5" s="19"/>
      <c r="C5" s="273" t="str">
        <f>Data!$K$3</f>
        <v>001090</v>
      </c>
      <c r="D5" s="274"/>
      <c r="E5" s="275"/>
      <c r="F5" s="275"/>
      <c r="G5" s="276"/>
      <c r="I5" s="19"/>
      <c r="J5" s="611">
        <f>IFERROR(VLOOKUP(J4,Data!$C$19:$DZ$82,128,FALSE),"-")</f>
        <v>14</v>
      </c>
      <c r="K5" s="612" t="s">
        <v>328</v>
      </c>
      <c r="L5" s="613"/>
      <c r="M5" s="41"/>
      <c r="N5" s="41"/>
      <c r="O5" s="20"/>
      <c r="P5" s="20"/>
      <c r="Q5" s="20"/>
      <c r="R5" s="20"/>
      <c r="S5" s="20"/>
      <c r="T5" s="20"/>
      <c r="U5" s="20"/>
      <c r="V5" s="21"/>
    </row>
    <row r="6" spans="2:22" ht="15.75" thickBot="1" x14ac:dyDescent="0.3">
      <c r="B6" s="19"/>
      <c r="C6" s="277" t="s">
        <v>106</v>
      </c>
      <c r="D6" s="273" t="str">
        <f>IFERROR(VLOOKUP(Data!$K$3,Data!$B$94:$I$98,8,FALSE),"-")</f>
        <v>-</v>
      </c>
      <c r="E6" s="278" t="s">
        <v>53</v>
      </c>
      <c r="F6" s="273">
        <v>2017</v>
      </c>
      <c r="G6" s="279"/>
      <c r="H6" s="571"/>
      <c r="I6" s="51"/>
      <c r="J6" s="41"/>
      <c r="K6" s="41"/>
      <c r="L6" s="41"/>
      <c r="M6" s="41"/>
      <c r="N6" s="41"/>
      <c r="O6" s="20"/>
      <c r="P6" s="20"/>
      <c r="Q6" s="20"/>
      <c r="R6" s="20"/>
      <c r="S6" s="20"/>
      <c r="T6" s="20"/>
      <c r="U6" s="20"/>
      <c r="V6" s="21"/>
    </row>
    <row r="7" spans="2:22" x14ac:dyDescent="0.25">
      <c r="B7" s="19"/>
      <c r="C7" s="283"/>
      <c r="D7" s="657" t="s">
        <v>40</v>
      </c>
      <c r="E7" s="657"/>
      <c r="F7" s="283">
        <f>Data!$K$13</f>
        <v>0.20161290322580644</v>
      </c>
      <c r="G7" s="279"/>
      <c r="H7" s="571"/>
      <c r="I7" s="51"/>
      <c r="J7" s="614">
        <f>IFERROR((VLOOKUP(J4,Data!$C$19:$DS$82,121,FALSE)/$J$5),"-")</f>
        <v>0.5714285714285714</v>
      </c>
      <c r="K7" s="615" t="s">
        <v>193</v>
      </c>
      <c r="L7" s="616"/>
      <c r="M7" s="44"/>
      <c r="N7" s="44"/>
      <c r="O7" s="20"/>
      <c r="P7" s="20"/>
      <c r="Q7" s="20"/>
      <c r="R7" s="20"/>
      <c r="S7" s="20"/>
      <c r="T7" s="20"/>
      <c r="U7" s="20"/>
      <c r="V7" s="21"/>
    </row>
    <row r="8" spans="2:22" x14ac:dyDescent="0.25">
      <c r="B8" s="19"/>
      <c r="C8" s="283"/>
      <c r="D8" s="657" t="s">
        <v>41</v>
      </c>
      <c r="E8" s="657"/>
      <c r="F8" s="283">
        <f>Data!$K$14</f>
        <v>0.50060346719332893</v>
      </c>
      <c r="G8" s="279"/>
      <c r="H8" s="571"/>
      <c r="I8" s="51"/>
      <c r="J8" s="617">
        <f>IFERROR((VLOOKUP(J4,Data!$C$19:$DT$82,122,FALSE)/$J$5),"-")</f>
        <v>0</v>
      </c>
      <c r="K8" s="618" t="s">
        <v>195</v>
      </c>
      <c r="L8" s="619"/>
      <c r="M8" s="44"/>
      <c r="N8" s="44"/>
      <c r="O8" s="20"/>
      <c r="P8" s="20"/>
      <c r="Q8" s="20"/>
      <c r="R8" s="20"/>
      <c r="S8" s="20"/>
      <c r="T8" s="20"/>
      <c r="U8" s="20"/>
      <c r="V8" s="21"/>
    </row>
    <row r="9" spans="2:22" x14ac:dyDescent="0.25">
      <c r="B9" s="19"/>
      <c r="C9" s="283"/>
      <c r="D9" s="657" t="s">
        <v>42</v>
      </c>
      <c r="E9" s="657"/>
      <c r="F9" s="283">
        <f>Data!$K$15</f>
        <v>6.7204301075268813E-2</v>
      </c>
      <c r="G9" s="279"/>
      <c r="H9" s="571"/>
      <c r="I9" s="51"/>
      <c r="J9" s="617">
        <f>IFERROR((VLOOKUP(J4,Data!$C$19:$DU$82,123,FALSE)/$J$5),"-")</f>
        <v>0</v>
      </c>
      <c r="K9" s="618" t="s">
        <v>196</v>
      </c>
      <c r="L9" s="619"/>
      <c r="M9" s="44"/>
      <c r="N9" s="44"/>
      <c r="O9" s="20"/>
      <c r="P9" s="40"/>
      <c r="Q9" s="40"/>
      <c r="R9" s="40"/>
      <c r="S9" s="40"/>
      <c r="T9" s="40"/>
      <c r="U9" s="41"/>
      <c r="V9" s="46"/>
    </row>
    <row r="10" spans="2:22" x14ac:dyDescent="0.25">
      <c r="B10" s="19"/>
      <c r="C10" s="280"/>
      <c r="D10" s="281"/>
      <c r="E10" s="275"/>
      <c r="F10" s="275"/>
      <c r="G10" s="279"/>
      <c r="H10" s="571"/>
      <c r="I10" s="51"/>
      <c r="J10" s="617">
        <f>IFERROR((VLOOKUP(J4,Data!$C$19:$DV$82,124,FALSE)/$J$5),"-")</f>
        <v>0</v>
      </c>
      <c r="K10" s="618" t="s">
        <v>197</v>
      </c>
      <c r="L10" s="619"/>
      <c r="M10" s="44"/>
      <c r="N10" s="44"/>
      <c r="O10" s="20"/>
      <c r="P10" s="20"/>
      <c r="Q10" s="20"/>
      <c r="R10" s="20"/>
      <c r="S10" s="20"/>
      <c r="T10" s="20"/>
      <c r="U10" s="20"/>
      <c r="V10" s="21"/>
    </row>
    <row r="11" spans="2:22" x14ac:dyDescent="0.25">
      <c r="B11" s="19"/>
      <c r="C11" s="278"/>
      <c r="D11" s="273"/>
      <c r="E11" s="278"/>
      <c r="F11" s="273"/>
      <c r="G11" s="279"/>
      <c r="H11" s="571"/>
      <c r="I11" s="51"/>
      <c r="J11" s="617">
        <f>IFERROR((VLOOKUP(J4,Data!$C$19:$DW$82,125,FALSE)/$J$5),"-")</f>
        <v>0</v>
      </c>
      <c r="K11" s="618" t="s">
        <v>198</v>
      </c>
      <c r="L11" s="619"/>
      <c r="M11" s="47"/>
      <c r="N11" s="47"/>
      <c r="O11" s="40"/>
      <c r="P11" s="20"/>
      <c r="Q11" s="20"/>
      <c r="R11" s="20"/>
      <c r="S11" s="20"/>
      <c r="T11" s="20"/>
      <c r="U11" s="20"/>
      <c r="V11" s="21"/>
    </row>
    <row r="12" spans="2:22" x14ac:dyDescent="0.25">
      <c r="B12" s="19"/>
      <c r="C12" s="284"/>
      <c r="D12" s="282"/>
      <c r="E12" s="275"/>
      <c r="F12" s="275"/>
      <c r="G12" s="279"/>
      <c r="H12" s="571"/>
      <c r="I12" s="51"/>
      <c r="J12" s="617">
        <f>IFERROR((VLOOKUP(J4,Data!$C$19:$DX$82,126,FALSE)/$J$5),"-")</f>
        <v>0</v>
      </c>
      <c r="K12" s="618" t="s">
        <v>199</v>
      </c>
      <c r="L12" s="619"/>
      <c r="M12" s="44"/>
      <c r="N12" s="44"/>
      <c r="O12" s="20"/>
      <c r="P12" s="20"/>
      <c r="Q12" s="20"/>
      <c r="R12" s="20"/>
      <c r="S12" s="20"/>
      <c r="T12" s="20"/>
      <c r="U12" s="20"/>
      <c r="V12" s="21"/>
    </row>
    <row r="13" spans="2:22" ht="15.75" thickBot="1" x14ac:dyDescent="0.3">
      <c r="B13" s="19"/>
      <c r="C13" s="284"/>
      <c r="D13" s="282"/>
      <c r="E13" s="275"/>
      <c r="F13" s="275"/>
      <c r="G13" s="279"/>
      <c r="H13" s="571"/>
      <c r="I13" s="51"/>
      <c r="J13" s="620">
        <f>IFERROR((VLOOKUP(J4,Data!$C$19:$DY$82,127,FALSE)/$J$5),"-")</f>
        <v>0.42857142857142855</v>
      </c>
      <c r="K13" s="612" t="s">
        <v>200</v>
      </c>
      <c r="L13" s="621"/>
      <c r="M13" s="44"/>
      <c r="N13" s="44"/>
      <c r="O13" s="20"/>
      <c r="P13" s="20"/>
      <c r="Q13" s="20"/>
      <c r="R13" s="20"/>
      <c r="S13" s="20"/>
      <c r="T13" s="20"/>
      <c r="U13" s="20"/>
      <c r="V13" s="21"/>
    </row>
    <row r="14" spans="2:22" x14ac:dyDescent="0.25">
      <c r="B14" s="19"/>
      <c r="C14" s="284"/>
      <c r="D14" s="282"/>
      <c r="E14" s="275"/>
      <c r="F14" s="275"/>
      <c r="G14" s="279"/>
      <c r="H14" s="571"/>
      <c r="I14" s="51"/>
      <c r="J14" s="121"/>
      <c r="K14" s="42"/>
      <c r="L14" s="44"/>
      <c r="M14" s="44"/>
      <c r="N14" s="44"/>
      <c r="O14" s="20"/>
      <c r="P14" s="20"/>
      <c r="Q14" s="20"/>
      <c r="R14" s="20"/>
      <c r="S14" s="20"/>
      <c r="T14" s="20"/>
      <c r="U14" s="20"/>
      <c r="V14" s="21"/>
    </row>
    <row r="15" spans="2:22" x14ac:dyDescent="0.25">
      <c r="B15" s="19"/>
      <c r="C15" s="275"/>
      <c r="D15" s="275"/>
      <c r="E15" s="275"/>
      <c r="F15" s="275"/>
      <c r="G15" s="276"/>
      <c r="I15" s="19"/>
      <c r="J15" s="121"/>
      <c r="K15" s="42"/>
      <c r="L15" s="44"/>
      <c r="M15" s="44"/>
      <c r="N15" s="44"/>
      <c r="O15" s="20"/>
      <c r="P15" s="20"/>
      <c r="Q15" s="20"/>
      <c r="R15" s="20"/>
      <c r="S15" s="20"/>
      <c r="T15" s="20"/>
      <c r="U15" s="20"/>
      <c r="V15" s="21"/>
    </row>
    <row r="16" spans="2:22" x14ac:dyDescent="0.25">
      <c r="B16" s="123"/>
      <c r="C16" s="126" t="s">
        <v>671</v>
      </c>
      <c r="D16" s="122"/>
      <c r="E16" s="20"/>
      <c r="F16" s="20"/>
      <c r="G16" s="21"/>
      <c r="I16" s="19"/>
      <c r="J16" s="20"/>
      <c r="K16" s="20"/>
      <c r="L16" s="20"/>
      <c r="M16" s="20"/>
      <c r="N16" s="20"/>
      <c r="O16" s="20"/>
      <c r="P16" s="116"/>
      <c r="Q16" s="117"/>
      <c r="R16" s="116"/>
      <c r="S16" s="117"/>
      <c r="T16" s="116"/>
      <c r="U16" s="117"/>
      <c r="V16" s="52"/>
    </row>
    <row r="17" spans="2:22" ht="6" customHeight="1" thickBot="1" x14ac:dyDescent="0.3">
      <c r="B17" s="22"/>
      <c r="C17" s="23"/>
      <c r="D17" s="23"/>
      <c r="E17" s="23"/>
      <c r="F17" s="23"/>
      <c r="G17" s="24"/>
      <c r="I17" s="22"/>
      <c r="J17" s="23"/>
      <c r="K17" s="23"/>
      <c r="L17" s="23"/>
      <c r="M17" s="23"/>
      <c r="N17" s="23"/>
      <c r="O17" s="23"/>
      <c r="P17" s="53"/>
      <c r="Q17" s="54"/>
      <c r="R17" s="53"/>
      <c r="S17" s="54"/>
      <c r="T17" s="53"/>
      <c r="U17" s="54"/>
      <c r="V17" s="55"/>
    </row>
    <row r="18" spans="2:22" ht="6" customHeight="1" x14ac:dyDescent="0.25">
      <c r="P18" s="570"/>
      <c r="Q18" s="581"/>
      <c r="R18" s="570"/>
      <c r="S18" s="581"/>
      <c r="T18" s="570"/>
      <c r="U18" s="581"/>
      <c r="V18" s="581"/>
    </row>
    <row r="19" spans="2:22" ht="15.75" hidden="1" thickBot="1" x14ac:dyDescent="0.3">
      <c r="B19" s="562"/>
      <c r="C19" s="563"/>
      <c r="D19" s="563"/>
      <c r="E19" s="563"/>
      <c r="F19" s="563"/>
      <c r="G19" s="564"/>
      <c r="I19" s="562"/>
      <c r="J19" s="563"/>
      <c r="K19" s="563"/>
      <c r="L19" s="563"/>
      <c r="M19" s="563"/>
      <c r="N19" s="563"/>
      <c r="O19" s="563"/>
      <c r="P19" s="568"/>
      <c r="Q19" s="582"/>
      <c r="R19" s="568"/>
      <c r="S19" s="582"/>
      <c r="T19" s="568"/>
      <c r="U19" s="582"/>
      <c r="V19" s="583"/>
    </row>
    <row r="20" spans="2:22" ht="15.75" hidden="1" thickBot="1" x14ac:dyDescent="0.3">
      <c r="B20" s="565"/>
      <c r="C20" s="584" t="str">
        <f>C5</f>
        <v>001090</v>
      </c>
      <c r="D20" s="585" t="s">
        <v>191</v>
      </c>
      <c r="E20" s="586"/>
      <c r="F20" s="587"/>
      <c r="G20" s="566"/>
      <c r="I20" s="565"/>
      <c r="J20" s="567" t="str">
        <f>Data!$K$4</f>
        <v>North</v>
      </c>
      <c r="K20" s="568" t="s">
        <v>22</v>
      </c>
      <c r="L20" s="563"/>
      <c r="M20" s="564"/>
      <c r="V20" s="566"/>
    </row>
    <row r="21" spans="2:22" hidden="1" x14ac:dyDescent="0.25">
      <c r="B21" s="565"/>
      <c r="C21" s="588" t="s">
        <v>46</v>
      </c>
      <c r="D21" s="574" t="s">
        <v>43</v>
      </c>
      <c r="E21" s="574" t="s">
        <v>44</v>
      </c>
      <c r="F21" s="574" t="s">
        <v>45</v>
      </c>
      <c r="G21" s="589"/>
      <c r="H21" s="574"/>
      <c r="I21" s="590"/>
      <c r="J21" s="590" t="str">
        <f>IFERROR(VLOOKUP(Data!$K$4,Data!#REF!,8,FALSE),"-")</f>
        <v>-</v>
      </c>
      <c r="K21" s="570" t="s">
        <v>64</v>
      </c>
      <c r="L21" s="570"/>
      <c r="M21" s="575"/>
      <c r="N21" s="570"/>
      <c r="V21" s="566"/>
    </row>
    <row r="22" spans="2:22" hidden="1" x14ac:dyDescent="0.25">
      <c r="B22" s="565"/>
      <c r="C22" s="570" t="s">
        <v>8</v>
      </c>
      <c r="D22" s="591" t="str">
        <f>IFERROR(VLOOKUP(Data!$K$3,Data!$BV$94:$CH$98,2,FALSE),"-")</f>
        <v>-</v>
      </c>
      <c r="E22" s="591" t="str">
        <f>IFERROR($D22*Data!$F$3,"-")</f>
        <v>-</v>
      </c>
      <c r="F22" s="591" t="str">
        <f>D22</f>
        <v>-</v>
      </c>
      <c r="G22" s="592"/>
      <c r="H22" s="593"/>
      <c r="I22" s="594"/>
      <c r="J22" s="573" t="str">
        <f>IFERROR(VLOOKUP(Data!$K$4,Data!#REF!,6,FALSE),"-")</f>
        <v>-</v>
      </c>
      <c r="K22" s="570" t="s">
        <v>65</v>
      </c>
      <c r="M22" s="566"/>
      <c r="V22" s="566"/>
    </row>
    <row r="23" spans="2:22" ht="15.75" hidden="1" thickBot="1" x14ac:dyDescent="0.3">
      <c r="B23" s="565"/>
      <c r="C23" s="570" t="s">
        <v>9</v>
      </c>
      <c r="D23" s="591" t="str">
        <f>IFERROR(VLOOKUP(Data!$K$3,Data!$BV$94:$CH$98,3,FALSE),"-")</f>
        <v>-</v>
      </c>
      <c r="E23" s="591" t="str">
        <f>IFERROR($D23*Data!$F$4,"-")</f>
        <v>-</v>
      </c>
      <c r="F23" s="591" t="e">
        <f>IF(D23-D22 &lt; 0,0,D23-D22)</f>
        <v>#VALUE!</v>
      </c>
      <c r="G23" s="595"/>
      <c r="H23" s="593"/>
      <c r="I23" s="594"/>
      <c r="J23" s="576" t="str">
        <f>IFERROR(VLOOKUP(Data!$K$4,Data!#REF!,5,FALSE),"-")</f>
        <v>-</v>
      </c>
      <c r="K23" s="596" t="s">
        <v>41</v>
      </c>
      <c r="L23" s="596"/>
      <c r="M23" s="569"/>
      <c r="N23" s="570"/>
      <c r="V23" s="566"/>
    </row>
    <row r="24" spans="2:22" ht="15.75" hidden="1" thickBot="1" x14ac:dyDescent="0.3">
      <c r="B24" s="565"/>
      <c r="C24" s="570" t="s">
        <v>10</v>
      </c>
      <c r="D24" s="591" t="str">
        <f>IFERROR(VLOOKUP(Data!$K$3,Data!$BV$94:$CH$98,4,FALSE),"-")</f>
        <v>-</v>
      </c>
      <c r="E24" s="591" t="str">
        <f>IFERROR($D24*Data!$F$5,"-")</f>
        <v>-</v>
      </c>
      <c r="F24" s="591" t="e">
        <f>IF(D24-D23 &lt; 0,0,D24-D23)</f>
        <v>#VALUE!</v>
      </c>
      <c r="G24" s="592"/>
      <c r="H24" s="593"/>
      <c r="I24" s="594"/>
      <c r="V24" s="566"/>
    </row>
    <row r="25" spans="2:22" hidden="1" x14ac:dyDescent="0.25">
      <c r="B25" s="565"/>
      <c r="C25" s="570" t="s">
        <v>11</v>
      </c>
      <c r="D25" s="591" t="str">
        <f>IFERROR(VLOOKUP(Data!$K$3,Data!$BV$94:$CH$98,5,FALSE),"-")</f>
        <v>-</v>
      </c>
      <c r="E25" s="591" t="str">
        <f>IFERROR($D25*Data!$F$6,"-")</f>
        <v>-</v>
      </c>
      <c r="F25" s="591" t="e">
        <f>IF(D25-D24 &lt; 0,0,D25-D24)</f>
        <v>#VALUE!</v>
      </c>
      <c r="G25" s="592"/>
      <c r="H25" s="593"/>
      <c r="I25" s="594"/>
      <c r="J25" s="572" t="str">
        <f>IFERROR((VLOOKUP(Data!$K$4,Data!#REF!,26,FALSE)/$J$21),"-")</f>
        <v>-</v>
      </c>
      <c r="K25" s="597" t="s">
        <v>23</v>
      </c>
      <c r="L25" s="563"/>
      <c r="M25" s="564"/>
      <c r="V25" s="566"/>
    </row>
    <row r="26" spans="2:22" hidden="1" x14ac:dyDescent="0.25">
      <c r="B26" s="565"/>
      <c r="C26" s="570" t="s">
        <v>12</v>
      </c>
      <c r="D26" s="591" t="str">
        <f>IFERROR(VLOOKUP(Data!$K$3,Data!$BV$94:$CH$98,6,FALSE),"-")</f>
        <v>-</v>
      </c>
      <c r="E26" s="591" t="str">
        <f>IFERROR($D26*Data!$F$7,"-")</f>
        <v>-</v>
      </c>
      <c r="F26" s="591" t="e">
        <f t="shared" ref="F26:F33" si="0">IF(D26-D25 &lt; 0,0,D26-D25)</f>
        <v>#VALUE!</v>
      </c>
      <c r="G26" s="592"/>
      <c r="H26" s="593"/>
      <c r="I26" s="594"/>
      <c r="J26" s="573" t="str">
        <f>IFERROR((VLOOKUP(Data!$K$4,Data!#REF!,27,FALSE)/$J$21),"-")</f>
        <v>-</v>
      </c>
      <c r="K26" s="577" t="s">
        <v>24</v>
      </c>
      <c r="M26" s="566"/>
      <c r="V26" s="566"/>
    </row>
    <row r="27" spans="2:22" hidden="1" x14ac:dyDescent="0.25">
      <c r="B27" s="565"/>
      <c r="C27" s="570" t="s">
        <v>13</v>
      </c>
      <c r="D27" s="591" t="str">
        <f>IFERROR(VLOOKUP(Data!$K$3,Data!$BV$94:$CH$98,7,FALSE),"-")</f>
        <v>-</v>
      </c>
      <c r="E27" s="591" t="str">
        <f>IFERROR($D27*Data!$F$8,"-")</f>
        <v>-</v>
      </c>
      <c r="F27" s="591" t="e">
        <f t="shared" si="0"/>
        <v>#VALUE!</v>
      </c>
      <c r="G27" s="592"/>
      <c r="H27" s="593"/>
      <c r="I27" s="594"/>
      <c r="J27" s="573" t="str">
        <f>IFERROR((VLOOKUP(Data!$K$4,Data!#REF!,28,FALSE)/$J$21),"-")</f>
        <v>-</v>
      </c>
      <c r="K27" s="577" t="s">
        <v>25</v>
      </c>
      <c r="M27" s="566"/>
      <c r="V27" s="566"/>
    </row>
    <row r="28" spans="2:22" hidden="1" x14ac:dyDescent="0.25">
      <c r="B28" s="565"/>
      <c r="C28" s="570" t="s">
        <v>14</v>
      </c>
      <c r="D28" s="591" t="str">
        <f>IFERROR(VLOOKUP(Data!$K$3,Data!$BV$94:$CH$98,8,FALSE),"-")</f>
        <v>-</v>
      </c>
      <c r="E28" s="591" t="str">
        <f>IFERROR($D28*Data!$F$9,"-")</f>
        <v>-</v>
      </c>
      <c r="F28" s="591" t="e">
        <f t="shared" si="0"/>
        <v>#VALUE!</v>
      </c>
      <c r="G28" s="592"/>
      <c r="H28" s="593"/>
      <c r="I28" s="594"/>
      <c r="J28" s="573" t="str">
        <f>IFERROR((VLOOKUP(Data!$K$4,Data!#REF!,29,FALSE)/$J$21),"-")</f>
        <v>-</v>
      </c>
      <c r="K28" s="577" t="s">
        <v>26</v>
      </c>
      <c r="M28" s="566"/>
      <c r="V28" s="566"/>
    </row>
    <row r="29" spans="2:22" hidden="1" x14ac:dyDescent="0.25">
      <c r="B29" s="565"/>
      <c r="C29" s="570" t="s">
        <v>15</v>
      </c>
      <c r="D29" s="591" t="str">
        <f>IFERROR(VLOOKUP(Data!$K$3,Data!$BV$94:$CH$98,9,FALSE),"-")</f>
        <v>-</v>
      </c>
      <c r="E29" s="591" t="str">
        <f>IFERROR($D29*Data!$F$10,"-")</f>
        <v>-</v>
      </c>
      <c r="F29" s="591" t="e">
        <f t="shared" si="0"/>
        <v>#VALUE!</v>
      </c>
      <c r="G29" s="592"/>
      <c r="H29" s="581"/>
      <c r="I29" s="598"/>
      <c r="J29" s="573" t="str">
        <f>IFERROR((VLOOKUP(Data!$K$4,Data!#REF!,30,FALSE)/$J$21),"-")</f>
        <v>-</v>
      </c>
      <c r="K29" s="577" t="s">
        <v>27</v>
      </c>
      <c r="M29" s="566"/>
      <c r="V29" s="566"/>
    </row>
    <row r="30" spans="2:22" hidden="1" x14ac:dyDescent="0.25">
      <c r="B30" s="565"/>
      <c r="C30" s="570" t="s">
        <v>16</v>
      </c>
      <c r="D30" s="599" t="str">
        <f>IFERROR(VLOOKUP(Data!$K$3,Data!$BV$94:$CH$98,10,FALSE),"-")</f>
        <v>-</v>
      </c>
      <c r="E30" s="599" t="str">
        <f>IFERROR($D30*Data!$F$11,"-")</f>
        <v>-</v>
      </c>
      <c r="F30" s="599" t="e">
        <f t="shared" si="0"/>
        <v>#VALUE!</v>
      </c>
      <c r="G30" s="592"/>
      <c r="H30" s="591"/>
      <c r="I30" s="600"/>
      <c r="J30" s="573" t="str">
        <f>IFERROR((VLOOKUP(Data!$K$4,Data!#REF!,31,FALSE)/$J$21),"-")</f>
        <v>-</v>
      </c>
      <c r="K30" s="577" t="s">
        <v>28</v>
      </c>
      <c r="M30" s="566"/>
      <c r="V30" s="566"/>
    </row>
    <row r="31" spans="2:22" hidden="1" x14ac:dyDescent="0.25">
      <c r="B31" s="565"/>
      <c r="C31" s="570" t="s">
        <v>17</v>
      </c>
      <c r="D31" s="591" t="str">
        <f>IFERROR(VLOOKUP(Data!$K$3,Data!$BV$94:$CH$98,11,FALSE),"-")</f>
        <v>-</v>
      </c>
      <c r="E31" s="591" t="str">
        <f>IFERROR($D31*Data!$F$12,"-")</f>
        <v>-</v>
      </c>
      <c r="F31" s="591" t="e">
        <f t="shared" si="0"/>
        <v>#VALUE!</v>
      </c>
      <c r="G31" s="592"/>
      <c r="H31" s="591"/>
      <c r="I31" s="600"/>
      <c r="J31" s="573" t="str">
        <f>IFERROR((VLOOKUP(Data!$K$4,Data!#REF!,32,FALSE)/$J$21),"-")</f>
        <v>-</v>
      </c>
      <c r="K31" s="577" t="s">
        <v>185</v>
      </c>
      <c r="M31" s="566"/>
      <c r="V31" s="566"/>
    </row>
    <row r="32" spans="2:22" hidden="1" x14ac:dyDescent="0.25">
      <c r="B32" s="565"/>
      <c r="C32" s="570" t="s">
        <v>18</v>
      </c>
      <c r="D32" s="591" t="str">
        <f>IFERROR(VLOOKUP(Data!$K$3,Data!$BV$94:$CH$98,12,FALSE),"-")</f>
        <v>-</v>
      </c>
      <c r="E32" s="591" t="str">
        <f>IFERROR($D32*Data!$F$13,"-")</f>
        <v>-</v>
      </c>
      <c r="F32" s="591" t="e">
        <f t="shared" si="0"/>
        <v>#VALUE!</v>
      </c>
      <c r="G32" s="595"/>
      <c r="H32" s="599"/>
      <c r="I32" s="600"/>
      <c r="J32" s="573" t="str">
        <f>IFERROR((VLOOKUP(Data!$K$4,Data!#REF!,33,FALSE)/$J$21),"-")</f>
        <v>-</v>
      </c>
      <c r="K32" s="577" t="s">
        <v>29</v>
      </c>
      <c r="M32" s="566"/>
      <c r="V32" s="566"/>
    </row>
    <row r="33" spans="2:22" ht="15.75" hidden="1" thickBot="1" x14ac:dyDescent="0.3">
      <c r="B33" s="565"/>
      <c r="C33" s="570" t="s">
        <v>19</v>
      </c>
      <c r="D33" s="591" t="str">
        <f>IFERROR(VLOOKUP(Data!$K$3,Data!$BV$94:$CH$98,13,FALSE),"-")</f>
        <v>-</v>
      </c>
      <c r="E33" s="591" t="str">
        <f>IFERROR($D33*Data!$F$14,"-")</f>
        <v>-</v>
      </c>
      <c r="F33" s="591" t="e">
        <f t="shared" si="0"/>
        <v>#VALUE!</v>
      </c>
      <c r="G33" s="601"/>
      <c r="H33" s="591"/>
      <c r="I33" s="600"/>
      <c r="J33" s="576" t="str">
        <f>IFERROR((VLOOKUP(Data!$K$4,Data!#REF!,34,FALSE)/$J$21),"-")</f>
        <v>-</v>
      </c>
      <c r="K33" s="602" t="s">
        <v>67</v>
      </c>
      <c r="L33" s="579"/>
      <c r="M33" s="580"/>
      <c r="V33" s="566"/>
    </row>
    <row r="34" spans="2:22" ht="15.75" hidden="1" thickBot="1" x14ac:dyDescent="0.3">
      <c r="B34" s="565"/>
      <c r="C34" s="570" t="s">
        <v>73</v>
      </c>
      <c r="G34" s="566"/>
      <c r="I34" s="565"/>
      <c r="P34" s="603" t="s">
        <v>51</v>
      </c>
      <c r="Q34" s="604" t="str">
        <f>IFERROR((VLOOKUP(Data!$K$4,Data!#REF!,44,FALSE)/$J$21),"-")</f>
        <v>-</v>
      </c>
      <c r="R34" s="605" t="s">
        <v>50</v>
      </c>
      <c r="S34" s="604" t="str">
        <f>IFERROR((VLOOKUP(Data!$K$4,Data!#REF!,45,FALSE)/$J$21),"-")</f>
        <v>-</v>
      </c>
      <c r="T34" s="605" t="s">
        <v>52</v>
      </c>
      <c r="U34" s="606" t="str">
        <f>IFERROR((VLOOKUP(Data!$K$4,Data!#REF!,46,FALSE)/$J$21),"-")</f>
        <v>-</v>
      </c>
      <c r="V34" s="607"/>
    </row>
    <row r="35" spans="2:22" ht="3.6" hidden="1" customHeight="1" thickBot="1" x14ac:dyDescent="0.3">
      <c r="B35" s="578"/>
      <c r="C35" s="579"/>
      <c r="D35" s="579"/>
      <c r="E35" s="579"/>
      <c r="F35" s="579"/>
      <c r="G35" s="580"/>
      <c r="I35" s="578"/>
      <c r="J35" s="579"/>
      <c r="K35" s="579"/>
      <c r="L35" s="579"/>
      <c r="M35" s="579"/>
      <c r="N35" s="579"/>
      <c r="O35" s="579"/>
      <c r="P35" s="579"/>
      <c r="Q35" s="579"/>
      <c r="R35" s="579"/>
      <c r="S35" s="579"/>
      <c r="T35" s="579"/>
      <c r="U35" s="579"/>
      <c r="V35" s="580"/>
    </row>
  </sheetData>
  <mergeCells count="4">
    <mergeCell ref="C3:E3"/>
    <mergeCell ref="D7:E7"/>
    <mergeCell ref="D8:E8"/>
    <mergeCell ref="D9:E9"/>
  </mergeCells>
  <pageMargins left="0.7" right="0.7" top="0.75" bottom="0.75" header="0.3" footer="0.3"/>
  <pageSetup orientation="portrait" horizontalDpi="200" verticalDpi="200" r:id="rId1"/>
  <ignoredErrors>
    <ignoredError sqref="F7:F9" evalError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3F8DC5-7C54-487A-98BF-BAB7C46E5608}">
          <x14:formula1>
            <xm:f>'Location Detail'!$O$2:$O$58</xm:f>
          </x14:formula1>
          <xm:sqref>C3:E3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5" tint="0.59999389629810485"/>
  </sheetPr>
  <dimension ref="A1:AL72"/>
  <sheetViews>
    <sheetView zoomScaleNormal="120" workbookViewId="0">
      <pane ySplit="5" topLeftCell="A6" activePane="bottomLeft" state="frozen"/>
      <selection activeCell="C3" sqref="C3:F3"/>
      <selection pane="bottomLeft" activeCell="A6" sqref="A6"/>
    </sheetView>
  </sheetViews>
  <sheetFormatPr defaultColWidth="7.85546875" defaultRowHeight="12.75" x14ac:dyDescent="0.2"/>
  <cols>
    <col min="1" max="1" width="9.42578125" style="509" customWidth="1"/>
    <col min="2" max="2" width="8.140625" style="509" customWidth="1"/>
    <col min="3" max="3" width="26.85546875" style="509" customWidth="1"/>
    <col min="4" max="4" width="0.85546875" style="177" customWidth="1"/>
    <col min="5" max="7" width="8.28515625" style="523" customWidth="1"/>
    <col min="8" max="8" width="7.7109375" style="523" customWidth="1"/>
    <col min="9" max="10" width="8.7109375" style="523" customWidth="1"/>
    <col min="11" max="11" width="7.140625" style="523" bestFit="1" customWidth="1"/>
    <col min="12" max="13" width="7.7109375" style="523" customWidth="1"/>
    <col min="14" max="14" width="1.140625" style="177" customWidth="1"/>
    <col min="15" max="15" width="6.85546875" style="523" customWidth="1"/>
    <col min="16" max="17" width="7.85546875" style="523"/>
    <col min="18" max="23" width="6.85546875" style="523" customWidth="1"/>
    <col min="24" max="24" width="0.85546875" style="177" customWidth="1"/>
    <col min="25" max="25" width="7.140625" style="523" bestFit="1" customWidth="1"/>
    <col min="26" max="27" width="8.140625" style="523" bestFit="1" customWidth="1"/>
    <col min="28" max="31" width="7" style="523" customWidth="1"/>
    <col min="32" max="33" width="7.140625" style="523" bestFit="1" customWidth="1"/>
    <col min="34" max="34" width="0.85546875" style="177" customWidth="1"/>
    <col min="35" max="35" width="7.85546875" style="509"/>
    <col min="36" max="36" width="24.7109375" style="509" customWidth="1"/>
    <col min="37" max="37" width="31" style="509" customWidth="1"/>
    <col min="38" max="38" width="21.140625" style="509" customWidth="1"/>
    <col min="39" max="16384" width="7.85546875" style="509"/>
  </cols>
  <sheetData>
    <row r="1" spans="1:34" ht="45" customHeight="1" x14ac:dyDescent="0.2">
      <c r="A1" s="661" t="s">
        <v>672</v>
      </c>
      <c r="B1" s="662"/>
      <c r="C1" s="662"/>
      <c r="D1" s="662"/>
      <c r="E1" s="662"/>
      <c r="F1" s="662"/>
      <c r="G1" s="662"/>
      <c r="H1" s="662"/>
      <c r="I1" s="662"/>
      <c r="J1" s="662"/>
      <c r="K1" s="662"/>
      <c r="L1" s="662"/>
      <c r="M1" s="662"/>
      <c r="N1" s="662"/>
      <c r="O1" s="662"/>
      <c r="P1" s="662"/>
      <c r="Q1" s="662"/>
      <c r="R1" s="662"/>
      <c r="S1" s="662"/>
      <c r="T1" s="662"/>
      <c r="U1" s="662"/>
      <c r="V1" s="662"/>
      <c r="W1" s="662"/>
      <c r="X1" s="662"/>
      <c r="Y1" s="662"/>
      <c r="Z1" s="662"/>
      <c r="AA1" s="662"/>
      <c r="AB1" s="662"/>
      <c r="AC1" s="662"/>
      <c r="AD1" s="662"/>
      <c r="AE1" s="662"/>
      <c r="AF1" s="662"/>
      <c r="AG1" s="663"/>
      <c r="AH1" s="484"/>
    </row>
    <row r="2" spans="1:34" ht="13.5" customHeight="1" x14ac:dyDescent="0.2">
      <c r="A2" s="151"/>
      <c r="B2" s="485"/>
      <c r="C2" s="485"/>
      <c r="D2" s="485"/>
      <c r="E2" s="485"/>
      <c r="F2" s="485"/>
      <c r="G2" s="485"/>
      <c r="H2" s="485"/>
      <c r="I2" s="485"/>
      <c r="J2" s="485"/>
      <c r="K2" s="485"/>
      <c r="L2" s="485"/>
      <c r="M2" s="485"/>
      <c r="N2" s="485"/>
      <c r="O2" s="485"/>
      <c r="P2" s="485"/>
      <c r="Q2" s="485"/>
      <c r="R2" s="485"/>
      <c r="S2" s="485"/>
      <c r="T2" s="485"/>
      <c r="U2" s="485"/>
      <c r="V2" s="485"/>
      <c r="W2" s="485"/>
      <c r="X2" s="485"/>
      <c r="Y2" s="485"/>
      <c r="Z2" s="485"/>
      <c r="AA2" s="485"/>
      <c r="AB2" s="485"/>
      <c r="AC2" s="485"/>
      <c r="AD2" s="485"/>
      <c r="AE2" s="485"/>
      <c r="AF2" s="485"/>
      <c r="AG2" s="152"/>
      <c r="AH2" s="484"/>
    </row>
    <row r="3" spans="1:34" ht="12.75" customHeight="1" x14ac:dyDescent="0.2">
      <c r="A3" s="153" t="s">
        <v>1</v>
      </c>
      <c r="B3" s="486" t="s">
        <v>2</v>
      </c>
      <c r="C3" s="487" t="s">
        <v>125</v>
      </c>
      <c r="D3" s="484"/>
      <c r="E3" s="664" t="s">
        <v>12</v>
      </c>
      <c r="F3" s="664"/>
      <c r="G3" s="664"/>
      <c r="H3" s="664"/>
      <c r="I3" s="664"/>
      <c r="J3" s="664"/>
      <c r="K3" s="664"/>
      <c r="L3" s="664"/>
      <c r="M3" s="664"/>
      <c r="N3" s="484"/>
      <c r="O3" s="664" t="s">
        <v>566</v>
      </c>
      <c r="P3" s="664"/>
      <c r="Q3" s="664"/>
      <c r="R3" s="664"/>
      <c r="S3" s="664"/>
      <c r="T3" s="664"/>
      <c r="U3" s="664"/>
      <c r="V3" s="664"/>
      <c r="W3" s="664"/>
      <c r="X3" s="484"/>
      <c r="Y3" s="665" t="s">
        <v>126</v>
      </c>
      <c r="Z3" s="665"/>
      <c r="AA3" s="665"/>
      <c r="AB3" s="665"/>
      <c r="AC3" s="665"/>
      <c r="AD3" s="665"/>
      <c r="AE3" s="665"/>
      <c r="AF3" s="665"/>
      <c r="AG3" s="666"/>
      <c r="AH3" s="484"/>
    </row>
    <row r="4" spans="1:34" ht="12.75" customHeight="1" x14ac:dyDescent="0.2">
      <c r="A4" s="153"/>
      <c r="B4" s="486"/>
      <c r="C4" s="487"/>
      <c r="D4" s="484"/>
      <c r="E4" s="658" t="s">
        <v>3</v>
      </c>
      <c r="F4" s="658"/>
      <c r="G4" s="658"/>
      <c r="H4" s="659" t="s">
        <v>5</v>
      </c>
      <c r="I4" s="659"/>
      <c r="J4" s="659"/>
      <c r="K4" s="660" t="s">
        <v>78</v>
      </c>
      <c r="L4" s="660"/>
      <c r="M4" s="660"/>
      <c r="N4" s="484"/>
      <c r="O4" s="658" t="s">
        <v>3</v>
      </c>
      <c r="P4" s="658"/>
      <c r="Q4" s="658"/>
      <c r="R4" s="659" t="s">
        <v>5</v>
      </c>
      <c r="S4" s="659"/>
      <c r="T4" s="659"/>
      <c r="U4" s="660" t="s">
        <v>78</v>
      </c>
      <c r="V4" s="660"/>
      <c r="W4" s="660"/>
      <c r="X4" s="484"/>
      <c r="Y4" s="658" t="s">
        <v>3</v>
      </c>
      <c r="Z4" s="658"/>
      <c r="AA4" s="658"/>
      <c r="AB4" s="659" t="s">
        <v>5</v>
      </c>
      <c r="AC4" s="659"/>
      <c r="AD4" s="659"/>
      <c r="AE4" s="660" t="s">
        <v>78</v>
      </c>
      <c r="AF4" s="660"/>
      <c r="AG4" s="660"/>
      <c r="AH4" s="484"/>
    </row>
    <row r="5" spans="1:34" s="511" customFormat="1" ht="13.5" thickBot="1" x14ac:dyDescent="0.25">
      <c r="A5" s="154"/>
      <c r="B5" s="155"/>
      <c r="C5" s="156"/>
      <c r="D5" s="484"/>
      <c r="E5" s="488" t="s">
        <v>80</v>
      </c>
      <c r="F5" s="489" t="s">
        <v>127</v>
      </c>
      <c r="G5" s="490" t="s">
        <v>81</v>
      </c>
      <c r="H5" s="491" t="s">
        <v>80</v>
      </c>
      <c r="I5" s="491" t="s">
        <v>127</v>
      </c>
      <c r="J5" s="491" t="s">
        <v>81</v>
      </c>
      <c r="K5" s="491" t="s">
        <v>80</v>
      </c>
      <c r="L5" s="491" t="s">
        <v>127</v>
      </c>
      <c r="M5" s="492" t="s">
        <v>81</v>
      </c>
      <c r="N5" s="484"/>
      <c r="O5" s="157" t="s">
        <v>80</v>
      </c>
      <c r="P5" s="158" t="s">
        <v>127</v>
      </c>
      <c r="Q5" s="159" t="s">
        <v>81</v>
      </c>
      <c r="R5" s="510" t="s">
        <v>80</v>
      </c>
      <c r="S5" s="510" t="s">
        <v>127</v>
      </c>
      <c r="T5" s="510" t="s">
        <v>81</v>
      </c>
      <c r="U5" s="160" t="s">
        <v>80</v>
      </c>
      <c r="V5" s="160" t="s">
        <v>127</v>
      </c>
      <c r="W5" s="161" t="s">
        <v>81</v>
      </c>
      <c r="X5" s="484"/>
      <c r="Y5" s="157" t="s">
        <v>80</v>
      </c>
      <c r="Z5" s="158" t="s">
        <v>127</v>
      </c>
      <c r="AA5" s="159" t="s">
        <v>81</v>
      </c>
      <c r="AB5" s="160" t="s">
        <v>80</v>
      </c>
      <c r="AC5" s="160" t="s">
        <v>127</v>
      </c>
      <c r="AD5" s="160" t="s">
        <v>81</v>
      </c>
      <c r="AE5" s="160" t="s">
        <v>80</v>
      </c>
      <c r="AF5" s="160" t="s">
        <v>127</v>
      </c>
      <c r="AG5" s="161" t="s">
        <v>81</v>
      </c>
      <c r="AH5" s="484"/>
    </row>
    <row r="6" spans="1:34" s="513" customFormat="1" x14ac:dyDescent="0.2">
      <c r="A6" s="493" t="s">
        <v>218</v>
      </c>
      <c r="B6" s="494" t="s">
        <v>249</v>
      </c>
      <c r="C6" s="513" t="s">
        <v>508</v>
      </c>
      <c r="D6" s="495"/>
      <c r="E6" s="301">
        <v>0.04</v>
      </c>
      <c r="F6" s="512">
        <v>0.12</v>
      </c>
      <c r="G6" s="512">
        <v>0.29795918367346935</v>
      </c>
      <c r="H6" s="301">
        <v>0</v>
      </c>
      <c r="I6" s="301">
        <v>0.12820512820512822</v>
      </c>
      <c r="J6" s="301">
        <v>0.31833246118960407</v>
      </c>
      <c r="K6" s="162">
        <v>3.0487804878048783E-2</v>
      </c>
      <c r="L6" s="162">
        <v>0.12195121951219513</v>
      </c>
      <c r="M6" s="162">
        <v>0.30280404844864778</v>
      </c>
      <c r="N6" s="496"/>
      <c r="O6" s="163">
        <v>1.834862385321101E-2</v>
      </c>
      <c r="P6" s="164">
        <v>0.56880733944954132</v>
      </c>
      <c r="Q6" s="289">
        <v>0.56880733944954132</v>
      </c>
      <c r="R6" s="290">
        <v>6.091370558375634E-2</v>
      </c>
      <c r="S6" s="291">
        <v>0.3045685279187817</v>
      </c>
      <c r="T6" s="292">
        <v>0.3045685279187817</v>
      </c>
      <c r="U6" s="293">
        <v>2.8202115158636895E-2</v>
      </c>
      <c r="V6" s="164">
        <v>0.50763807285546414</v>
      </c>
      <c r="W6" s="165">
        <v>0.50763807285546414</v>
      </c>
      <c r="X6" s="495"/>
      <c r="Y6" s="163">
        <v>2.1651376146788991E-2</v>
      </c>
      <c r="Z6" s="163">
        <v>-0.44880733944954132</v>
      </c>
      <c r="AA6" s="163">
        <v>-0.27084815577607196</v>
      </c>
      <c r="AB6" s="163">
        <v>-6.091370558375634E-2</v>
      </c>
      <c r="AC6" s="163">
        <v>-0.17636339971365347</v>
      </c>
      <c r="AD6" s="163">
        <v>1.3763933270822371E-2</v>
      </c>
      <c r="AE6" s="163">
        <v>2.2856897194118882E-3</v>
      </c>
      <c r="AF6" s="163">
        <v>-0.38568685334326902</v>
      </c>
      <c r="AG6" s="163">
        <v>-0.20483402440681636</v>
      </c>
      <c r="AH6" s="495"/>
    </row>
    <row r="7" spans="1:34" s="513" customFormat="1" x14ac:dyDescent="0.2">
      <c r="A7" s="497" t="s">
        <v>218</v>
      </c>
      <c r="B7" s="498" t="s">
        <v>238</v>
      </c>
      <c r="C7" s="513" t="s">
        <v>509</v>
      </c>
      <c r="D7" s="495"/>
      <c r="E7" s="162">
        <v>2.0618556701030927E-2</v>
      </c>
      <c r="F7" s="512">
        <v>6.1855670103092786E-2</v>
      </c>
      <c r="G7" s="512">
        <v>0.15358720807910792</v>
      </c>
      <c r="H7" s="301">
        <v>0</v>
      </c>
      <c r="I7" s="301">
        <v>0</v>
      </c>
      <c r="J7" s="301">
        <v>0</v>
      </c>
      <c r="K7" s="162">
        <v>2.0576131687242798E-2</v>
      </c>
      <c r="L7" s="162">
        <v>0.15327118501721676</v>
      </c>
      <c r="M7" s="162">
        <v>6.1728395061728392E-2</v>
      </c>
      <c r="N7" s="496"/>
      <c r="O7" s="163">
        <v>2.1333333333333333E-2</v>
      </c>
      <c r="P7" s="164">
        <v>0.224</v>
      </c>
      <c r="Q7" s="289">
        <v>0.224</v>
      </c>
      <c r="R7" s="163">
        <v>0</v>
      </c>
      <c r="S7" s="164">
        <v>0</v>
      </c>
      <c r="T7" s="165">
        <v>0</v>
      </c>
      <c r="U7" s="293">
        <v>2.1314387211367674E-2</v>
      </c>
      <c r="V7" s="164">
        <v>0.22380106571936059</v>
      </c>
      <c r="W7" s="165">
        <v>0.22380106571936059</v>
      </c>
      <c r="X7" s="495"/>
      <c r="Y7" s="163">
        <v>-7.1477663230240518E-4</v>
      </c>
      <c r="Z7" s="163">
        <v>-0.16214432989690722</v>
      </c>
      <c r="AA7" s="163">
        <v>-7.0412791920892087E-2</v>
      </c>
      <c r="AB7" s="163">
        <v>0</v>
      </c>
      <c r="AC7" s="163">
        <v>0</v>
      </c>
      <c r="AD7" s="163">
        <v>0</v>
      </c>
      <c r="AE7" s="163">
        <v>-7.3825552412487561E-4</v>
      </c>
      <c r="AF7" s="163">
        <v>-7.0529880702143832E-2</v>
      </c>
      <c r="AG7" s="163">
        <v>-0.1620726706576322</v>
      </c>
      <c r="AH7" s="495"/>
    </row>
    <row r="8" spans="1:34" s="513" customFormat="1" x14ac:dyDescent="0.2">
      <c r="A8" s="497" t="s">
        <v>218</v>
      </c>
      <c r="B8" s="499" t="s">
        <v>243</v>
      </c>
      <c r="C8" s="513" t="s">
        <v>515</v>
      </c>
      <c r="D8" s="495"/>
      <c r="E8" s="162" t="s">
        <v>130</v>
      </c>
      <c r="F8" s="512" t="s">
        <v>130</v>
      </c>
      <c r="G8" s="512" t="s">
        <v>130</v>
      </c>
      <c r="H8" s="301">
        <v>0.08</v>
      </c>
      <c r="I8" s="301">
        <v>0.4</v>
      </c>
      <c r="J8" s="301">
        <v>0.99319727891156462</v>
      </c>
      <c r="K8" s="162">
        <v>0.08</v>
      </c>
      <c r="L8" s="162">
        <v>0.99319727891156462</v>
      </c>
      <c r="M8" s="162">
        <v>0.4</v>
      </c>
      <c r="N8" s="496"/>
      <c r="O8" s="163" t="s">
        <v>130</v>
      </c>
      <c r="P8" s="164" t="s">
        <v>130</v>
      </c>
      <c r="Q8" s="289" t="s">
        <v>130</v>
      </c>
      <c r="R8" s="163">
        <v>1.8987341772151899E-2</v>
      </c>
      <c r="S8" s="164">
        <v>0.62658227848101267</v>
      </c>
      <c r="T8" s="165">
        <v>0.62658227848101267</v>
      </c>
      <c r="U8" s="293">
        <v>1.8987341772151899E-2</v>
      </c>
      <c r="V8" s="164">
        <v>0.62658227848101267</v>
      </c>
      <c r="W8" s="165">
        <v>0.62658227848101267</v>
      </c>
      <c r="X8" s="495"/>
      <c r="Y8" s="163" t="s">
        <v>130</v>
      </c>
      <c r="Z8" s="163" t="s">
        <v>130</v>
      </c>
      <c r="AA8" s="163" t="s">
        <v>130</v>
      </c>
      <c r="AB8" s="163">
        <v>6.1012658227848099E-2</v>
      </c>
      <c r="AC8" s="163">
        <v>-0.22658227848101264</v>
      </c>
      <c r="AD8" s="163">
        <v>0.36661500043055195</v>
      </c>
      <c r="AE8" s="163">
        <v>6.1012658227848099E-2</v>
      </c>
      <c r="AF8" s="163">
        <v>0.36661500043055195</v>
      </c>
      <c r="AG8" s="163">
        <v>-0.22658227848101264</v>
      </c>
      <c r="AH8" s="495"/>
    </row>
    <row r="9" spans="1:34" s="513" customFormat="1" x14ac:dyDescent="0.2">
      <c r="A9" s="497" t="s">
        <v>218</v>
      </c>
      <c r="B9" s="499" t="s">
        <v>247</v>
      </c>
      <c r="C9" s="513" t="s">
        <v>518</v>
      </c>
      <c r="D9" s="495"/>
      <c r="E9" s="162" t="s">
        <v>130</v>
      </c>
      <c r="F9" s="512" t="s">
        <v>130</v>
      </c>
      <c r="G9" s="512" t="s">
        <v>130</v>
      </c>
      <c r="H9" s="301">
        <v>0.10526315789473684</v>
      </c>
      <c r="I9" s="301">
        <v>0.47368421052631576</v>
      </c>
      <c r="J9" s="301">
        <v>1.1761546723952738</v>
      </c>
      <c r="K9" s="162">
        <v>0.10526315789473684</v>
      </c>
      <c r="L9" s="162">
        <v>1.1761546723952738</v>
      </c>
      <c r="M9" s="162">
        <v>0.47368421052631576</v>
      </c>
      <c r="N9" s="496"/>
      <c r="O9" s="163" t="s">
        <v>130</v>
      </c>
      <c r="P9" s="164" t="s">
        <v>130</v>
      </c>
      <c r="Q9" s="289" t="s">
        <v>130</v>
      </c>
      <c r="R9" s="163">
        <v>5.084745762711864E-2</v>
      </c>
      <c r="S9" s="164">
        <v>0.40677966101694912</v>
      </c>
      <c r="T9" s="165">
        <v>0.40677966101694912</v>
      </c>
      <c r="U9" s="293">
        <v>5.084745762711864E-2</v>
      </c>
      <c r="V9" s="164">
        <v>0.40677966101694912</v>
      </c>
      <c r="W9" s="165">
        <v>0.40677966101694912</v>
      </c>
      <c r="X9" s="495"/>
      <c r="Y9" s="163" t="s">
        <v>130</v>
      </c>
      <c r="Z9" s="163" t="s">
        <v>130</v>
      </c>
      <c r="AA9" s="163" t="s">
        <v>130</v>
      </c>
      <c r="AB9" s="163">
        <v>5.4415700267618196E-2</v>
      </c>
      <c r="AC9" s="163">
        <v>6.690454950936664E-2</v>
      </c>
      <c r="AD9" s="163">
        <v>0.76937501137832465</v>
      </c>
      <c r="AE9" s="163">
        <v>5.4415700267618196E-2</v>
      </c>
      <c r="AF9" s="163">
        <v>0.76937501137832465</v>
      </c>
      <c r="AG9" s="163">
        <v>6.690454950936664E-2</v>
      </c>
      <c r="AH9" s="495"/>
    </row>
    <row r="10" spans="1:34" s="513" customFormat="1" x14ac:dyDescent="0.2">
      <c r="A10" s="497" t="s">
        <v>218</v>
      </c>
      <c r="B10" s="499" t="s">
        <v>278</v>
      </c>
      <c r="C10" s="513" t="s">
        <v>531</v>
      </c>
      <c r="D10" s="495"/>
      <c r="E10" s="162">
        <v>0</v>
      </c>
      <c r="F10" s="512">
        <v>6.7567567567567557E-2</v>
      </c>
      <c r="G10" s="512">
        <v>0.16776981062695345</v>
      </c>
      <c r="H10" s="301" t="s">
        <v>130</v>
      </c>
      <c r="I10" s="301" t="s">
        <v>130</v>
      </c>
      <c r="J10" s="301" t="s">
        <v>130</v>
      </c>
      <c r="K10" s="162">
        <v>0</v>
      </c>
      <c r="L10" s="162">
        <v>0.16776981062695345</v>
      </c>
      <c r="M10" s="162">
        <v>6.7567567567567557E-2</v>
      </c>
      <c r="N10" s="496"/>
      <c r="O10" s="163">
        <v>8.1632653061224483E-2</v>
      </c>
      <c r="P10" s="164">
        <v>1.0612244897959184</v>
      </c>
      <c r="Q10" s="289">
        <v>1.0612244897959184</v>
      </c>
      <c r="R10" s="163" t="s">
        <v>130</v>
      </c>
      <c r="S10" s="164" t="s">
        <v>130</v>
      </c>
      <c r="T10" s="165" t="s">
        <v>130</v>
      </c>
      <c r="U10" s="293">
        <v>8.1632653061224483E-2</v>
      </c>
      <c r="V10" s="164">
        <v>1.0612244897959184</v>
      </c>
      <c r="W10" s="165">
        <v>1.0612244897959184</v>
      </c>
      <c r="X10" s="495"/>
      <c r="Y10" s="163">
        <v>-8.1632653061224483E-2</v>
      </c>
      <c r="Z10" s="163">
        <v>-0.99365692222835089</v>
      </c>
      <c r="AA10" s="163">
        <v>-0.89345467916896504</v>
      </c>
      <c r="AB10" s="163" t="s">
        <v>130</v>
      </c>
      <c r="AC10" s="163" t="s">
        <v>130</v>
      </c>
      <c r="AD10" s="163" t="s">
        <v>130</v>
      </c>
      <c r="AE10" s="163">
        <v>-8.1632653061224483E-2</v>
      </c>
      <c r="AF10" s="163">
        <v>-0.89345467916896504</v>
      </c>
      <c r="AG10" s="163">
        <v>-0.99365692222835089</v>
      </c>
      <c r="AH10" s="495"/>
    </row>
    <row r="11" spans="1:34" s="513" customFormat="1" x14ac:dyDescent="0.2">
      <c r="A11" s="497" t="s">
        <v>218</v>
      </c>
      <c r="B11" s="499" t="s">
        <v>232</v>
      </c>
      <c r="C11" s="513" t="s">
        <v>534</v>
      </c>
      <c r="D11" s="495"/>
      <c r="E11" s="162">
        <v>6.4683053040103494E-2</v>
      </c>
      <c r="F11" s="512">
        <v>0.28460543337645539</v>
      </c>
      <c r="G11" s="512">
        <v>0.70667335498235517</v>
      </c>
      <c r="H11" s="301">
        <v>0</v>
      </c>
      <c r="I11" s="301">
        <v>0</v>
      </c>
      <c r="J11" s="301">
        <v>0</v>
      </c>
      <c r="K11" s="162">
        <v>6.4432989690721656E-2</v>
      </c>
      <c r="L11" s="162">
        <v>0.70394137036257809</v>
      </c>
      <c r="M11" s="162">
        <v>0.28350515463917531</v>
      </c>
      <c r="N11" s="496"/>
      <c r="O11" s="163">
        <v>4.2845372150508099E-2</v>
      </c>
      <c r="P11" s="164">
        <v>0.58994781653391926</v>
      </c>
      <c r="Q11" s="289">
        <v>0.58994781653391926</v>
      </c>
      <c r="R11" s="163">
        <v>0</v>
      </c>
      <c r="S11" s="164">
        <v>0.375</v>
      </c>
      <c r="T11" s="165">
        <v>0.375</v>
      </c>
      <c r="U11" s="293">
        <v>4.2472093656411657E-2</v>
      </c>
      <c r="V11" s="164">
        <v>0.58807514293493057</v>
      </c>
      <c r="W11" s="165">
        <v>0.58807514293493057</v>
      </c>
      <c r="X11" s="495"/>
      <c r="Y11" s="163">
        <v>2.1837680889595396E-2</v>
      </c>
      <c r="Z11" s="163">
        <v>-0.30534238315746387</v>
      </c>
      <c r="AA11" s="163">
        <v>0.11672553844843592</v>
      </c>
      <c r="AB11" s="163">
        <v>0</v>
      </c>
      <c r="AC11" s="163">
        <v>-0.375</v>
      </c>
      <c r="AD11" s="163">
        <v>-0.375</v>
      </c>
      <c r="AE11" s="163">
        <v>2.196089603431E-2</v>
      </c>
      <c r="AF11" s="163">
        <v>0.11586622742764752</v>
      </c>
      <c r="AG11" s="163">
        <v>-0.30456998829575527</v>
      </c>
      <c r="AH11" s="495"/>
    </row>
    <row r="12" spans="1:34" s="513" customFormat="1" x14ac:dyDescent="0.2">
      <c r="A12" s="497" t="s">
        <v>218</v>
      </c>
      <c r="B12" s="499" t="s">
        <v>240</v>
      </c>
      <c r="C12" s="513" t="s">
        <v>535</v>
      </c>
      <c r="D12" s="495"/>
      <c r="E12" s="162">
        <v>8.3832335329341312E-2</v>
      </c>
      <c r="F12" s="512">
        <v>0.32335329341317365</v>
      </c>
      <c r="G12" s="512">
        <v>0.80288402786264201</v>
      </c>
      <c r="H12" s="301">
        <v>0</v>
      </c>
      <c r="I12" s="301">
        <v>4.0322580645161289E-2</v>
      </c>
      <c r="J12" s="301">
        <v>0.10012069343866578</v>
      </c>
      <c r="K12" s="162">
        <v>7.2992700729927001E-2</v>
      </c>
      <c r="L12" s="162">
        <v>0.71201577607059496</v>
      </c>
      <c r="M12" s="162">
        <v>0.28675703858185608</v>
      </c>
      <c r="N12" s="496"/>
      <c r="O12" s="163">
        <v>5.0659630606860163E-2</v>
      </c>
      <c r="P12" s="164">
        <v>0.53192612137203166</v>
      </c>
      <c r="Q12" s="289">
        <v>0.53192612137203166</v>
      </c>
      <c r="R12" s="163">
        <v>4.3010752688172046E-2</v>
      </c>
      <c r="S12" s="164">
        <v>0.12903225806451613</v>
      </c>
      <c r="T12" s="165">
        <v>0.12903225806451613</v>
      </c>
      <c r="U12" s="293">
        <v>4.9678012879484826E-2</v>
      </c>
      <c r="V12" s="164">
        <v>0.48022079116835331</v>
      </c>
      <c r="W12" s="165">
        <v>0.48022079116835331</v>
      </c>
      <c r="X12" s="495"/>
      <c r="Y12" s="163">
        <v>3.3172704722481149E-2</v>
      </c>
      <c r="Z12" s="163">
        <v>-0.20857282795885801</v>
      </c>
      <c r="AA12" s="163">
        <v>0.27095790649061036</v>
      </c>
      <c r="AB12" s="163">
        <v>-4.3010752688172046E-2</v>
      </c>
      <c r="AC12" s="163">
        <v>-8.8709677419354843E-2</v>
      </c>
      <c r="AD12" s="163">
        <v>-2.8911564625850344E-2</v>
      </c>
      <c r="AE12" s="163">
        <v>2.3314687850442176E-2</v>
      </c>
      <c r="AF12" s="163">
        <v>0.23179498490224165</v>
      </c>
      <c r="AG12" s="163">
        <v>-0.19346375258649723</v>
      </c>
      <c r="AH12" s="495"/>
    </row>
    <row r="13" spans="1:34" s="513" customFormat="1" x14ac:dyDescent="0.2">
      <c r="A13" s="497" t="s">
        <v>218</v>
      </c>
      <c r="B13" s="499" t="s">
        <v>236</v>
      </c>
      <c r="C13" s="513" t="s">
        <v>454</v>
      </c>
      <c r="D13" s="495"/>
      <c r="E13" s="162" t="s">
        <v>130</v>
      </c>
      <c r="F13" s="512" t="s">
        <v>130</v>
      </c>
      <c r="G13" s="512" t="s">
        <v>130</v>
      </c>
      <c r="H13" s="301" t="s">
        <v>130</v>
      </c>
      <c r="I13" s="301" t="s">
        <v>130</v>
      </c>
      <c r="J13" s="301" t="s">
        <v>130</v>
      </c>
      <c r="K13" s="162" t="s">
        <v>130</v>
      </c>
      <c r="L13" s="162" t="s">
        <v>130</v>
      </c>
      <c r="M13" s="162" t="s">
        <v>130</v>
      </c>
      <c r="N13" s="496"/>
      <c r="O13" s="163" t="s">
        <v>130</v>
      </c>
      <c r="P13" s="164" t="s">
        <v>130</v>
      </c>
      <c r="Q13" s="289" t="s">
        <v>130</v>
      </c>
      <c r="R13" s="163" t="s">
        <v>130</v>
      </c>
      <c r="S13" s="164" t="s">
        <v>130</v>
      </c>
      <c r="T13" s="165" t="s">
        <v>130</v>
      </c>
      <c r="U13" s="293" t="s">
        <v>130</v>
      </c>
      <c r="V13" s="164" t="s">
        <v>130</v>
      </c>
      <c r="W13" s="165" t="s">
        <v>130</v>
      </c>
      <c r="X13" s="495"/>
      <c r="Y13" s="163" t="s">
        <v>130</v>
      </c>
      <c r="Z13" s="163" t="s">
        <v>130</v>
      </c>
      <c r="AA13" s="163" t="s">
        <v>130</v>
      </c>
      <c r="AB13" s="163" t="s">
        <v>130</v>
      </c>
      <c r="AC13" s="163" t="s">
        <v>130</v>
      </c>
      <c r="AD13" s="163" t="s">
        <v>130</v>
      </c>
      <c r="AE13" s="163" t="s">
        <v>130</v>
      </c>
      <c r="AF13" s="163" t="s">
        <v>130</v>
      </c>
      <c r="AG13" s="163" t="s">
        <v>130</v>
      </c>
      <c r="AH13" s="495"/>
    </row>
    <row r="14" spans="1:34" s="513" customFormat="1" x14ac:dyDescent="0.2">
      <c r="A14" s="497" t="s">
        <v>218</v>
      </c>
      <c r="B14" s="499" t="s">
        <v>248</v>
      </c>
      <c r="C14" s="513" t="s">
        <v>545</v>
      </c>
      <c r="D14" s="495"/>
      <c r="E14" s="162" t="s">
        <v>130</v>
      </c>
      <c r="F14" s="512" t="s">
        <v>130</v>
      </c>
      <c r="G14" s="512" t="s">
        <v>130</v>
      </c>
      <c r="H14" s="301">
        <v>0</v>
      </c>
      <c r="I14" s="301">
        <v>0</v>
      </c>
      <c r="J14" s="301">
        <v>0</v>
      </c>
      <c r="K14" s="162">
        <v>0</v>
      </c>
      <c r="L14" s="162">
        <v>0</v>
      </c>
      <c r="M14" s="162">
        <v>0</v>
      </c>
      <c r="N14" s="496"/>
      <c r="O14" s="163" t="s">
        <v>130</v>
      </c>
      <c r="P14" s="164" t="s">
        <v>130</v>
      </c>
      <c r="Q14" s="289" t="s">
        <v>130</v>
      </c>
      <c r="R14" s="163">
        <v>0</v>
      </c>
      <c r="S14" s="164">
        <v>0.13675213675213677</v>
      </c>
      <c r="T14" s="165">
        <v>0.13675213675213677</v>
      </c>
      <c r="U14" s="293">
        <v>0</v>
      </c>
      <c r="V14" s="164">
        <v>0.13675213675213677</v>
      </c>
      <c r="W14" s="165">
        <v>0.13675213675213677</v>
      </c>
      <c r="X14" s="495"/>
      <c r="Y14" s="163" t="s">
        <v>130</v>
      </c>
      <c r="Z14" s="163" t="s">
        <v>130</v>
      </c>
      <c r="AA14" s="163" t="s">
        <v>130</v>
      </c>
      <c r="AB14" s="163">
        <v>0</v>
      </c>
      <c r="AC14" s="163">
        <v>-0.13675213675213677</v>
      </c>
      <c r="AD14" s="163">
        <v>-0.13675213675213677</v>
      </c>
      <c r="AE14" s="163">
        <v>0</v>
      </c>
      <c r="AF14" s="163">
        <v>-0.13675213675213677</v>
      </c>
      <c r="AG14" s="163">
        <v>-0.13675213675213677</v>
      </c>
      <c r="AH14" s="495"/>
    </row>
    <row r="15" spans="1:34" s="513" customFormat="1" x14ac:dyDescent="0.2">
      <c r="A15" s="497" t="s">
        <v>218</v>
      </c>
      <c r="B15" s="499" t="s">
        <v>256</v>
      </c>
      <c r="C15" s="513" t="s">
        <v>406</v>
      </c>
      <c r="D15" s="495"/>
      <c r="E15" s="162" t="s">
        <v>130</v>
      </c>
      <c r="F15" s="512" t="s">
        <v>130</v>
      </c>
      <c r="G15" s="512" t="s">
        <v>130</v>
      </c>
      <c r="H15" s="301">
        <v>0</v>
      </c>
      <c r="I15" s="301">
        <v>0</v>
      </c>
      <c r="J15" s="301">
        <v>0</v>
      </c>
      <c r="K15" s="162">
        <v>0</v>
      </c>
      <c r="L15" s="162">
        <v>0</v>
      </c>
      <c r="M15" s="162">
        <v>0</v>
      </c>
      <c r="N15" s="496"/>
      <c r="O15" s="514" t="s">
        <v>130</v>
      </c>
      <c r="P15" s="515" t="s">
        <v>130</v>
      </c>
      <c r="Q15" s="516" t="s">
        <v>130</v>
      </c>
      <c r="R15" s="514">
        <v>0</v>
      </c>
      <c r="S15" s="515">
        <v>0.41860465116279066</v>
      </c>
      <c r="T15" s="517">
        <v>0.41860465116279066</v>
      </c>
      <c r="U15" s="518">
        <v>0</v>
      </c>
      <c r="V15" s="515">
        <v>0.41860465116279066</v>
      </c>
      <c r="W15" s="517">
        <v>0.41860465116279066</v>
      </c>
      <c r="X15" s="495"/>
      <c r="Y15" s="163" t="s">
        <v>130</v>
      </c>
      <c r="Z15" s="163" t="s">
        <v>130</v>
      </c>
      <c r="AA15" s="163" t="s">
        <v>130</v>
      </c>
      <c r="AB15" s="163">
        <v>0</v>
      </c>
      <c r="AC15" s="163">
        <v>-0.41860465116279066</v>
      </c>
      <c r="AD15" s="163">
        <v>-0.41860465116279066</v>
      </c>
      <c r="AE15" s="163">
        <v>0</v>
      </c>
      <c r="AF15" s="163">
        <v>-0.41860465116279066</v>
      </c>
      <c r="AG15" s="163">
        <v>-0.41860465116279066</v>
      </c>
      <c r="AH15" s="495"/>
    </row>
    <row r="16" spans="1:34" s="513" customFormat="1" x14ac:dyDescent="0.2">
      <c r="A16" s="497" t="s">
        <v>218</v>
      </c>
      <c r="B16" s="499" t="s">
        <v>273</v>
      </c>
      <c r="C16" s="513" t="s">
        <v>464</v>
      </c>
      <c r="D16" s="495"/>
      <c r="E16" s="162" t="s">
        <v>130</v>
      </c>
      <c r="F16" s="512" t="s">
        <v>130</v>
      </c>
      <c r="G16" s="512" t="s">
        <v>130</v>
      </c>
      <c r="H16" s="301" t="s">
        <v>130</v>
      </c>
      <c r="I16" s="301" t="s">
        <v>130</v>
      </c>
      <c r="J16" s="301" t="s">
        <v>130</v>
      </c>
      <c r="K16" s="162" t="s">
        <v>130</v>
      </c>
      <c r="L16" s="162" t="s">
        <v>130</v>
      </c>
      <c r="M16" s="162" t="s">
        <v>130</v>
      </c>
      <c r="N16" s="496"/>
      <c r="O16" s="163" t="s">
        <v>130</v>
      </c>
      <c r="P16" s="164" t="s">
        <v>130</v>
      </c>
      <c r="Q16" s="289" t="s">
        <v>130</v>
      </c>
      <c r="R16" s="163" t="s">
        <v>130</v>
      </c>
      <c r="S16" s="164" t="s">
        <v>130</v>
      </c>
      <c r="T16" s="165" t="s">
        <v>130</v>
      </c>
      <c r="U16" s="293" t="s">
        <v>130</v>
      </c>
      <c r="V16" s="164" t="s">
        <v>130</v>
      </c>
      <c r="W16" s="165" t="s">
        <v>130</v>
      </c>
      <c r="X16" s="495"/>
      <c r="Y16" s="163" t="s">
        <v>130</v>
      </c>
      <c r="Z16" s="163" t="s">
        <v>130</v>
      </c>
      <c r="AA16" s="163" t="s">
        <v>130</v>
      </c>
      <c r="AB16" s="163" t="s">
        <v>130</v>
      </c>
      <c r="AC16" s="163" t="s">
        <v>130</v>
      </c>
      <c r="AD16" s="163" t="s">
        <v>130</v>
      </c>
      <c r="AE16" s="163" t="s">
        <v>130</v>
      </c>
      <c r="AF16" s="163" t="s">
        <v>130</v>
      </c>
      <c r="AG16" s="163" t="s">
        <v>130</v>
      </c>
      <c r="AH16" s="495"/>
    </row>
    <row r="17" spans="1:38" s="513" customFormat="1" x14ac:dyDescent="0.2">
      <c r="A17" s="497" t="s">
        <v>218</v>
      </c>
      <c r="B17" s="499" t="s">
        <v>252</v>
      </c>
      <c r="C17" s="513" t="s">
        <v>547</v>
      </c>
      <c r="D17" s="495"/>
      <c r="E17" s="162" t="s">
        <v>130</v>
      </c>
      <c r="F17" s="512" t="s">
        <v>130</v>
      </c>
      <c r="G17" s="512" t="s">
        <v>130</v>
      </c>
      <c r="H17" s="301">
        <v>0</v>
      </c>
      <c r="I17" s="301">
        <v>0</v>
      </c>
      <c r="J17" s="301">
        <v>0</v>
      </c>
      <c r="K17" s="162">
        <v>0</v>
      </c>
      <c r="L17" s="162">
        <v>0</v>
      </c>
      <c r="M17" s="162">
        <v>0</v>
      </c>
      <c r="N17" s="496"/>
      <c r="O17" s="163" t="s">
        <v>130</v>
      </c>
      <c r="P17" s="164" t="s">
        <v>130</v>
      </c>
      <c r="Q17" s="289" t="s">
        <v>130</v>
      </c>
      <c r="R17" s="163">
        <v>0</v>
      </c>
      <c r="S17" s="164">
        <v>0.12</v>
      </c>
      <c r="T17" s="165">
        <v>0.12</v>
      </c>
      <c r="U17" s="293">
        <v>0</v>
      </c>
      <c r="V17" s="164">
        <v>0.12</v>
      </c>
      <c r="W17" s="165">
        <v>0.12</v>
      </c>
      <c r="X17" s="495"/>
      <c r="Y17" s="163" t="s">
        <v>130</v>
      </c>
      <c r="Z17" s="163" t="s">
        <v>130</v>
      </c>
      <c r="AA17" s="163" t="s">
        <v>130</v>
      </c>
      <c r="AB17" s="163">
        <v>0</v>
      </c>
      <c r="AC17" s="163">
        <v>-0.12</v>
      </c>
      <c r="AD17" s="163">
        <v>-0.12</v>
      </c>
      <c r="AE17" s="163">
        <v>0</v>
      </c>
      <c r="AF17" s="163">
        <v>-0.12</v>
      </c>
      <c r="AG17" s="163">
        <v>-0.12</v>
      </c>
      <c r="AH17" s="495"/>
    </row>
    <row r="18" spans="1:38" s="513" customFormat="1" x14ac:dyDescent="0.2">
      <c r="A18" s="497" t="s">
        <v>218</v>
      </c>
      <c r="B18" s="499" t="s">
        <v>271</v>
      </c>
      <c r="C18" s="513" t="s">
        <v>548</v>
      </c>
      <c r="D18" s="495"/>
      <c r="E18" s="162" t="s">
        <v>130</v>
      </c>
      <c r="F18" s="512" t="s">
        <v>130</v>
      </c>
      <c r="G18" s="512" t="s">
        <v>130</v>
      </c>
      <c r="H18" s="301">
        <v>0</v>
      </c>
      <c r="I18" s="301">
        <v>0</v>
      </c>
      <c r="J18" s="301">
        <v>0</v>
      </c>
      <c r="K18" s="162">
        <v>0</v>
      </c>
      <c r="L18" s="162">
        <v>0</v>
      </c>
      <c r="M18" s="162">
        <v>0</v>
      </c>
      <c r="N18" s="496"/>
      <c r="O18" s="163" t="s">
        <v>130</v>
      </c>
      <c r="P18" s="164" t="s">
        <v>130</v>
      </c>
      <c r="Q18" s="289" t="s">
        <v>130</v>
      </c>
      <c r="R18" s="163">
        <v>0</v>
      </c>
      <c r="S18" s="164">
        <v>0</v>
      </c>
      <c r="T18" s="165">
        <v>0</v>
      </c>
      <c r="U18" s="293">
        <v>0</v>
      </c>
      <c r="V18" s="164">
        <v>0</v>
      </c>
      <c r="W18" s="165">
        <v>0</v>
      </c>
      <c r="X18" s="495"/>
      <c r="Y18" s="163" t="s">
        <v>130</v>
      </c>
      <c r="Z18" s="163" t="s">
        <v>130</v>
      </c>
      <c r="AA18" s="163" t="s">
        <v>130</v>
      </c>
      <c r="AB18" s="163">
        <v>0</v>
      </c>
      <c r="AC18" s="163">
        <v>0</v>
      </c>
      <c r="AD18" s="163">
        <v>0</v>
      </c>
      <c r="AE18" s="163">
        <v>0</v>
      </c>
      <c r="AF18" s="163">
        <v>0</v>
      </c>
      <c r="AG18" s="163">
        <v>0</v>
      </c>
      <c r="AH18" s="495"/>
    </row>
    <row r="19" spans="1:38" s="513" customFormat="1" x14ac:dyDescent="0.2">
      <c r="A19" s="497" t="s">
        <v>218</v>
      </c>
      <c r="B19" s="499" t="s">
        <v>242</v>
      </c>
      <c r="C19" s="513" t="s">
        <v>549</v>
      </c>
      <c r="D19" s="495"/>
      <c r="E19" s="162" t="s">
        <v>130</v>
      </c>
      <c r="F19" s="512" t="s">
        <v>130</v>
      </c>
      <c r="G19" s="512" t="s">
        <v>130</v>
      </c>
      <c r="H19" s="301">
        <v>0</v>
      </c>
      <c r="I19" s="301">
        <v>0</v>
      </c>
      <c r="J19" s="301">
        <v>0</v>
      </c>
      <c r="K19" s="162">
        <v>0</v>
      </c>
      <c r="L19" s="162">
        <v>0</v>
      </c>
      <c r="M19" s="162">
        <v>0</v>
      </c>
      <c r="N19" s="496"/>
      <c r="O19" s="163" t="s">
        <v>130</v>
      </c>
      <c r="P19" s="164" t="s">
        <v>130</v>
      </c>
      <c r="Q19" s="289" t="s">
        <v>130</v>
      </c>
      <c r="R19" s="294">
        <v>0</v>
      </c>
      <c r="S19" s="295">
        <v>0.17142857142857143</v>
      </c>
      <c r="T19" s="296">
        <v>0.17142857142857143</v>
      </c>
      <c r="U19" s="295">
        <v>0</v>
      </c>
      <c r="V19" s="295">
        <v>0.17142857142857143</v>
      </c>
      <c r="W19" s="519">
        <v>0.17142857142857143</v>
      </c>
      <c r="X19" s="495"/>
      <c r="Y19" s="163" t="s">
        <v>130</v>
      </c>
      <c r="Z19" s="163" t="s">
        <v>130</v>
      </c>
      <c r="AA19" s="163" t="s">
        <v>130</v>
      </c>
      <c r="AB19" s="163">
        <v>0</v>
      </c>
      <c r="AC19" s="163">
        <v>-0.17142857142857143</v>
      </c>
      <c r="AD19" s="163">
        <v>-0.17142857142857143</v>
      </c>
      <c r="AE19" s="163">
        <v>0</v>
      </c>
      <c r="AF19" s="163">
        <v>-0.17142857142857143</v>
      </c>
      <c r="AG19" s="163">
        <v>-0.17142857142857143</v>
      </c>
      <c r="AH19" s="495"/>
    </row>
    <row r="20" spans="1:38" s="513" customFormat="1" ht="12.95" customHeight="1" x14ac:dyDescent="0.2">
      <c r="A20" s="497" t="s">
        <v>218</v>
      </c>
      <c r="B20" s="499" t="s">
        <v>275</v>
      </c>
      <c r="C20" s="513" t="s">
        <v>550</v>
      </c>
      <c r="D20" s="495"/>
      <c r="E20" s="162" t="s">
        <v>130</v>
      </c>
      <c r="F20" s="512" t="s">
        <v>130</v>
      </c>
      <c r="G20" s="512" t="s">
        <v>130</v>
      </c>
      <c r="H20" s="301">
        <v>0</v>
      </c>
      <c r="I20" s="301">
        <v>0.34482758620689657</v>
      </c>
      <c r="J20" s="301">
        <v>0.85620455078583158</v>
      </c>
      <c r="K20" s="162">
        <v>0</v>
      </c>
      <c r="L20" s="162">
        <v>0.85620455078583158</v>
      </c>
      <c r="M20" s="162">
        <v>0.34482758620689657</v>
      </c>
      <c r="N20" s="496"/>
      <c r="O20" s="163" t="s">
        <v>130</v>
      </c>
      <c r="P20" s="164" t="s">
        <v>130</v>
      </c>
      <c r="Q20" s="289" t="s">
        <v>130</v>
      </c>
      <c r="R20" s="163">
        <v>0</v>
      </c>
      <c r="S20" s="164">
        <v>0.26470588235294118</v>
      </c>
      <c r="T20" s="165">
        <v>0.26470588235294118</v>
      </c>
      <c r="U20" s="293">
        <v>0</v>
      </c>
      <c r="V20" s="164">
        <v>0.26470588235294118</v>
      </c>
      <c r="W20" s="165">
        <v>0.26470588235294118</v>
      </c>
      <c r="X20" s="495"/>
      <c r="Y20" s="163" t="s">
        <v>130</v>
      </c>
      <c r="Z20" s="163" t="s">
        <v>130</v>
      </c>
      <c r="AA20" s="163" t="s">
        <v>130</v>
      </c>
      <c r="AB20" s="163">
        <v>0</v>
      </c>
      <c r="AC20" s="163">
        <v>8.0121703853955395E-2</v>
      </c>
      <c r="AD20" s="163">
        <v>0.59149866843289045</v>
      </c>
      <c r="AE20" s="163">
        <v>0</v>
      </c>
      <c r="AF20" s="163">
        <v>0.59149866843289045</v>
      </c>
      <c r="AG20" s="163">
        <v>8.0121703853955395E-2</v>
      </c>
      <c r="AH20" s="495"/>
    </row>
    <row r="21" spans="1:38" s="513" customFormat="1" x14ac:dyDescent="0.2">
      <c r="A21" s="497" t="s">
        <v>218</v>
      </c>
      <c r="B21" s="499" t="s">
        <v>246</v>
      </c>
      <c r="C21" s="513" t="s">
        <v>551</v>
      </c>
      <c r="D21" s="495"/>
      <c r="E21" s="162" t="s">
        <v>130</v>
      </c>
      <c r="F21" s="512" t="s">
        <v>130</v>
      </c>
      <c r="G21" s="512" t="s">
        <v>130</v>
      </c>
      <c r="H21" s="301">
        <v>0</v>
      </c>
      <c r="I21" s="301">
        <v>0</v>
      </c>
      <c r="J21" s="301">
        <v>0</v>
      </c>
      <c r="K21" s="162">
        <v>0</v>
      </c>
      <c r="L21" s="162">
        <v>0</v>
      </c>
      <c r="M21" s="162">
        <v>0</v>
      </c>
      <c r="N21" s="496"/>
      <c r="O21" s="163" t="s">
        <v>130</v>
      </c>
      <c r="P21" s="164" t="s">
        <v>130</v>
      </c>
      <c r="Q21" s="289" t="s">
        <v>130</v>
      </c>
      <c r="R21" s="294">
        <v>0</v>
      </c>
      <c r="S21" s="295">
        <v>7.407407407407407E-2</v>
      </c>
      <c r="T21" s="296">
        <v>7.407407407407407E-2</v>
      </c>
      <c r="U21" s="295">
        <v>0</v>
      </c>
      <c r="V21" s="295">
        <v>7.407407407407407E-2</v>
      </c>
      <c r="W21" s="519">
        <v>7.407407407407407E-2</v>
      </c>
      <c r="X21" s="495"/>
      <c r="Y21" s="163" t="s">
        <v>130</v>
      </c>
      <c r="Z21" s="163" t="s">
        <v>130</v>
      </c>
      <c r="AA21" s="163" t="s">
        <v>130</v>
      </c>
      <c r="AB21" s="163">
        <v>0</v>
      </c>
      <c r="AC21" s="163">
        <v>-7.407407407407407E-2</v>
      </c>
      <c r="AD21" s="163">
        <v>-7.407407407407407E-2</v>
      </c>
      <c r="AE21" s="163">
        <v>0</v>
      </c>
      <c r="AF21" s="163">
        <v>-7.407407407407407E-2</v>
      </c>
      <c r="AG21" s="163">
        <v>-7.407407407407407E-2</v>
      </c>
      <c r="AH21" s="495"/>
    </row>
    <row r="22" spans="1:38" s="513" customFormat="1" x14ac:dyDescent="0.2">
      <c r="A22" s="497" t="s">
        <v>218</v>
      </c>
      <c r="B22" s="499" t="s">
        <v>268</v>
      </c>
      <c r="C22" s="513" t="s">
        <v>450</v>
      </c>
      <c r="D22" s="495"/>
      <c r="E22" s="162" t="s">
        <v>130</v>
      </c>
      <c r="F22" s="512" t="s">
        <v>130</v>
      </c>
      <c r="G22" s="512" t="s">
        <v>130</v>
      </c>
      <c r="H22" s="301" t="s">
        <v>130</v>
      </c>
      <c r="I22" s="301" t="s">
        <v>130</v>
      </c>
      <c r="J22" s="301" t="s">
        <v>130</v>
      </c>
      <c r="K22" s="162" t="s">
        <v>130</v>
      </c>
      <c r="L22" s="162" t="s">
        <v>130</v>
      </c>
      <c r="M22" s="162" t="s">
        <v>130</v>
      </c>
      <c r="N22" s="496"/>
      <c r="O22" s="163" t="s">
        <v>130</v>
      </c>
      <c r="P22" s="164" t="s">
        <v>130</v>
      </c>
      <c r="Q22" s="289" t="s">
        <v>130</v>
      </c>
      <c r="R22" s="294" t="s">
        <v>130</v>
      </c>
      <c r="S22" s="295" t="s">
        <v>130</v>
      </c>
      <c r="T22" s="296" t="s">
        <v>130</v>
      </c>
      <c r="U22" s="295" t="s">
        <v>130</v>
      </c>
      <c r="V22" s="295" t="s">
        <v>130</v>
      </c>
      <c r="W22" s="519" t="s">
        <v>130</v>
      </c>
      <c r="X22" s="495"/>
      <c r="Y22" s="163" t="s">
        <v>130</v>
      </c>
      <c r="Z22" s="163" t="s">
        <v>130</v>
      </c>
      <c r="AA22" s="163" t="s">
        <v>130</v>
      </c>
      <c r="AB22" s="163" t="s">
        <v>130</v>
      </c>
      <c r="AC22" s="163" t="s">
        <v>130</v>
      </c>
      <c r="AD22" s="163" t="s">
        <v>130</v>
      </c>
      <c r="AE22" s="163" t="s">
        <v>130</v>
      </c>
      <c r="AF22" s="163" t="s">
        <v>130</v>
      </c>
      <c r="AG22" s="163" t="s">
        <v>130</v>
      </c>
      <c r="AH22" s="495"/>
    </row>
    <row r="23" spans="1:38" s="511" customFormat="1" ht="12.75" customHeight="1" thickBot="1" x14ac:dyDescent="0.25">
      <c r="A23" s="302" t="s">
        <v>218</v>
      </c>
      <c r="B23" s="500"/>
      <c r="C23" s="500"/>
      <c r="D23" s="484"/>
      <c r="E23" s="520">
        <v>5.9190031152647975E-2</v>
      </c>
      <c r="F23" s="520">
        <v>0.24143302180685358</v>
      </c>
      <c r="G23" s="520">
        <v>0.59947655074490858</v>
      </c>
      <c r="H23" s="520">
        <v>2.9535864978902954E-2</v>
      </c>
      <c r="I23" s="520">
        <v>0.1940928270042194</v>
      </c>
      <c r="J23" s="520">
        <v>0.48193116909210937</v>
      </c>
      <c r="K23" s="520">
        <v>5.113636363636364E-2</v>
      </c>
      <c r="L23" s="520">
        <v>0.22840909090909092</v>
      </c>
      <c r="M23" s="520">
        <v>0.56713821892393323</v>
      </c>
      <c r="N23" s="484"/>
      <c r="O23" s="169">
        <v>3.8420490928495199E-2</v>
      </c>
      <c r="P23" s="169">
        <v>0.52347918890074707</v>
      </c>
      <c r="Q23" s="521">
        <v>0.52347918890074707</v>
      </c>
      <c r="R23" s="166">
        <v>2.100840336134454E-2</v>
      </c>
      <c r="S23" s="169">
        <v>0.3235294117647059</v>
      </c>
      <c r="T23" s="297">
        <v>0.3235294117647059</v>
      </c>
      <c r="U23" s="169">
        <v>3.3516324761629586E-2</v>
      </c>
      <c r="V23" s="169">
        <v>0.46691707598959836</v>
      </c>
      <c r="W23" s="169">
        <v>0.46691707598959836</v>
      </c>
      <c r="X23" s="484"/>
      <c r="Y23" s="166">
        <v>2.0769540224152776E-2</v>
      </c>
      <c r="Z23" s="167">
        <v>-0.28204616709389352</v>
      </c>
      <c r="AA23" s="168">
        <v>7.5997361844161504E-2</v>
      </c>
      <c r="AB23" s="166">
        <v>8.5274616175584142E-3</v>
      </c>
      <c r="AC23" s="167">
        <v>-0.1294365847604865</v>
      </c>
      <c r="AD23" s="168">
        <v>0.15840175732740347</v>
      </c>
      <c r="AE23" s="169">
        <v>1.7620038874734054E-2</v>
      </c>
      <c r="AF23" s="167">
        <v>-0.23850798508050744</v>
      </c>
      <c r="AG23" s="170">
        <v>0.10022114293433487</v>
      </c>
      <c r="AH23" s="484"/>
      <c r="AK23" s="513"/>
      <c r="AL23" s="513"/>
    </row>
    <row r="24" spans="1:38" x14ac:dyDescent="0.2">
      <c r="A24" s="501" t="s">
        <v>204</v>
      </c>
      <c r="B24" s="502" t="s">
        <v>219</v>
      </c>
      <c r="C24" s="513" t="s">
        <v>506</v>
      </c>
      <c r="D24" s="484"/>
      <c r="E24" s="301">
        <v>1.2679628064243449E-2</v>
      </c>
      <c r="F24" s="512">
        <v>0.26627218934911245</v>
      </c>
      <c r="G24" s="512">
        <v>0.66115203477840845</v>
      </c>
      <c r="H24" s="301">
        <v>0</v>
      </c>
      <c r="I24" s="301">
        <v>0.27027027027027023</v>
      </c>
      <c r="J24" s="301">
        <v>0.67107924250781381</v>
      </c>
      <c r="K24" s="162">
        <v>1.1933174224343675E-2</v>
      </c>
      <c r="L24" s="162">
        <v>0.26650755767700873</v>
      </c>
      <c r="M24" s="162">
        <v>0.6617364527354298</v>
      </c>
      <c r="N24" s="484"/>
      <c r="O24" s="163">
        <v>0.10013908205841447</v>
      </c>
      <c r="P24" s="164">
        <v>0.90542420027816417</v>
      </c>
      <c r="Q24" s="289">
        <v>0.90542420027816417</v>
      </c>
      <c r="R24" s="163">
        <v>0.10084033613445378</v>
      </c>
      <c r="S24" s="164">
        <v>0.30252100840336138</v>
      </c>
      <c r="T24" s="165">
        <v>0.30252100840336138</v>
      </c>
      <c r="U24" s="293">
        <v>0.1001669449081803</v>
      </c>
      <c r="V24" s="164">
        <v>0.88146911519198656</v>
      </c>
      <c r="W24" s="165">
        <v>0.88146911519198656</v>
      </c>
      <c r="X24" s="484"/>
      <c r="Y24" s="163">
        <v>-8.7459453994171016E-2</v>
      </c>
      <c r="Z24" s="163">
        <v>-0.63915201092905172</v>
      </c>
      <c r="AA24" s="163">
        <v>-0.24427216549975572</v>
      </c>
      <c r="AB24" s="163">
        <v>-0.10084033613445378</v>
      </c>
      <c r="AC24" s="163">
        <v>-3.225073813309115E-2</v>
      </c>
      <c r="AD24" s="163">
        <v>0.36855823410445243</v>
      </c>
      <c r="AE24" s="163">
        <v>-8.8233770683836629E-2</v>
      </c>
      <c r="AF24" s="163">
        <v>-0.61496155751497783</v>
      </c>
      <c r="AG24" s="163">
        <v>-0.21973266245655676</v>
      </c>
      <c r="AH24" s="484"/>
      <c r="AK24" s="513"/>
      <c r="AL24" s="513"/>
    </row>
    <row r="25" spans="1:38" x14ac:dyDescent="0.2">
      <c r="A25" s="503" t="s">
        <v>204</v>
      </c>
      <c r="B25" s="502" t="s">
        <v>235</v>
      </c>
      <c r="C25" s="513" t="s">
        <v>507</v>
      </c>
      <c r="D25" s="484"/>
      <c r="E25" s="301">
        <v>5.6542810985460421E-2</v>
      </c>
      <c r="F25" s="512">
        <v>0.33117932148626816</v>
      </c>
      <c r="G25" s="512">
        <v>0.82231600232984947</v>
      </c>
      <c r="H25" s="301">
        <v>0</v>
      </c>
      <c r="I25" s="301">
        <v>0.16129032258064516</v>
      </c>
      <c r="J25" s="301">
        <v>0.40048277375466312</v>
      </c>
      <c r="K25" s="162">
        <v>4.7106325706594884E-2</v>
      </c>
      <c r="L25" s="162">
        <v>0.30282637954239572</v>
      </c>
      <c r="M25" s="162">
        <v>0.75191584036037029</v>
      </c>
      <c r="N25" s="484"/>
      <c r="O25" s="163">
        <v>3.9215686274509803E-2</v>
      </c>
      <c r="P25" s="164">
        <v>0.63529411764705879</v>
      </c>
      <c r="Q25" s="289">
        <v>0.63529411764705879</v>
      </c>
      <c r="R25" s="163">
        <v>0</v>
      </c>
      <c r="S25" s="164">
        <v>0.1875</v>
      </c>
      <c r="T25" s="165">
        <v>0.1875</v>
      </c>
      <c r="U25" s="293">
        <v>3.2432432432432434E-2</v>
      </c>
      <c r="V25" s="164">
        <v>0.55783783783783791</v>
      </c>
      <c r="W25" s="165">
        <v>0.55783783783783791</v>
      </c>
      <c r="X25" s="484"/>
      <c r="Y25" s="163">
        <v>1.7327124710950617E-2</v>
      </c>
      <c r="Z25" s="163">
        <v>-0.30411479616079062</v>
      </c>
      <c r="AA25" s="163">
        <v>0.18702188468279068</v>
      </c>
      <c r="AB25" s="163">
        <v>0</v>
      </c>
      <c r="AC25" s="163">
        <v>-2.6209677419354843E-2</v>
      </c>
      <c r="AD25" s="163">
        <v>0.21298277375466312</v>
      </c>
      <c r="AE25" s="163">
        <v>1.467389327416245E-2</v>
      </c>
      <c r="AF25" s="163">
        <v>-0.25501145829544219</v>
      </c>
      <c r="AG25" s="163">
        <v>0.19407800252253238</v>
      </c>
      <c r="AH25" s="484"/>
      <c r="AK25" s="513"/>
      <c r="AL25" s="513"/>
    </row>
    <row r="26" spans="1:38" x14ac:dyDescent="0.2">
      <c r="A26" s="503" t="s">
        <v>204</v>
      </c>
      <c r="B26" s="504" t="s">
        <v>245</v>
      </c>
      <c r="C26" s="513" t="s">
        <v>510</v>
      </c>
      <c r="D26" s="484"/>
      <c r="E26" s="301">
        <v>4.0783034257748776E-2</v>
      </c>
      <c r="F26" s="512">
        <v>0.2610114192495922</v>
      </c>
      <c r="G26" s="512">
        <v>0.6480895784088514</v>
      </c>
      <c r="H26" s="301">
        <v>7.7319587628865982E-2</v>
      </c>
      <c r="I26" s="301">
        <v>0.25773195876288663</v>
      </c>
      <c r="J26" s="301">
        <v>0.63994670032961642</v>
      </c>
      <c r="K26" s="162">
        <v>4.9566294919454766E-2</v>
      </c>
      <c r="L26" s="162">
        <v>0.26022304832713755</v>
      </c>
      <c r="M26" s="162">
        <v>0.64613205877146396</v>
      </c>
      <c r="N26" s="484"/>
      <c r="O26" s="514">
        <v>4.8979591836734691E-2</v>
      </c>
      <c r="P26" s="515">
        <v>0.53877551020408165</v>
      </c>
      <c r="Q26" s="516">
        <v>0.53877551020408165</v>
      </c>
      <c r="R26" s="514">
        <v>2.5974025974025976E-2</v>
      </c>
      <c r="S26" s="515">
        <v>0.33766233766233766</v>
      </c>
      <c r="T26" s="517">
        <v>0.33766233766233766</v>
      </c>
      <c r="U26" s="518">
        <v>4.3478260869565216E-2</v>
      </c>
      <c r="V26" s="515">
        <v>0.49068322981366458</v>
      </c>
      <c r="W26" s="517">
        <v>0.49068322981366458</v>
      </c>
      <c r="X26" s="484"/>
      <c r="Y26" s="163">
        <v>-8.1965575789859149E-3</v>
      </c>
      <c r="Z26" s="163">
        <v>-0.27776409095448945</v>
      </c>
      <c r="AA26" s="163">
        <v>0.10931406820476974</v>
      </c>
      <c r="AB26" s="163">
        <v>5.1345561654840007E-2</v>
      </c>
      <c r="AC26" s="163">
        <v>-7.9930378899451038E-2</v>
      </c>
      <c r="AD26" s="163">
        <v>0.30228436266727876</v>
      </c>
      <c r="AE26" s="163">
        <v>6.0880340498895499E-3</v>
      </c>
      <c r="AF26" s="163">
        <v>-0.23046018148652703</v>
      </c>
      <c r="AG26" s="163">
        <v>0.15544882895779938</v>
      </c>
      <c r="AH26" s="484"/>
      <c r="AK26" s="513"/>
      <c r="AL26" s="513"/>
    </row>
    <row r="27" spans="1:38" x14ac:dyDescent="0.2">
      <c r="A27" s="503" t="s">
        <v>204</v>
      </c>
      <c r="B27" s="502" t="s">
        <v>254</v>
      </c>
      <c r="C27" s="513" t="s">
        <v>519</v>
      </c>
      <c r="D27" s="484"/>
      <c r="E27" s="301" t="s">
        <v>130</v>
      </c>
      <c r="F27" s="512" t="s">
        <v>130</v>
      </c>
      <c r="G27" s="512" t="s">
        <v>130</v>
      </c>
      <c r="H27" s="301">
        <v>0</v>
      </c>
      <c r="I27" s="301">
        <v>0.18987341772151897</v>
      </c>
      <c r="J27" s="301">
        <v>0.47145440454662874</v>
      </c>
      <c r="K27" s="162">
        <v>0</v>
      </c>
      <c r="L27" s="162">
        <v>0.18987341772151897</v>
      </c>
      <c r="M27" s="162">
        <v>0.47145440454662874</v>
      </c>
      <c r="N27" s="484"/>
      <c r="O27" s="163" t="s">
        <v>130</v>
      </c>
      <c r="P27" s="164" t="s">
        <v>130</v>
      </c>
      <c r="Q27" s="289" t="s">
        <v>130</v>
      </c>
      <c r="R27" s="163">
        <v>0</v>
      </c>
      <c r="S27" s="164">
        <v>0.17821782178217824</v>
      </c>
      <c r="T27" s="165">
        <v>0.17821782178217824</v>
      </c>
      <c r="U27" s="293">
        <v>0</v>
      </c>
      <c r="V27" s="164">
        <v>0.23762376237623764</v>
      </c>
      <c r="W27" s="165">
        <v>0.23762376237623764</v>
      </c>
      <c r="X27" s="484"/>
      <c r="Y27" s="163" t="s">
        <v>130</v>
      </c>
      <c r="Z27" s="163" t="s">
        <v>130</v>
      </c>
      <c r="AA27" s="163" t="s">
        <v>130</v>
      </c>
      <c r="AB27" s="163">
        <v>0</v>
      </c>
      <c r="AC27" s="163">
        <v>1.1655595939340735E-2</v>
      </c>
      <c r="AD27" s="163">
        <v>0.29323658276445053</v>
      </c>
      <c r="AE27" s="163">
        <v>0</v>
      </c>
      <c r="AF27" s="163">
        <v>-4.7750344654718668E-2</v>
      </c>
      <c r="AG27" s="163">
        <v>0.2338306421703911</v>
      </c>
      <c r="AH27" s="484"/>
      <c r="AK27" s="513"/>
      <c r="AL27" s="513"/>
    </row>
    <row r="28" spans="1:38" s="522" customFormat="1" x14ac:dyDescent="0.2">
      <c r="A28" s="503" t="s">
        <v>204</v>
      </c>
      <c r="B28" s="502" t="s">
        <v>265</v>
      </c>
      <c r="C28" s="513" t="s">
        <v>526</v>
      </c>
      <c r="D28" s="484"/>
      <c r="E28" s="301">
        <v>0</v>
      </c>
      <c r="F28" s="512">
        <v>0</v>
      </c>
      <c r="G28" s="512">
        <v>0</v>
      </c>
      <c r="H28" s="301" t="s">
        <v>130</v>
      </c>
      <c r="I28" s="301" t="s">
        <v>130</v>
      </c>
      <c r="J28" s="301" t="s">
        <v>130</v>
      </c>
      <c r="K28" s="162">
        <v>0</v>
      </c>
      <c r="L28" s="162">
        <v>0</v>
      </c>
      <c r="M28" s="162">
        <v>0</v>
      </c>
      <c r="N28" s="484"/>
      <c r="O28" s="163">
        <v>0</v>
      </c>
      <c r="P28" s="164">
        <v>0</v>
      </c>
      <c r="Q28" s="289">
        <v>0</v>
      </c>
      <c r="R28" s="163" t="s">
        <v>130</v>
      </c>
      <c r="S28" s="164" t="s">
        <v>130</v>
      </c>
      <c r="T28" s="165" t="s">
        <v>130</v>
      </c>
      <c r="U28" s="293">
        <v>0</v>
      </c>
      <c r="V28" s="164">
        <v>0</v>
      </c>
      <c r="W28" s="165">
        <v>0</v>
      </c>
      <c r="X28" s="484"/>
      <c r="Y28" s="163">
        <v>0</v>
      </c>
      <c r="Z28" s="163">
        <v>0</v>
      </c>
      <c r="AA28" s="163">
        <v>0</v>
      </c>
      <c r="AB28" s="163" t="s">
        <v>130</v>
      </c>
      <c r="AC28" s="163" t="s">
        <v>130</v>
      </c>
      <c r="AD28" s="163" t="s">
        <v>130</v>
      </c>
      <c r="AE28" s="163">
        <v>0</v>
      </c>
      <c r="AF28" s="163">
        <v>0</v>
      </c>
      <c r="AG28" s="163">
        <v>0</v>
      </c>
      <c r="AH28" s="484"/>
      <c r="AK28" s="513"/>
      <c r="AL28" s="513"/>
    </row>
    <row r="29" spans="1:38" x14ac:dyDescent="0.2">
      <c r="A29" s="503" t="s">
        <v>204</v>
      </c>
      <c r="B29" s="502" t="s">
        <v>264</v>
      </c>
      <c r="C29" s="513" t="s">
        <v>527</v>
      </c>
      <c r="D29" s="484"/>
      <c r="E29" s="301">
        <v>5.4945054945054944E-2</v>
      </c>
      <c r="F29" s="512">
        <v>0.38461538461538464</v>
      </c>
      <c r="G29" s="512">
        <v>0.95499738356881214</v>
      </c>
      <c r="H29" s="301" t="s">
        <v>130</v>
      </c>
      <c r="I29" s="301" t="s">
        <v>130</v>
      </c>
      <c r="J29" s="301" t="s">
        <v>130</v>
      </c>
      <c r="K29" s="162">
        <v>5.4945054945054944E-2</v>
      </c>
      <c r="L29" s="162">
        <v>0.38461538461538464</v>
      </c>
      <c r="M29" s="162">
        <v>0.95499738356881214</v>
      </c>
      <c r="N29" s="484"/>
      <c r="O29" s="163">
        <v>0.13636363636363638</v>
      </c>
      <c r="P29" s="164">
        <v>0.81818181818181823</v>
      </c>
      <c r="Q29" s="289">
        <v>0.81818181818181823</v>
      </c>
      <c r="R29" s="163" t="s">
        <v>130</v>
      </c>
      <c r="S29" s="164" t="s">
        <v>130</v>
      </c>
      <c r="T29" s="165" t="s">
        <v>130</v>
      </c>
      <c r="U29" s="293">
        <v>0.13636363636363638</v>
      </c>
      <c r="V29" s="164">
        <v>0.81818181818181823</v>
      </c>
      <c r="W29" s="165">
        <v>0.81818181818181823</v>
      </c>
      <c r="X29" s="484"/>
      <c r="Y29" s="163">
        <v>-8.1418581418581437E-2</v>
      </c>
      <c r="Z29" s="163">
        <v>-0.4335664335664336</v>
      </c>
      <c r="AA29" s="163">
        <v>0.13681556538699391</v>
      </c>
      <c r="AB29" s="163" t="s">
        <v>130</v>
      </c>
      <c r="AC29" s="163" t="s">
        <v>130</v>
      </c>
      <c r="AD29" s="163" t="s">
        <v>130</v>
      </c>
      <c r="AE29" s="163">
        <v>-8.1418581418581437E-2</v>
      </c>
      <c r="AF29" s="163">
        <v>-0.4335664335664336</v>
      </c>
      <c r="AG29" s="163">
        <v>0.13681556538699391</v>
      </c>
      <c r="AH29" s="484"/>
      <c r="AK29" s="513"/>
      <c r="AL29" s="513"/>
    </row>
    <row r="30" spans="1:38" s="522" customFormat="1" x14ac:dyDescent="0.2">
      <c r="A30" s="503" t="s">
        <v>204</v>
      </c>
      <c r="B30" s="502" t="s">
        <v>220</v>
      </c>
      <c r="C30" s="513" t="s">
        <v>528</v>
      </c>
      <c r="D30" s="484"/>
      <c r="E30" s="301">
        <v>3.8095238095238099E-2</v>
      </c>
      <c r="F30" s="512">
        <v>0.15238095238095239</v>
      </c>
      <c r="G30" s="512">
        <v>0.37836086815678655</v>
      </c>
      <c r="H30" s="301" t="s">
        <v>130</v>
      </c>
      <c r="I30" s="301" t="s">
        <v>130</v>
      </c>
      <c r="J30" s="301" t="s">
        <v>130</v>
      </c>
      <c r="K30" s="162">
        <v>3.8095238095238099E-2</v>
      </c>
      <c r="L30" s="162">
        <v>0.15238095238095239</v>
      </c>
      <c r="M30" s="162">
        <v>0.37836086815678655</v>
      </c>
      <c r="N30" s="484"/>
      <c r="O30" s="163">
        <v>4.7095761381475663E-2</v>
      </c>
      <c r="P30" s="164">
        <v>1.1208791208791209</v>
      </c>
      <c r="Q30" s="289">
        <v>1.1208791208791209</v>
      </c>
      <c r="R30" s="163" t="s">
        <v>130</v>
      </c>
      <c r="S30" s="164" t="s">
        <v>130</v>
      </c>
      <c r="T30" s="165" t="s">
        <v>130</v>
      </c>
      <c r="U30" s="293">
        <v>4.7095761381475663E-2</v>
      </c>
      <c r="V30" s="164">
        <v>1.1208791208791209</v>
      </c>
      <c r="W30" s="165">
        <v>1.1208791208791209</v>
      </c>
      <c r="X30" s="484"/>
      <c r="Y30" s="163">
        <v>-9.0005232862375648E-3</v>
      </c>
      <c r="Z30" s="163">
        <v>-0.9684981684981685</v>
      </c>
      <c r="AA30" s="163">
        <v>-0.7425182527223344</v>
      </c>
      <c r="AB30" s="163" t="s">
        <v>130</v>
      </c>
      <c r="AC30" s="163" t="s">
        <v>130</v>
      </c>
      <c r="AD30" s="163" t="s">
        <v>130</v>
      </c>
      <c r="AE30" s="163">
        <v>-9.0005232862375648E-3</v>
      </c>
      <c r="AF30" s="163">
        <v>-0.9684981684981685</v>
      </c>
      <c r="AG30" s="163">
        <v>-0.7425182527223344</v>
      </c>
      <c r="AH30" s="484"/>
      <c r="AK30" s="513"/>
      <c r="AL30" s="513"/>
    </row>
    <row r="31" spans="1:38" x14ac:dyDescent="0.2">
      <c r="A31" s="503" t="s">
        <v>204</v>
      </c>
      <c r="B31" s="504" t="s">
        <v>260</v>
      </c>
      <c r="C31" s="513" t="s">
        <v>530</v>
      </c>
      <c r="D31" s="484"/>
      <c r="E31" s="301">
        <v>4.2016806722689072E-2</v>
      </c>
      <c r="F31" s="512">
        <v>0.21008403361344538</v>
      </c>
      <c r="G31" s="512">
        <v>0.52163722631909903</v>
      </c>
      <c r="H31" s="301" t="s">
        <v>130</v>
      </c>
      <c r="I31" s="301" t="s">
        <v>130</v>
      </c>
      <c r="J31" s="301" t="s">
        <v>130</v>
      </c>
      <c r="K31" s="162">
        <v>4.2016806722689072E-2</v>
      </c>
      <c r="L31" s="162">
        <v>0.21008403361344538</v>
      </c>
      <c r="M31" s="162">
        <v>0.52163722631909903</v>
      </c>
      <c r="N31" s="484"/>
      <c r="O31" s="163">
        <v>3.8216560509554139E-2</v>
      </c>
      <c r="P31" s="164">
        <v>0.63057324840764328</v>
      </c>
      <c r="Q31" s="289">
        <v>0.63057324840764328</v>
      </c>
      <c r="R31" s="163" t="s">
        <v>130</v>
      </c>
      <c r="S31" s="164" t="s">
        <v>130</v>
      </c>
      <c r="T31" s="165" t="s">
        <v>130</v>
      </c>
      <c r="U31" s="293">
        <v>3.8216560509554139E-2</v>
      </c>
      <c r="V31" s="164">
        <v>0.63057324840764328</v>
      </c>
      <c r="W31" s="165">
        <v>0.63057324840764328</v>
      </c>
      <c r="X31" s="484"/>
      <c r="Y31" s="163">
        <v>3.8002462131349335E-3</v>
      </c>
      <c r="Z31" s="163">
        <v>-0.42048921479419787</v>
      </c>
      <c r="AA31" s="163">
        <v>-0.10893602208854425</v>
      </c>
      <c r="AB31" s="163" t="s">
        <v>130</v>
      </c>
      <c r="AC31" s="163" t="s">
        <v>130</v>
      </c>
      <c r="AD31" s="163" t="s">
        <v>130</v>
      </c>
      <c r="AE31" s="163">
        <v>3.8002462131349335E-3</v>
      </c>
      <c r="AF31" s="163">
        <v>-0.42048921479419787</v>
      </c>
      <c r="AG31" s="163">
        <v>-0.10893602208854425</v>
      </c>
      <c r="AH31" s="484"/>
      <c r="AK31" s="513"/>
      <c r="AL31" s="513"/>
    </row>
    <row r="32" spans="1:38" x14ac:dyDescent="0.2">
      <c r="A32" s="503" t="s">
        <v>204</v>
      </c>
      <c r="B32" s="504" t="s">
        <v>233</v>
      </c>
      <c r="C32" s="513" t="s">
        <v>532</v>
      </c>
      <c r="D32" s="484"/>
      <c r="E32" s="301">
        <v>5.4151624548736461E-2</v>
      </c>
      <c r="F32" s="512">
        <v>0.57761732851985559</v>
      </c>
      <c r="G32" s="512">
        <v>1.4342198973452196</v>
      </c>
      <c r="H32" s="301">
        <v>0</v>
      </c>
      <c r="I32" s="301">
        <v>0</v>
      </c>
      <c r="J32" s="301">
        <v>0</v>
      </c>
      <c r="K32" s="162">
        <v>4.0540540540540543E-2</v>
      </c>
      <c r="L32" s="162">
        <v>0.43243243243243246</v>
      </c>
      <c r="M32" s="162">
        <v>1.0737267880125023</v>
      </c>
      <c r="N32" s="484"/>
      <c r="O32" s="163">
        <v>0.1001669449081803</v>
      </c>
      <c r="P32" s="164">
        <v>1.2821368948247078</v>
      </c>
      <c r="Q32" s="289">
        <v>1.2821368948247078</v>
      </c>
      <c r="R32" s="163">
        <v>0</v>
      </c>
      <c r="S32" s="164">
        <v>0.11267605633802817</v>
      </c>
      <c r="T32" s="165">
        <v>0.11267605633802817</v>
      </c>
      <c r="U32" s="293">
        <v>7.389162561576354E-2</v>
      </c>
      <c r="V32" s="164">
        <v>0.97536945812807874</v>
      </c>
      <c r="W32" s="165">
        <v>0.97536945812807874</v>
      </c>
      <c r="X32" s="484"/>
      <c r="Y32" s="163">
        <v>-4.6015320359443841E-2</v>
      </c>
      <c r="Z32" s="163">
        <v>-0.70451956630485224</v>
      </c>
      <c r="AA32" s="163">
        <v>0.15208300252051177</v>
      </c>
      <c r="AB32" s="163">
        <v>0</v>
      </c>
      <c r="AC32" s="163">
        <v>-0.11267605633802817</v>
      </c>
      <c r="AD32" s="163">
        <v>-0.11267605633802817</v>
      </c>
      <c r="AE32" s="163">
        <v>-3.3351085075222997E-2</v>
      </c>
      <c r="AF32" s="163">
        <v>-0.54293702569564628</v>
      </c>
      <c r="AG32" s="163">
        <v>9.8357329884423583E-2</v>
      </c>
      <c r="AH32" s="484"/>
      <c r="AK32" s="513"/>
      <c r="AL32" s="513"/>
    </row>
    <row r="33" spans="1:38" x14ac:dyDescent="0.2">
      <c r="A33" s="503" t="s">
        <v>204</v>
      </c>
      <c r="B33" s="502" t="s">
        <v>231</v>
      </c>
      <c r="C33" s="513" t="s">
        <v>537</v>
      </c>
      <c r="D33" s="484"/>
      <c r="E33" s="301">
        <v>4.0540540540540543E-2</v>
      </c>
      <c r="F33" s="512">
        <v>0.35135135135135137</v>
      </c>
      <c r="G33" s="512">
        <v>0.87240301526015807</v>
      </c>
      <c r="H33" s="301">
        <v>7.575757575757576E-2</v>
      </c>
      <c r="I33" s="301">
        <v>0.15151515151515152</v>
      </c>
      <c r="J33" s="301">
        <v>0.37621109049680479</v>
      </c>
      <c r="K33" s="162">
        <v>4.5871559633027519E-2</v>
      </c>
      <c r="L33" s="162">
        <v>0.32110091743119262</v>
      </c>
      <c r="M33" s="162">
        <v>0.79729139362166868</v>
      </c>
      <c r="N33" s="484"/>
      <c r="O33" s="163">
        <v>7.9207920792079209E-2</v>
      </c>
      <c r="P33" s="164">
        <v>0.87128712871287128</v>
      </c>
      <c r="Q33" s="289">
        <v>0.87128712871287128</v>
      </c>
      <c r="R33" s="163">
        <v>0</v>
      </c>
      <c r="S33" s="164">
        <v>0.21052631578947367</v>
      </c>
      <c r="T33" s="165">
        <v>0.21052631578947367</v>
      </c>
      <c r="U33" s="293">
        <v>6.6666666666666666E-2</v>
      </c>
      <c r="V33" s="164">
        <v>0.76666666666666672</v>
      </c>
      <c r="W33" s="165">
        <v>0.76666666666666672</v>
      </c>
      <c r="X33" s="484"/>
      <c r="Y33" s="163">
        <v>-3.8667380251538666E-2</v>
      </c>
      <c r="Z33" s="163">
        <v>-0.51993577736151986</v>
      </c>
      <c r="AA33" s="163">
        <v>1.1158865472867818E-3</v>
      </c>
      <c r="AB33" s="163">
        <v>7.575757575757576E-2</v>
      </c>
      <c r="AC33" s="163">
        <v>-5.9011164274322153E-2</v>
      </c>
      <c r="AD33" s="163">
        <v>0.16568477470733112</v>
      </c>
      <c r="AE33" s="163">
        <v>-2.0795107033639147E-2</v>
      </c>
      <c r="AF33" s="163">
        <v>-0.4455657492354741</v>
      </c>
      <c r="AG33" s="163">
        <v>3.0624726955001957E-2</v>
      </c>
      <c r="AH33" s="484"/>
      <c r="AK33" s="513"/>
      <c r="AL33" s="513"/>
    </row>
    <row r="34" spans="1:38" x14ac:dyDescent="0.2">
      <c r="A34" s="503" t="s">
        <v>204</v>
      </c>
      <c r="B34" s="504" t="s">
        <v>241</v>
      </c>
      <c r="C34" s="513" t="s">
        <v>552</v>
      </c>
      <c r="D34" s="484"/>
      <c r="E34" s="301">
        <v>0</v>
      </c>
      <c r="F34" s="512">
        <v>0</v>
      </c>
      <c r="G34" s="512">
        <v>0</v>
      </c>
      <c r="H34" s="301">
        <v>3.7313432835820892E-2</v>
      </c>
      <c r="I34" s="301">
        <v>0.41044776119402981</v>
      </c>
      <c r="J34" s="301">
        <v>1.0191389988831352</v>
      </c>
      <c r="K34" s="162">
        <v>3.6764705882352942E-2</v>
      </c>
      <c r="L34" s="162">
        <v>0.40441176470588236</v>
      </c>
      <c r="M34" s="162">
        <v>1.0041516606642658</v>
      </c>
      <c r="N34" s="484"/>
      <c r="O34" s="163" t="s">
        <v>130</v>
      </c>
      <c r="P34" s="164" t="s">
        <v>130</v>
      </c>
      <c r="Q34" s="289" t="s">
        <v>130</v>
      </c>
      <c r="R34" s="163">
        <v>0</v>
      </c>
      <c r="S34" s="164">
        <v>1.0326409495548963</v>
      </c>
      <c r="T34" s="165">
        <v>1.0326409495548963</v>
      </c>
      <c r="U34" s="293">
        <v>0</v>
      </c>
      <c r="V34" s="164">
        <v>1.0326409495548963</v>
      </c>
      <c r="W34" s="165">
        <v>1.0326409495548963</v>
      </c>
      <c r="X34" s="484"/>
      <c r="Y34" s="163" t="s">
        <v>130</v>
      </c>
      <c r="Z34" s="163" t="s">
        <v>130</v>
      </c>
      <c r="AA34" s="163" t="s">
        <v>130</v>
      </c>
      <c r="AB34" s="163">
        <v>3.7313432835820892E-2</v>
      </c>
      <c r="AC34" s="163">
        <v>-0.62219318836086646</v>
      </c>
      <c r="AD34" s="163">
        <v>-1.3501950671761076E-2</v>
      </c>
      <c r="AE34" s="163">
        <v>3.6764705882352942E-2</v>
      </c>
      <c r="AF34" s="163">
        <v>-0.62822918484901391</v>
      </c>
      <c r="AG34" s="163">
        <v>-2.8489288890630515E-2</v>
      </c>
      <c r="AH34" s="484"/>
      <c r="AK34" s="513"/>
      <c r="AL34" s="513"/>
    </row>
    <row r="35" spans="1:38" ht="12.75" customHeight="1" thickBot="1" x14ac:dyDescent="0.25">
      <c r="A35" s="302" t="s">
        <v>6</v>
      </c>
      <c r="B35" s="500"/>
      <c r="C35" s="500"/>
      <c r="D35" s="484"/>
      <c r="E35" s="520">
        <v>3.6727456940222898E-2</v>
      </c>
      <c r="F35" s="520">
        <v>0.28875379939209728</v>
      </c>
      <c r="G35" s="520">
        <v>0.71697371957901701</v>
      </c>
      <c r="H35" s="520">
        <v>3.259452411994785E-2</v>
      </c>
      <c r="I35" s="520">
        <v>0.24119947848761408</v>
      </c>
      <c r="J35" s="520">
        <v>0.59889666427196686</v>
      </c>
      <c r="K35" s="520">
        <v>3.6016949152542374E-2</v>
      </c>
      <c r="L35" s="520">
        <v>0.28072033898305082</v>
      </c>
      <c r="M35" s="520">
        <v>0.69702669203274525</v>
      </c>
      <c r="N35" s="484"/>
      <c r="O35" s="169">
        <v>6.9284064665127015E-2</v>
      </c>
      <c r="P35" s="169">
        <v>0.83140877598152418</v>
      </c>
      <c r="Q35" s="521">
        <v>0.83140877598152418</v>
      </c>
      <c r="R35" s="166">
        <v>1.2841091492776886E-2</v>
      </c>
      <c r="S35" s="169">
        <v>0.3852327447833066</v>
      </c>
      <c r="T35" s="297">
        <v>0.3852327447833066</v>
      </c>
      <c r="U35" s="169">
        <v>5.9931656882502404E-2</v>
      </c>
      <c r="V35" s="169">
        <v>0.76018575308858316</v>
      </c>
      <c r="W35" s="169">
        <v>0.76018575308858316</v>
      </c>
      <c r="X35" s="484"/>
      <c r="Y35" s="166">
        <v>-3.2556607724904117E-2</v>
      </c>
      <c r="Z35" s="167">
        <v>-0.54265497658942685</v>
      </c>
      <c r="AA35" s="168">
        <v>-0.11443505640250717</v>
      </c>
      <c r="AB35" s="166">
        <v>1.9753432627170962E-2</v>
      </c>
      <c r="AC35" s="167">
        <v>-0.14403326629569252</v>
      </c>
      <c r="AD35" s="168">
        <v>0.21366391948866026</v>
      </c>
      <c r="AE35" s="169">
        <v>-2.391470772996003E-2</v>
      </c>
      <c r="AF35" s="167">
        <v>-0.47946541410553234</v>
      </c>
      <c r="AG35" s="170">
        <v>-6.3159061055837906E-2</v>
      </c>
      <c r="AH35" s="484"/>
      <c r="AK35" s="513"/>
      <c r="AL35" s="513"/>
    </row>
    <row r="36" spans="1:38" x14ac:dyDescent="0.2">
      <c r="A36" s="501" t="s">
        <v>208</v>
      </c>
      <c r="B36" s="504" t="s">
        <v>230</v>
      </c>
      <c r="C36" s="513" t="s">
        <v>512</v>
      </c>
      <c r="D36" s="484"/>
      <c r="E36" s="301">
        <v>8.291873963515755E-3</v>
      </c>
      <c r="F36" s="512">
        <v>0.30679933665008291</v>
      </c>
      <c r="G36" s="512">
        <v>0.76178066583183845</v>
      </c>
      <c r="H36" s="301">
        <v>0</v>
      </c>
      <c r="I36" s="301">
        <v>0</v>
      </c>
      <c r="J36" s="301">
        <v>0</v>
      </c>
      <c r="K36" s="162">
        <v>8.2508250825082501E-3</v>
      </c>
      <c r="L36" s="162">
        <v>0.30528052805280526</v>
      </c>
      <c r="M36" s="162">
        <v>0.75800947441682931</v>
      </c>
      <c r="N36" s="484"/>
      <c r="O36" s="163">
        <v>9.0225563909774445E-2</v>
      </c>
      <c r="P36" s="164">
        <v>0.65864661654135337</v>
      </c>
      <c r="Q36" s="289">
        <v>0.65864661654135337</v>
      </c>
      <c r="R36" s="163">
        <v>0</v>
      </c>
      <c r="S36" s="164">
        <v>0</v>
      </c>
      <c r="T36" s="165">
        <v>0</v>
      </c>
      <c r="U36" s="293">
        <v>8.9418777943368111E-2</v>
      </c>
      <c r="V36" s="164">
        <v>0.65275707898658719</v>
      </c>
      <c r="W36" s="165">
        <v>0.65275707898658719</v>
      </c>
      <c r="X36" s="484"/>
      <c r="Y36" s="163">
        <v>-8.1933689946258687E-2</v>
      </c>
      <c r="Z36" s="163">
        <v>-0.35184727989127046</v>
      </c>
      <c r="AA36" s="163">
        <v>0.10313404929048509</v>
      </c>
      <c r="AB36" s="163">
        <v>0</v>
      </c>
      <c r="AC36" s="163">
        <v>0</v>
      </c>
      <c r="AD36" s="163">
        <v>0</v>
      </c>
      <c r="AE36" s="163">
        <v>-8.1167952860859857E-2</v>
      </c>
      <c r="AF36" s="163">
        <v>-0.34747655093378194</v>
      </c>
      <c r="AG36" s="163">
        <v>0.10525239543024212</v>
      </c>
      <c r="AH36" s="484"/>
      <c r="AK36" s="513"/>
      <c r="AL36" s="513"/>
    </row>
    <row r="37" spans="1:38" s="522" customFormat="1" x14ac:dyDescent="0.2">
      <c r="A37" s="497" t="s">
        <v>208</v>
      </c>
      <c r="B37" s="502" t="s">
        <v>228</v>
      </c>
      <c r="C37" s="513" t="s">
        <v>513</v>
      </c>
      <c r="D37" s="484"/>
      <c r="E37" s="301">
        <v>0.1079136690647482</v>
      </c>
      <c r="F37" s="512">
        <v>0.39568345323741005</v>
      </c>
      <c r="G37" s="512">
        <v>0.98247932266431748</v>
      </c>
      <c r="H37" s="301">
        <v>0.10638297872340426</v>
      </c>
      <c r="I37" s="301">
        <v>0.31914893617021273</v>
      </c>
      <c r="J37" s="301">
        <v>0.79244463742943971</v>
      </c>
      <c r="K37" s="162">
        <v>0.10773130544993662</v>
      </c>
      <c r="L37" s="162">
        <v>0.38656527249683142</v>
      </c>
      <c r="M37" s="162">
        <v>0.95983894191390107</v>
      </c>
      <c r="N37" s="484"/>
      <c r="O37" s="163">
        <v>7.1090047393364927E-2</v>
      </c>
      <c r="P37" s="164">
        <v>0.86729857819905221</v>
      </c>
      <c r="Q37" s="289">
        <v>0.86729857819905221</v>
      </c>
      <c r="R37" s="163">
        <v>4.7244094488188976E-2</v>
      </c>
      <c r="S37" s="164">
        <v>0.70866141732283461</v>
      </c>
      <c r="T37" s="165">
        <v>0.70866141732283461</v>
      </c>
      <c r="U37" s="293">
        <v>6.7971163748712662E-2</v>
      </c>
      <c r="V37" s="164">
        <v>0.84654994850669407</v>
      </c>
      <c r="W37" s="165">
        <v>0.84654994850669407</v>
      </c>
      <c r="X37" s="484"/>
      <c r="Y37" s="163">
        <v>3.6823621671383269E-2</v>
      </c>
      <c r="Z37" s="163">
        <v>-0.47161512496164215</v>
      </c>
      <c r="AA37" s="163">
        <v>0.11518074446526527</v>
      </c>
      <c r="AB37" s="163">
        <v>5.913888423521528E-2</v>
      </c>
      <c r="AC37" s="163">
        <v>-0.38951248115262188</v>
      </c>
      <c r="AD37" s="163">
        <v>8.3783220106605105E-2</v>
      </c>
      <c r="AE37" s="163">
        <v>3.9760141701223953E-2</v>
      </c>
      <c r="AF37" s="163">
        <v>-0.45998467600986265</v>
      </c>
      <c r="AG37" s="163">
        <v>0.11328899340720699</v>
      </c>
      <c r="AH37" s="484"/>
      <c r="AK37" s="513"/>
      <c r="AL37" s="513"/>
    </row>
    <row r="38" spans="1:38" x14ac:dyDescent="0.2">
      <c r="A38" s="503" t="s">
        <v>208</v>
      </c>
      <c r="B38" s="504" t="s">
        <v>224</v>
      </c>
      <c r="C38" s="513" t="s">
        <v>514</v>
      </c>
      <c r="D38" s="484"/>
      <c r="E38" s="301">
        <v>7.4906367041198504E-2</v>
      </c>
      <c r="F38" s="512">
        <v>0.34644194756554308</v>
      </c>
      <c r="G38" s="512">
        <v>0.86021299905730086</v>
      </c>
      <c r="H38" s="301">
        <v>0</v>
      </c>
      <c r="I38" s="301">
        <v>0.42682926829268297</v>
      </c>
      <c r="J38" s="301">
        <v>1.0598141695702672</v>
      </c>
      <c r="K38" s="162">
        <v>6.9565217391304349E-2</v>
      </c>
      <c r="L38" s="162">
        <v>0.35217391304347828</v>
      </c>
      <c r="M38" s="162">
        <v>0.87444543034605149</v>
      </c>
      <c r="N38" s="484"/>
      <c r="O38" s="163">
        <v>0.10783608914450035</v>
      </c>
      <c r="P38" s="164">
        <v>1.2638389647735442</v>
      </c>
      <c r="Q38" s="289">
        <v>1.2638389647735442</v>
      </c>
      <c r="R38" s="163">
        <v>0</v>
      </c>
      <c r="S38" s="164">
        <v>0.23414634146341465</v>
      </c>
      <c r="T38" s="165">
        <v>0.23414634146341465</v>
      </c>
      <c r="U38" s="293">
        <v>0.10043521928356211</v>
      </c>
      <c r="V38" s="164">
        <v>1.1931704050887177</v>
      </c>
      <c r="W38" s="165">
        <v>1.1931704050887177</v>
      </c>
      <c r="X38" s="484"/>
      <c r="Y38" s="163">
        <v>-3.2929722103301848E-2</v>
      </c>
      <c r="Z38" s="163">
        <v>-0.91739701720800104</v>
      </c>
      <c r="AA38" s="163">
        <v>-0.40362596571624332</v>
      </c>
      <c r="AB38" s="163">
        <v>0</v>
      </c>
      <c r="AC38" s="163">
        <v>0.19268292682926833</v>
      </c>
      <c r="AD38" s="163">
        <v>0.82566782810685257</v>
      </c>
      <c r="AE38" s="163">
        <v>-3.0870001892257762E-2</v>
      </c>
      <c r="AF38" s="163">
        <v>-0.84099649204523952</v>
      </c>
      <c r="AG38" s="163">
        <v>-0.31872497474266626</v>
      </c>
      <c r="AH38" s="484"/>
      <c r="AK38" s="513"/>
      <c r="AL38" s="513"/>
    </row>
    <row r="39" spans="1:38" x14ac:dyDescent="0.2">
      <c r="A39" s="503" t="s">
        <v>208</v>
      </c>
      <c r="B39" s="504" t="s">
        <v>263</v>
      </c>
      <c r="C39" s="513" t="s">
        <v>352</v>
      </c>
      <c r="D39" s="484"/>
      <c r="E39" s="301" t="s">
        <v>130</v>
      </c>
      <c r="F39" s="512" t="s">
        <v>130</v>
      </c>
      <c r="G39" s="512" t="s">
        <v>130</v>
      </c>
      <c r="H39" s="301">
        <v>0</v>
      </c>
      <c r="I39" s="301">
        <v>0.3125</v>
      </c>
      <c r="J39" s="301">
        <v>0.77593537414965985</v>
      </c>
      <c r="K39" s="162">
        <v>0</v>
      </c>
      <c r="L39" s="162">
        <v>0.3125</v>
      </c>
      <c r="M39" s="162">
        <v>0.77593537414965985</v>
      </c>
      <c r="N39" s="484"/>
      <c r="O39" s="163" t="s">
        <v>130</v>
      </c>
      <c r="P39" s="164" t="s">
        <v>130</v>
      </c>
      <c r="Q39" s="289" t="s">
        <v>130</v>
      </c>
      <c r="R39" s="163">
        <v>0.16</v>
      </c>
      <c r="S39" s="164">
        <v>0.48</v>
      </c>
      <c r="T39" s="165">
        <v>0.48</v>
      </c>
      <c r="U39" s="293">
        <v>0.16</v>
      </c>
      <c r="V39" s="164">
        <v>0.48</v>
      </c>
      <c r="W39" s="165">
        <v>0.48</v>
      </c>
      <c r="X39" s="484"/>
      <c r="Y39" s="163" t="s">
        <v>130</v>
      </c>
      <c r="Z39" s="163" t="s">
        <v>130</v>
      </c>
      <c r="AA39" s="163" t="s">
        <v>130</v>
      </c>
      <c r="AB39" s="163">
        <v>-0.16</v>
      </c>
      <c r="AC39" s="163">
        <v>-0.16749999999999998</v>
      </c>
      <c r="AD39" s="163">
        <v>0.29593537414965987</v>
      </c>
      <c r="AE39" s="163">
        <v>-0.16</v>
      </c>
      <c r="AF39" s="163">
        <v>-0.16749999999999998</v>
      </c>
      <c r="AG39" s="163">
        <v>0.29593537414965987</v>
      </c>
      <c r="AH39" s="484"/>
      <c r="AK39" s="513"/>
      <c r="AL39" s="513"/>
    </row>
    <row r="40" spans="1:38" s="522" customFormat="1" x14ac:dyDescent="0.2">
      <c r="A40" s="497" t="s">
        <v>208</v>
      </c>
      <c r="B40" s="502" t="s">
        <v>266</v>
      </c>
      <c r="C40" s="513" t="s">
        <v>517</v>
      </c>
      <c r="D40" s="495"/>
      <c r="E40" s="301" t="s">
        <v>130</v>
      </c>
      <c r="F40" s="512" t="s">
        <v>130</v>
      </c>
      <c r="G40" s="512" t="s">
        <v>130</v>
      </c>
      <c r="H40" s="301">
        <v>3.1055900621118009E-2</v>
      </c>
      <c r="I40" s="301">
        <v>9.3167701863354033E-2</v>
      </c>
      <c r="J40" s="301">
        <v>0.23133476993281782</v>
      </c>
      <c r="K40" s="162">
        <v>3.1055900621118009E-2</v>
      </c>
      <c r="L40" s="162">
        <v>9.3167701863354033E-2</v>
      </c>
      <c r="M40" s="162">
        <v>0.23133476993281782</v>
      </c>
      <c r="N40" s="495"/>
      <c r="O40" s="163" t="s">
        <v>130</v>
      </c>
      <c r="P40" s="164" t="s">
        <v>130</v>
      </c>
      <c r="Q40" s="289" t="s">
        <v>130</v>
      </c>
      <c r="R40" s="163">
        <v>0</v>
      </c>
      <c r="S40" s="164">
        <v>2.9197080291970802E-2</v>
      </c>
      <c r="T40" s="165">
        <v>2.9197080291970802E-2</v>
      </c>
      <c r="U40" s="293">
        <v>0</v>
      </c>
      <c r="V40" s="164">
        <v>2.9197080291970802E-2</v>
      </c>
      <c r="W40" s="165">
        <v>2.9197080291970802E-2</v>
      </c>
      <c r="X40" s="495"/>
      <c r="Y40" s="163" t="s">
        <v>130</v>
      </c>
      <c r="Z40" s="163" t="s">
        <v>130</v>
      </c>
      <c r="AA40" s="163" t="s">
        <v>130</v>
      </c>
      <c r="AB40" s="163">
        <v>3.1055900621118009E-2</v>
      </c>
      <c r="AC40" s="163">
        <v>6.3970621571383224E-2</v>
      </c>
      <c r="AD40" s="163">
        <v>0.20213768964084702</v>
      </c>
      <c r="AE40" s="163">
        <v>3.1055900621118009E-2</v>
      </c>
      <c r="AF40" s="163">
        <v>6.3970621571383224E-2</v>
      </c>
      <c r="AG40" s="163">
        <v>0.20213768964084702</v>
      </c>
      <c r="AH40" s="495"/>
      <c r="AK40" s="513"/>
      <c r="AL40" s="513"/>
    </row>
    <row r="41" spans="1:38" x14ac:dyDescent="0.2">
      <c r="A41" s="503" t="s">
        <v>208</v>
      </c>
      <c r="B41" s="504" t="s">
        <v>259</v>
      </c>
      <c r="C41" s="513" t="s">
        <v>520</v>
      </c>
      <c r="D41" s="484"/>
      <c r="E41" s="301" t="s">
        <v>130</v>
      </c>
      <c r="F41" s="512" t="s">
        <v>130</v>
      </c>
      <c r="G41" s="512" t="s">
        <v>130</v>
      </c>
      <c r="H41" s="301">
        <v>0</v>
      </c>
      <c r="I41" s="301">
        <v>0.28037383177570097</v>
      </c>
      <c r="J41" s="301">
        <v>0.69616631699408738</v>
      </c>
      <c r="K41" s="162">
        <v>0</v>
      </c>
      <c r="L41" s="162">
        <v>0.28037383177570097</v>
      </c>
      <c r="M41" s="162">
        <v>0.69616631699408738</v>
      </c>
      <c r="N41" s="484"/>
      <c r="O41" s="163" t="s">
        <v>130</v>
      </c>
      <c r="P41" s="164" t="s">
        <v>130</v>
      </c>
      <c r="Q41" s="289" t="s">
        <v>130</v>
      </c>
      <c r="R41" s="163">
        <v>9.2307692307692299E-2</v>
      </c>
      <c r="S41" s="164">
        <v>1.0153846153846153</v>
      </c>
      <c r="T41" s="165">
        <v>1.0153846153846153</v>
      </c>
      <c r="U41" s="293">
        <v>9.2307692307692299E-2</v>
      </c>
      <c r="V41" s="164">
        <v>1.0153846153846153</v>
      </c>
      <c r="W41" s="165">
        <v>1.0153846153846153</v>
      </c>
      <c r="X41" s="484"/>
      <c r="Y41" s="163" t="s">
        <v>130</v>
      </c>
      <c r="Z41" s="163" t="s">
        <v>130</v>
      </c>
      <c r="AA41" s="163" t="s">
        <v>130</v>
      </c>
      <c r="AB41" s="163">
        <v>-9.2307692307692299E-2</v>
      </c>
      <c r="AC41" s="163">
        <v>-0.73501078360891436</v>
      </c>
      <c r="AD41" s="163">
        <v>-0.31921829839052795</v>
      </c>
      <c r="AE41" s="163">
        <v>-9.2307692307692299E-2</v>
      </c>
      <c r="AF41" s="163">
        <v>-0.73501078360891436</v>
      </c>
      <c r="AG41" s="163">
        <v>-0.31921829839052795</v>
      </c>
      <c r="AH41" s="484"/>
      <c r="AK41" s="513"/>
      <c r="AL41" s="513"/>
    </row>
    <row r="42" spans="1:38" x14ac:dyDescent="0.2">
      <c r="A42" s="503" t="s">
        <v>208</v>
      </c>
      <c r="B42" s="504" t="s">
        <v>225</v>
      </c>
      <c r="C42" s="513" t="s">
        <v>524</v>
      </c>
      <c r="D42" s="484"/>
      <c r="E42" s="301">
        <v>2.6455026455026457E-2</v>
      </c>
      <c r="F42" s="512">
        <v>0.19841269841269843</v>
      </c>
      <c r="G42" s="512">
        <v>0.49265738041248247</v>
      </c>
      <c r="H42" s="301" t="s">
        <v>130</v>
      </c>
      <c r="I42" s="301" t="s">
        <v>130</v>
      </c>
      <c r="J42" s="301" t="s">
        <v>130</v>
      </c>
      <c r="K42" s="162">
        <v>2.6455026455026457E-2</v>
      </c>
      <c r="L42" s="162">
        <v>0.19841269841269843</v>
      </c>
      <c r="M42" s="162">
        <v>0.49265738041248247</v>
      </c>
      <c r="N42" s="484"/>
      <c r="O42" s="163">
        <v>7.0450097847358117E-2</v>
      </c>
      <c r="P42" s="164">
        <v>0.56360078277886494</v>
      </c>
      <c r="Q42" s="289">
        <v>0.56360078277886494</v>
      </c>
      <c r="R42" s="163" t="s">
        <v>130</v>
      </c>
      <c r="S42" s="164" t="s">
        <v>130</v>
      </c>
      <c r="T42" s="165" t="s">
        <v>130</v>
      </c>
      <c r="U42" s="293">
        <v>7.0450097847358117E-2</v>
      </c>
      <c r="V42" s="164">
        <v>0.56360078277886494</v>
      </c>
      <c r="W42" s="165">
        <v>0.56360078277886494</v>
      </c>
      <c r="X42" s="484"/>
      <c r="Y42" s="163">
        <v>-4.3995071392331664E-2</v>
      </c>
      <c r="Z42" s="163">
        <v>-0.36518808436616651</v>
      </c>
      <c r="AA42" s="163">
        <v>-7.0943402366382469E-2</v>
      </c>
      <c r="AB42" s="163" t="s">
        <v>130</v>
      </c>
      <c r="AC42" s="163" t="s">
        <v>130</v>
      </c>
      <c r="AD42" s="163" t="s">
        <v>130</v>
      </c>
      <c r="AE42" s="163">
        <v>-4.3995071392331664E-2</v>
      </c>
      <c r="AF42" s="163">
        <v>-0.36518808436616651</v>
      </c>
      <c r="AG42" s="163">
        <v>-7.0943402366382469E-2</v>
      </c>
      <c r="AH42" s="484"/>
      <c r="AK42" s="513"/>
      <c r="AL42" s="513"/>
    </row>
    <row r="43" spans="1:38" s="522" customFormat="1" x14ac:dyDescent="0.2">
      <c r="A43" s="497" t="s">
        <v>208</v>
      </c>
      <c r="B43" s="502" t="s">
        <v>229</v>
      </c>
      <c r="C43" s="513" t="s">
        <v>529</v>
      </c>
      <c r="D43" s="495"/>
      <c r="E43" s="301">
        <v>1.5151515151515152E-2</v>
      </c>
      <c r="F43" s="512">
        <v>0.19696969696969696</v>
      </c>
      <c r="G43" s="512">
        <v>0.48907441764584619</v>
      </c>
      <c r="H43" s="301" t="s">
        <v>130</v>
      </c>
      <c r="I43" s="301" t="s">
        <v>130</v>
      </c>
      <c r="J43" s="301" t="s">
        <v>130</v>
      </c>
      <c r="K43" s="162">
        <v>1.5151515151515152E-2</v>
      </c>
      <c r="L43" s="162">
        <v>0.19696969696969696</v>
      </c>
      <c r="M43" s="162">
        <v>0.48907441764584619</v>
      </c>
      <c r="N43" s="495"/>
      <c r="O43" s="163">
        <v>2.8605482717520857E-2</v>
      </c>
      <c r="P43" s="164">
        <v>0.4147794994040524</v>
      </c>
      <c r="Q43" s="289">
        <v>0.4147794994040524</v>
      </c>
      <c r="R43" s="163" t="s">
        <v>130</v>
      </c>
      <c r="S43" s="164" t="s">
        <v>130</v>
      </c>
      <c r="T43" s="165" t="s">
        <v>130</v>
      </c>
      <c r="U43" s="293">
        <v>2.8605482717520857E-2</v>
      </c>
      <c r="V43" s="164">
        <v>0.4147794994040524</v>
      </c>
      <c r="W43" s="165">
        <v>0.4147794994040524</v>
      </c>
      <c r="X43" s="495"/>
      <c r="Y43" s="163">
        <v>-1.3453967566005705E-2</v>
      </c>
      <c r="Z43" s="163">
        <v>-0.21780980243435544</v>
      </c>
      <c r="AA43" s="163">
        <v>7.4294918241793795E-2</v>
      </c>
      <c r="AB43" s="163" t="s">
        <v>130</v>
      </c>
      <c r="AC43" s="163" t="s">
        <v>130</v>
      </c>
      <c r="AD43" s="163" t="s">
        <v>130</v>
      </c>
      <c r="AE43" s="163">
        <v>-1.3453967566005705E-2</v>
      </c>
      <c r="AF43" s="163">
        <v>-0.21780980243435544</v>
      </c>
      <c r="AG43" s="163">
        <v>7.4294918241793795E-2</v>
      </c>
      <c r="AH43" s="495"/>
      <c r="AK43" s="513"/>
      <c r="AL43" s="513"/>
    </row>
    <row r="44" spans="1:38" x14ac:dyDescent="0.2">
      <c r="A44" s="503" t="s">
        <v>208</v>
      </c>
      <c r="B44" s="504" t="s">
        <v>226</v>
      </c>
      <c r="C44" s="513" t="s">
        <v>538</v>
      </c>
      <c r="D44" s="484"/>
      <c r="E44" s="301">
        <v>3.2573289902280131E-2</v>
      </c>
      <c r="F44" s="512">
        <v>0.39087947882736157</v>
      </c>
      <c r="G44" s="512">
        <v>0.97055108688426506</v>
      </c>
      <c r="H44" s="301">
        <v>0</v>
      </c>
      <c r="I44" s="301">
        <v>0</v>
      </c>
      <c r="J44" s="301">
        <v>0</v>
      </c>
      <c r="K44" s="162">
        <v>3.2051282051282055E-2</v>
      </c>
      <c r="L44" s="162">
        <v>0.38461538461538464</v>
      </c>
      <c r="M44" s="162">
        <v>0.95499738356881214</v>
      </c>
      <c r="N44" s="484"/>
      <c r="O44" s="163">
        <v>0</v>
      </c>
      <c r="P44" s="164">
        <v>0.92682926829268297</v>
      </c>
      <c r="Q44" s="289">
        <v>0.92682926829268297</v>
      </c>
      <c r="R44" s="163">
        <v>0</v>
      </c>
      <c r="S44" s="164">
        <v>0</v>
      </c>
      <c r="T44" s="165">
        <v>0</v>
      </c>
      <c r="U44" s="293">
        <v>0</v>
      </c>
      <c r="V44" s="164">
        <v>0.92432432432432432</v>
      </c>
      <c r="W44" s="165">
        <v>0.92432432432432432</v>
      </c>
      <c r="X44" s="484"/>
      <c r="Y44" s="163">
        <v>3.2573289902280131E-2</v>
      </c>
      <c r="Z44" s="163">
        <v>-0.53594978946532135</v>
      </c>
      <c r="AA44" s="163">
        <v>4.3721818591582085E-2</v>
      </c>
      <c r="AB44" s="163">
        <v>0</v>
      </c>
      <c r="AC44" s="163">
        <v>0</v>
      </c>
      <c r="AD44" s="163">
        <v>0</v>
      </c>
      <c r="AE44" s="163">
        <v>3.2051282051282055E-2</v>
      </c>
      <c r="AF44" s="163">
        <v>-0.53970893970893963</v>
      </c>
      <c r="AG44" s="163">
        <v>3.0673059244487821E-2</v>
      </c>
      <c r="AH44" s="484"/>
      <c r="AK44" s="513"/>
      <c r="AL44" s="513"/>
    </row>
    <row r="45" spans="1:38" x14ac:dyDescent="0.2">
      <c r="A45" s="497" t="s">
        <v>208</v>
      </c>
      <c r="B45" s="504" t="s">
        <v>222</v>
      </c>
      <c r="C45" s="513" t="s">
        <v>539</v>
      </c>
      <c r="D45" s="484"/>
      <c r="E45" s="301">
        <v>1.2594458438287152E-2</v>
      </c>
      <c r="F45" s="512">
        <v>0.39042821158690172</v>
      </c>
      <c r="G45" s="512">
        <v>0.96943059339604842</v>
      </c>
      <c r="H45" s="301">
        <v>0.05</v>
      </c>
      <c r="I45" s="301">
        <v>0.15</v>
      </c>
      <c r="J45" s="301">
        <v>0.3724489795918367</v>
      </c>
      <c r="K45" s="162">
        <v>2.0120724346076459E-2</v>
      </c>
      <c r="L45" s="162">
        <v>0.34205231388329976</v>
      </c>
      <c r="M45" s="162">
        <v>0.84931356848574424</v>
      </c>
      <c r="N45" s="484"/>
      <c r="O45" s="163">
        <v>7.0766638584667224E-2</v>
      </c>
      <c r="P45" s="164">
        <v>0.82898062342038747</v>
      </c>
      <c r="Q45" s="289">
        <v>0.82898062342038747</v>
      </c>
      <c r="R45" s="163">
        <v>0.10619469026548674</v>
      </c>
      <c r="S45" s="164">
        <v>0.42477876106194695</v>
      </c>
      <c r="T45" s="165">
        <v>0.42477876106194695</v>
      </c>
      <c r="U45" s="293">
        <v>7.6433121019108277E-2</v>
      </c>
      <c r="V45" s="164">
        <v>0.76433121019108285</v>
      </c>
      <c r="W45" s="165">
        <v>0.76433121019108285</v>
      </c>
      <c r="X45" s="484"/>
      <c r="Y45" s="163">
        <v>-5.8172180146380072E-2</v>
      </c>
      <c r="Z45" s="163">
        <v>-0.43855241183348576</v>
      </c>
      <c r="AA45" s="163">
        <v>0.14044996997566095</v>
      </c>
      <c r="AB45" s="163">
        <v>-5.6194690265486735E-2</v>
      </c>
      <c r="AC45" s="163">
        <v>-0.27477876106194699</v>
      </c>
      <c r="AD45" s="163">
        <v>-5.2329781470110248E-2</v>
      </c>
      <c r="AE45" s="163">
        <v>-5.6312396673031818E-2</v>
      </c>
      <c r="AF45" s="163">
        <v>-0.42227889630778309</v>
      </c>
      <c r="AG45" s="163">
        <v>8.4982358294661386E-2</v>
      </c>
      <c r="AH45" s="484"/>
      <c r="AK45" s="513"/>
      <c r="AL45" s="513"/>
    </row>
    <row r="46" spans="1:38" x14ac:dyDescent="0.2">
      <c r="A46" s="503" t="s">
        <v>208</v>
      </c>
      <c r="B46" s="504" t="s">
        <v>234</v>
      </c>
      <c r="C46" s="513" t="s">
        <v>544</v>
      </c>
      <c r="D46" s="484"/>
      <c r="E46" s="301">
        <v>0</v>
      </c>
      <c r="F46" s="512">
        <v>0</v>
      </c>
      <c r="G46" s="512">
        <v>0</v>
      </c>
      <c r="H46" s="301">
        <v>0</v>
      </c>
      <c r="I46" s="301">
        <v>0</v>
      </c>
      <c r="J46" s="301">
        <v>0</v>
      </c>
      <c r="K46" s="162">
        <v>0</v>
      </c>
      <c r="L46" s="162">
        <v>0</v>
      </c>
      <c r="M46" s="162">
        <v>0</v>
      </c>
      <c r="N46" s="484"/>
      <c r="O46" s="163">
        <v>0.1111111111111111</v>
      </c>
      <c r="P46" s="164">
        <v>0.55555555555555558</v>
      </c>
      <c r="Q46" s="289">
        <v>0.55555555555555558</v>
      </c>
      <c r="R46" s="163">
        <v>0</v>
      </c>
      <c r="S46" s="164">
        <v>1</v>
      </c>
      <c r="T46" s="165">
        <v>1</v>
      </c>
      <c r="U46" s="293">
        <v>7.6923076923076927E-2</v>
      </c>
      <c r="V46" s="164">
        <v>0.69230769230769229</v>
      </c>
      <c r="W46" s="165">
        <v>0.69230769230769229</v>
      </c>
      <c r="X46" s="484"/>
      <c r="Y46" s="163">
        <v>-0.1111111111111111</v>
      </c>
      <c r="Z46" s="163">
        <v>-0.55555555555555558</v>
      </c>
      <c r="AA46" s="163">
        <v>-0.55555555555555558</v>
      </c>
      <c r="AB46" s="163">
        <v>0</v>
      </c>
      <c r="AC46" s="163">
        <v>-1</v>
      </c>
      <c r="AD46" s="163">
        <v>-1</v>
      </c>
      <c r="AE46" s="163">
        <v>-7.6923076923076927E-2</v>
      </c>
      <c r="AF46" s="163">
        <v>-0.69230769230769229</v>
      </c>
      <c r="AG46" s="163">
        <v>-0.69230769230769229</v>
      </c>
      <c r="AH46" s="484"/>
      <c r="AK46" s="513"/>
      <c r="AL46" s="513"/>
    </row>
    <row r="47" spans="1:38" x14ac:dyDescent="0.2">
      <c r="A47" s="497" t="s">
        <v>208</v>
      </c>
      <c r="B47" s="504" t="s">
        <v>258</v>
      </c>
      <c r="C47" s="513" t="s">
        <v>565</v>
      </c>
      <c r="D47" s="484"/>
      <c r="E47" s="301" t="s">
        <v>130</v>
      </c>
      <c r="F47" s="512" t="s">
        <v>130</v>
      </c>
      <c r="G47" s="512" t="s">
        <v>130</v>
      </c>
      <c r="H47" s="301" t="s">
        <v>130</v>
      </c>
      <c r="I47" s="301" t="s">
        <v>130</v>
      </c>
      <c r="J47" s="301" t="s">
        <v>130</v>
      </c>
      <c r="K47" s="162" t="s">
        <v>130</v>
      </c>
      <c r="L47" s="162" t="s">
        <v>130</v>
      </c>
      <c r="M47" s="162" t="s">
        <v>130</v>
      </c>
      <c r="N47" s="484"/>
      <c r="O47" s="163" t="s">
        <v>130</v>
      </c>
      <c r="P47" s="164" t="s">
        <v>130</v>
      </c>
      <c r="Q47" s="289" t="s">
        <v>130</v>
      </c>
      <c r="R47" s="163" t="s">
        <v>130</v>
      </c>
      <c r="S47" s="164" t="s">
        <v>130</v>
      </c>
      <c r="T47" s="165" t="s">
        <v>130</v>
      </c>
      <c r="U47" s="293" t="s">
        <v>130</v>
      </c>
      <c r="V47" s="164" t="s">
        <v>130</v>
      </c>
      <c r="W47" s="165" t="s">
        <v>130</v>
      </c>
      <c r="X47" s="484"/>
      <c r="Y47" s="163" t="s">
        <v>130</v>
      </c>
      <c r="Z47" s="163" t="s">
        <v>130</v>
      </c>
      <c r="AA47" s="163" t="s">
        <v>130</v>
      </c>
      <c r="AB47" s="163" t="s">
        <v>130</v>
      </c>
      <c r="AC47" s="163" t="s">
        <v>130</v>
      </c>
      <c r="AD47" s="163" t="s">
        <v>130</v>
      </c>
      <c r="AE47" s="163" t="s">
        <v>130</v>
      </c>
      <c r="AF47" s="163" t="s">
        <v>130</v>
      </c>
      <c r="AG47" s="163" t="s">
        <v>130</v>
      </c>
      <c r="AH47" s="484"/>
      <c r="AK47" s="513"/>
      <c r="AL47" s="513"/>
    </row>
    <row r="48" spans="1:38" x14ac:dyDescent="0.2">
      <c r="A48" s="497" t="s">
        <v>208</v>
      </c>
      <c r="B48" s="504" t="s">
        <v>253</v>
      </c>
      <c r="C48" s="513" t="s">
        <v>554</v>
      </c>
      <c r="D48" s="484"/>
      <c r="E48" s="301" t="s">
        <v>130</v>
      </c>
      <c r="F48" s="512" t="s">
        <v>130</v>
      </c>
      <c r="G48" s="512" t="s">
        <v>130</v>
      </c>
      <c r="H48" s="301">
        <v>0.14563106796116504</v>
      </c>
      <c r="I48" s="301">
        <v>0.24271844660194172</v>
      </c>
      <c r="J48" s="301">
        <v>0.602668251766726</v>
      </c>
      <c r="K48" s="162">
        <v>0.14563106796116504</v>
      </c>
      <c r="L48" s="162">
        <v>0.24271844660194172</v>
      </c>
      <c r="M48" s="162">
        <v>0.602668251766726</v>
      </c>
      <c r="N48" s="484"/>
      <c r="O48" s="163" t="s">
        <v>130</v>
      </c>
      <c r="P48" s="164" t="s">
        <v>130</v>
      </c>
      <c r="Q48" s="289" t="s">
        <v>130</v>
      </c>
      <c r="R48" s="163">
        <v>0</v>
      </c>
      <c r="S48" s="164">
        <v>0.70866141732283461</v>
      </c>
      <c r="T48" s="165">
        <v>0.70866141732283461</v>
      </c>
      <c r="U48" s="293">
        <v>0</v>
      </c>
      <c r="V48" s="164">
        <v>0.70866141732283461</v>
      </c>
      <c r="W48" s="165">
        <v>0.70866141732283461</v>
      </c>
      <c r="X48" s="484"/>
      <c r="Y48" s="163" t="s">
        <v>130</v>
      </c>
      <c r="Z48" s="163" t="s">
        <v>130</v>
      </c>
      <c r="AA48" s="163" t="s">
        <v>130</v>
      </c>
      <c r="AB48" s="163">
        <v>0.14563106796116504</v>
      </c>
      <c r="AC48" s="163">
        <v>-0.46594297072089286</v>
      </c>
      <c r="AD48" s="163">
        <v>-0.1059931655561086</v>
      </c>
      <c r="AE48" s="163">
        <v>0.14563106796116504</v>
      </c>
      <c r="AF48" s="163">
        <v>-0.46594297072089286</v>
      </c>
      <c r="AG48" s="163">
        <v>-0.1059931655561086</v>
      </c>
      <c r="AH48" s="484"/>
      <c r="AK48" s="513"/>
      <c r="AL48" s="513"/>
    </row>
    <row r="49" spans="1:38" x14ac:dyDescent="0.2">
      <c r="A49" s="497" t="s">
        <v>208</v>
      </c>
      <c r="B49" s="504" t="s">
        <v>270</v>
      </c>
      <c r="C49" s="513" t="s">
        <v>555</v>
      </c>
      <c r="D49" s="484"/>
      <c r="E49" s="301" t="s">
        <v>130</v>
      </c>
      <c r="F49" s="512" t="s">
        <v>130</v>
      </c>
      <c r="G49" s="512" t="s">
        <v>130</v>
      </c>
      <c r="H49" s="301">
        <v>0</v>
      </c>
      <c r="I49" s="301">
        <v>0</v>
      </c>
      <c r="J49" s="301">
        <v>0</v>
      </c>
      <c r="K49" s="162">
        <v>0</v>
      </c>
      <c r="L49" s="162">
        <v>0</v>
      </c>
      <c r="M49" s="162">
        <v>0</v>
      </c>
      <c r="N49" s="484"/>
      <c r="O49" s="163" t="s">
        <v>130</v>
      </c>
      <c r="P49" s="164" t="s">
        <v>130</v>
      </c>
      <c r="Q49" s="289" t="s">
        <v>130</v>
      </c>
      <c r="R49" s="163">
        <v>0.27067669172932329</v>
      </c>
      <c r="S49" s="164">
        <v>0.45112781954887216</v>
      </c>
      <c r="T49" s="165">
        <v>0.45112781954887216</v>
      </c>
      <c r="U49" s="293">
        <v>0.27067669172932329</v>
      </c>
      <c r="V49" s="164">
        <v>0.45112781954887216</v>
      </c>
      <c r="W49" s="165">
        <v>0.45112781954887216</v>
      </c>
      <c r="X49" s="484"/>
      <c r="Y49" s="163" t="s">
        <v>130</v>
      </c>
      <c r="Z49" s="163" t="s">
        <v>130</v>
      </c>
      <c r="AA49" s="163" t="s">
        <v>130</v>
      </c>
      <c r="AB49" s="163">
        <v>-0.27067669172932329</v>
      </c>
      <c r="AC49" s="163">
        <v>-0.45112781954887216</v>
      </c>
      <c r="AD49" s="163">
        <v>-0.45112781954887216</v>
      </c>
      <c r="AE49" s="163">
        <v>-0.27067669172932329</v>
      </c>
      <c r="AF49" s="163">
        <v>-0.45112781954887216</v>
      </c>
      <c r="AG49" s="163">
        <v>-0.45112781954887216</v>
      </c>
      <c r="AH49" s="484"/>
      <c r="AK49" s="513"/>
      <c r="AL49" s="513"/>
    </row>
    <row r="50" spans="1:38" x14ac:dyDescent="0.2">
      <c r="A50" s="497" t="s">
        <v>208</v>
      </c>
      <c r="B50" s="504" t="s">
        <v>272</v>
      </c>
      <c r="C50" s="513" t="s">
        <v>556</v>
      </c>
      <c r="D50" s="484"/>
      <c r="E50" s="301" t="s">
        <v>130</v>
      </c>
      <c r="F50" s="512" t="s">
        <v>130</v>
      </c>
      <c r="G50" s="512" t="s">
        <v>130</v>
      </c>
      <c r="H50" s="301">
        <v>0</v>
      </c>
      <c r="I50" s="301">
        <v>0</v>
      </c>
      <c r="J50" s="301">
        <v>0</v>
      </c>
      <c r="K50" s="162">
        <v>0</v>
      </c>
      <c r="L50" s="162">
        <v>0</v>
      </c>
      <c r="M50" s="162">
        <v>0</v>
      </c>
      <c r="N50" s="484"/>
      <c r="O50" s="163" t="s">
        <v>130</v>
      </c>
      <c r="P50" s="164" t="s">
        <v>130</v>
      </c>
      <c r="Q50" s="289" t="s">
        <v>130</v>
      </c>
      <c r="R50" s="163">
        <v>0</v>
      </c>
      <c r="S50" s="164">
        <v>0.18045112781954886</v>
      </c>
      <c r="T50" s="165">
        <v>0.18045112781954886</v>
      </c>
      <c r="U50" s="293">
        <v>0</v>
      </c>
      <c r="V50" s="164">
        <v>0.18045112781954886</v>
      </c>
      <c r="W50" s="165">
        <v>0.18045112781954886</v>
      </c>
      <c r="X50" s="484"/>
      <c r="Y50" s="163" t="s">
        <v>130</v>
      </c>
      <c r="Z50" s="163" t="s">
        <v>130</v>
      </c>
      <c r="AA50" s="163" t="s">
        <v>130</v>
      </c>
      <c r="AB50" s="163">
        <v>0</v>
      </c>
      <c r="AC50" s="163">
        <v>-0.18045112781954886</v>
      </c>
      <c r="AD50" s="163">
        <v>-0.18045112781954886</v>
      </c>
      <c r="AE50" s="163">
        <v>0</v>
      </c>
      <c r="AF50" s="163">
        <v>-0.18045112781954886</v>
      </c>
      <c r="AG50" s="163">
        <v>-0.18045112781954886</v>
      </c>
      <c r="AH50" s="484"/>
      <c r="AK50" s="513"/>
      <c r="AL50" s="513"/>
    </row>
    <row r="51" spans="1:38" ht="13.5" thickBot="1" x14ac:dyDescent="0.25">
      <c r="A51" s="505" t="s">
        <v>208</v>
      </c>
      <c r="B51" s="502" t="s">
        <v>239</v>
      </c>
      <c r="C51" s="513" t="s">
        <v>262</v>
      </c>
      <c r="D51" s="484"/>
      <c r="E51" s="301" t="s">
        <v>130</v>
      </c>
      <c r="F51" s="512" t="s">
        <v>130</v>
      </c>
      <c r="G51" s="512" t="s">
        <v>130</v>
      </c>
      <c r="H51" s="301">
        <v>0</v>
      </c>
      <c r="I51" s="301">
        <v>0.15873015873015872</v>
      </c>
      <c r="J51" s="301">
        <v>0.3941259043299859</v>
      </c>
      <c r="K51" s="162">
        <v>0</v>
      </c>
      <c r="L51" s="162">
        <v>0.15873015873015872</v>
      </c>
      <c r="M51" s="162">
        <v>0.3941259043299859</v>
      </c>
      <c r="N51" s="484"/>
      <c r="O51" s="514" t="s">
        <v>130</v>
      </c>
      <c r="P51" s="515" t="s">
        <v>130</v>
      </c>
      <c r="Q51" s="516" t="s">
        <v>130</v>
      </c>
      <c r="R51" s="514">
        <v>0.15894039735099336</v>
      </c>
      <c r="S51" s="515">
        <v>0.23841059602649006</v>
      </c>
      <c r="T51" s="517">
        <v>0.23841059602649006</v>
      </c>
      <c r="U51" s="518">
        <v>0.15894039735099336</v>
      </c>
      <c r="V51" s="515">
        <v>0.23841059602649006</v>
      </c>
      <c r="W51" s="517">
        <v>0.23841059602649006</v>
      </c>
      <c r="X51" s="484"/>
      <c r="Y51" s="163" t="s">
        <v>130</v>
      </c>
      <c r="Z51" s="163" t="s">
        <v>130</v>
      </c>
      <c r="AA51" s="163" t="s">
        <v>130</v>
      </c>
      <c r="AB51" s="163">
        <v>-0.15894039735099336</v>
      </c>
      <c r="AC51" s="163">
        <v>-7.9680437296331341E-2</v>
      </c>
      <c r="AD51" s="163">
        <v>0.15571530830349584</v>
      </c>
      <c r="AE51" s="163">
        <v>-0.15894039735099336</v>
      </c>
      <c r="AF51" s="163">
        <v>-7.9680437296331341E-2</v>
      </c>
      <c r="AG51" s="163">
        <v>0.15571530830349584</v>
      </c>
      <c r="AH51" s="484"/>
      <c r="AK51" s="513"/>
      <c r="AL51" s="513"/>
    </row>
    <row r="52" spans="1:38" ht="12.75" customHeight="1" thickBot="1" x14ac:dyDescent="0.25">
      <c r="A52" s="302" t="s">
        <v>291</v>
      </c>
      <c r="B52" s="500"/>
      <c r="C52" s="500"/>
      <c r="D52" s="171"/>
      <c r="E52" s="520">
        <v>5.0967067433350756E-2</v>
      </c>
      <c r="F52" s="520">
        <v>0.32801881860951382</v>
      </c>
      <c r="G52" s="520">
        <v>0.81446849518688802</v>
      </c>
      <c r="H52" s="520">
        <v>4.0183696900114814E-2</v>
      </c>
      <c r="I52" s="520">
        <v>0.19517795637198623</v>
      </c>
      <c r="J52" s="520">
        <v>0.484625537930442</v>
      </c>
      <c r="K52" s="520">
        <v>4.8957002979991483E-2</v>
      </c>
      <c r="L52" s="520">
        <v>0.30332056194125157</v>
      </c>
      <c r="M52" s="520">
        <v>0.75314289189494432</v>
      </c>
      <c r="N52" s="484"/>
      <c r="O52" s="169">
        <v>7.6535335870795182E-2</v>
      </c>
      <c r="P52" s="169">
        <v>0.88139080341528642</v>
      </c>
      <c r="Q52" s="521">
        <v>0.88139080341528642</v>
      </c>
      <c r="R52" s="166">
        <v>5.5529847292919939E-2</v>
      </c>
      <c r="S52" s="169">
        <v>0.44979176307265151</v>
      </c>
      <c r="T52" s="297">
        <v>0.44979176307265151</v>
      </c>
      <c r="U52" s="169">
        <v>7.3656772891616915E-2</v>
      </c>
      <c r="V52" s="169">
        <v>0.80618851425208105</v>
      </c>
      <c r="W52" s="169">
        <v>0.80618851425208105</v>
      </c>
      <c r="X52" s="484"/>
      <c r="Y52" s="166">
        <v>-2.5568268437444426E-2</v>
      </c>
      <c r="Z52" s="167">
        <v>-0.55337198480577254</v>
      </c>
      <c r="AA52" s="168">
        <v>-6.6922308228398397E-2</v>
      </c>
      <c r="AB52" s="166">
        <v>-1.5346150392805125E-2</v>
      </c>
      <c r="AC52" s="167">
        <v>-0.25461380670066525</v>
      </c>
      <c r="AD52" s="168">
        <v>3.4833774857790489E-2</v>
      </c>
      <c r="AE52" s="169">
        <v>-2.4699769911625431E-2</v>
      </c>
      <c r="AF52" s="167">
        <v>-0.50286795231082948</v>
      </c>
      <c r="AG52" s="170">
        <v>-5.3045622357136724E-2</v>
      </c>
      <c r="AH52" s="484"/>
      <c r="AK52" s="513"/>
      <c r="AL52" s="513"/>
    </row>
    <row r="53" spans="1:38" x14ac:dyDescent="0.2">
      <c r="A53" s="501" t="s">
        <v>4</v>
      </c>
      <c r="B53" s="504" t="s">
        <v>221</v>
      </c>
      <c r="C53" s="513" t="s">
        <v>505</v>
      </c>
      <c r="D53" s="484"/>
      <c r="E53" s="301">
        <v>0.17094017094017094</v>
      </c>
      <c r="F53" s="512">
        <v>0.41666666666666669</v>
      </c>
      <c r="G53" s="512">
        <v>1.0345804988662131</v>
      </c>
      <c r="H53" s="301">
        <v>0</v>
      </c>
      <c r="I53" s="301">
        <v>5.7471264367816098E-2</v>
      </c>
      <c r="J53" s="301">
        <v>0.14270075846430527</v>
      </c>
      <c r="K53" s="162">
        <v>0.14414414414414414</v>
      </c>
      <c r="L53" s="162">
        <v>0.36036036036036034</v>
      </c>
      <c r="M53" s="162">
        <v>0.89477232334375179</v>
      </c>
      <c r="N53" s="171"/>
      <c r="O53" s="163">
        <v>6.0657118786857624E-2</v>
      </c>
      <c r="P53" s="164">
        <v>0.4953664700926706</v>
      </c>
      <c r="Q53" s="289">
        <v>0.4953664700926706</v>
      </c>
      <c r="R53" s="163">
        <v>0.10619469026548674</v>
      </c>
      <c r="S53" s="164">
        <v>0.26548672566371684</v>
      </c>
      <c r="T53" s="165">
        <v>0.26548672566371684</v>
      </c>
      <c r="U53" s="293">
        <v>6.7892503536067891E-2</v>
      </c>
      <c r="V53" s="164">
        <v>0.46676096181046678</v>
      </c>
      <c r="W53" s="165">
        <v>0.46676096181046678</v>
      </c>
      <c r="X53" s="171"/>
      <c r="Y53" s="163">
        <v>0.11028305215331333</v>
      </c>
      <c r="Z53" s="163">
        <v>-7.8699803426003911E-2</v>
      </c>
      <c r="AA53" s="163">
        <v>0.53921402877354252</v>
      </c>
      <c r="AB53" s="163">
        <v>-0.10619469026548674</v>
      </c>
      <c r="AC53" s="163">
        <v>-0.20801546129590073</v>
      </c>
      <c r="AD53" s="163">
        <v>-0.12278596719941157</v>
      </c>
      <c r="AE53" s="163">
        <v>7.6251640608076252E-2</v>
      </c>
      <c r="AF53" s="163">
        <v>-0.10640060145010644</v>
      </c>
      <c r="AG53" s="163">
        <v>0.42801136153328501</v>
      </c>
      <c r="AH53" s="484"/>
      <c r="AK53" s="513"/>
      <c r="AL53" s="513"/>
    </row>
    <row r="54" spans="1:38" x14ac:dyDescent="0.2">
      <c r="A54" s="503" t="s">
        <v>4</v>
      </c>
      <c r="B54" s="504" t="s">
        <v>237</v>
      </c>
      <c r="C54" s="513" t="s">
        <v>511</v>
      </c>
      <c r="D54" s="484"/>
      <c r="E54" s="301">
        <v>0</v>
      </c>
      <c r="F54" s="512">
        <v>7.0967741935483872E-2</v>
      </c>
      <c r="G54" s="512">
        <v>0.17621242045205179</v>
      </c>
      <c r="H54" s="301">
        <v>0</v>
      </c>
      <c r="I54" s="301">
        <v>3.6231884057971016E-2</v>
      </c>
      <c r="J54" s="301">
        <v>8.9963521640540278E-2</v>
      </c>
      <c r="K54" s="162">
        <v>0</v>
      </c>
      <c r="L54" s="162">
        <v>6.5717415115005479E-2</v>
      </c>
      <c r="M54" s="162">
        <v>0.16317589467331292</v>
      </c>
      <c r="N54" s="484"/>
      <c r="O54" s="163">
        <v>2.3414634146341463E-2</v>
      </c>
      <c r="P54" s="164">
        <v>0.20487804878048779</v>
      </c>
      <c r="Q54" s="289">
        <v>0.20487804878048779</v>
      </c>
      <c r="R54" s="163">
        <v>0</v>
      </c>
      <c r="S54" s="164">
        <v>7.3619631901840482E-2</v>
      </c>
      <c r="T54" s="165">
        <v>7.3619631901840482E-2</v>
      </c>
      <c r="U54" s="293">
        <v>2.0202020202020204E-2</v>
      </c>
      <c r="V54" s="164">
        <v>0.18686868686868688</v>
      </c>
      <c r="W54" s="165">
        <v>0.18686868686868688</v>
      </c>
      <c r="X54" s="484"/>
      <c r="Y54" s="163">
        <v>-2.3414634146341463E-2</v>
      </c>
      <c r="Z54" s="163">
        <v>-0.13391030684500393</v>
      </c>
      <c r="AA54" s="163">
        <v>-2.8665628328435999E-2</v>
      </c>
      <c r="AB54" s="163">
        <v>0</v>
      </c>
      <c r="AC54" s="163">
        <v>-3.7387747843869466E-2</v>
      </c>
      <c r="AD54" s="163">
        <v>1.6343889738699796E-2</v>
      </c>
      <c r="AE54" s="163">
        <v>-2.0202020202020204E-2</v>
      </c>
      <c r="AF54" s="163">
        <v>-0.1211512717536814</v>
      </c>
      <c r="AG54" s="163">
        <v>-2.3692792195373957E-2</v>
      </c>
      <c r="AH54" s="484"/>
      <c r="AK54" s="513"/>
      <c r="AL54" s="513"/>
    </row>
    <row r="55" spans="1:38" s="522" customFormat="1" ht="15" customHeight="1" x14ac:dyDescent="0.2">
      <c r="A55" s="503" t="s">
        <v>4</v>
      </c>
      <c r="B55" s="502" t="s">
        <v>255</v>
      </c>
      <c r="C55" s="513" t="s">
        <v>522</v>
      </c>
      <c r="D55" s="495"/>
      <c r="E55" s="301">
        <v>1.4204545454545454E-2</v>
      </c>
      <c r="F55" s="512">
        <v>0.11363636363636363</v>
      </c>
      <c r="G55" s="512">
        <v>0.28215831787260354</v>
      </c>
      <c r="H55" s="301" t="s">
        <v>130</v>
      </c>
      <c r="I55" s="301" t="s">
        <v>130</v>
      </c>
      <c r="J55" s="301" t="s">
        <v>130</v>
      </c>
      <c r="K55" s="162">
        <v>1.4204545454545454E-2</v>
      </c>
      <c r="L55" s="162">
        <v>0.11363636363636363</v>
      </c>
      <c r="M55" s="162">
        <v>0.28215831787260354</v>
      </c>
      <c r="N55" s="495"/>
      <c r="O55" s="163">
        <v>2.5477707006369428E-2</v>
      </c>
      <c r="P55" s="164">
        <v>6.3694267515923567E-2</v>
      </c>
      <c r="Q55" s="289">
        <v>6.3694267515923567E-2</v>
      </c>
      <c r="R55" s="163" t="s">
        <v>130</v>
      </c>
      <c r="S55" s="164" t="s">
        <v>130</v>
      </c>
      <c r="T55" s="165" t="s">
        <v>130</v>
      </c>
      <c r="U55" s="293">
        <v>2.5477707006369428E-2</v>
      </c>
      <c r="V55" s="164">
        <v>6.3694267515923567E-2</v>
      </c>
      <c r="W55" s="165">
        <v>6.3694267515923567E-2</v>
      </c>
      <c r="X55" s="495"/>
      <c r="Y55" s="163">
        <v>-1.1273161551823974E-2</v>
      </c>
      <c r="Z55" s="163">
        <v>4.9942096120440066E-2</v>
      </c>
      <c r="AA55" s="163">
        <v>0.21846405035667998</v>
      </c>
      <c r="AB55" s="163" t="s">
        <v>130</v>
      </c>
      <c r="AC55" s="163" t="s">
        <v>130</v>
      </c>
      <c r="AD55" s="163" t="s">
        <v>130</v>
      </c>
      <c r="AE55" s="163">
        <v>-1.1273161551823974E-2</v>
      </c>
      <c r="AF55" s="163">
        <v>4.9942096120440066E-2</v>
      </c>
      <c r="AG55" s="163">
        <v>0.21846405035667998</v>
      </c>
      <c r="AH55" s="495"/>
      <c r="AK55" s="513"/>
      <c r="AL55" s="513"/>
    </row>
    <row r="56" spans="1:38" x14ac:dyDescent="0.2">
      <c r="A56" s="503" t="s">
        <v>4</v>
      </c>
      <c r="B56" s="504" t="s">
        <v>223</v>
      </c>
      <c r="C56" s="513" t="s">
        <v>523</v>
      </c>
      <c r="D56" s="484"/>
      <c r="E56" s="301">
        <v>2.3696682464454975E-2</v>
      </c>
      <c r="F56" s="512">
        <v>0.21327014218009477</v>
      </c>
      <c r="G56" s="512">
        <v>0.5295483122158815</v>
      </c>
      <c r="H56" s="301" t="s">
        <v>130</v>
      </c>
      <c r="I56" s="301" t="s">
        <v>130</v>
      </c>
      <c r="J56" s="301" t="s">
        <v>130</v>
      </c>
      <c r="K56" s="162">
        <v>2.3696682464454975E-2</v>
      </c>
      <c r="L56" s="162">
        <v>0.21327014218009477</v>
      </c>
      <c r="M56" s="162">
        <v>0.5295483122158815</v>
      </c>
      <c r="N56" s="484"/>
      <c r="O56" s="163">
        <v>4.5454545454545456E-2</v>
      </c>
      <c r="P56" s="164">
        <v>0.52272727272727271</v>
      </c>
      <c r="Q56" s="289">
        <v>0.52272727272727271</v>
      </c>
      <c r="R56" s="163" t="s">
        <v>130</v>
      </c>
      <c r="S56" s="164" t="s">
        <v>130</v>
      </c>
      <c r="T56" s="165" t="s">
        <v>130</v>
      </c>
      <c r="U56" s="293">
        <v>4.5454545454545456E-2</v>
      </c>
      <c r="V56" s="164">
        <v>0.52272727272727271</v>
      </c>
      <c r="W56" s="165">
        <v>0.52272727272727271</v>
      </c>
      <c r="X56" s="484"/>
      <c r="Y56" s="163">
        <v>-2.1757862990090481E-2</v>
      </c>
      <c r="Z56" s="163">
        <v>-0.30945713054717794</v>
      </c>
      <c r="AA56" s="163">
        <v>6.8210394886087933E-3</v>
      </c>
      <c r="AB56" s="163" t="s">
        <v>130</v>
      </c>
      <c r="AC56" s="163" t="s">
        <v>130</v>
      </c>
      <c r="AD56" s="163" t="s">
        <v>130</v>
      </c>
      <c r="AE56" s="163">
        <v>-2.1757862990090481E-2</v>
      </c>
      <c r="AF56" s="163">
        <v>-0.30945713054717794</v>
      </c>
      <c r="AG56" s="163">
        <v>6.8210394886087933E-3</v>
      </c>
      <c r="AH56" s="484"/>
      <c r="AK56" s="513"/>
      <c r="AL56" s="513"/>
    </row>
    <row r="57" spans="1:38" x14ac:dyDescent="0.2">
      <c r="A57" s="503" t="s">
        <v>4</v>
      </c>
      <c r="B57" s="504" t="s">
        <v>227</v>
      </c>
      <c r="C57" s="513" t="s">
        <v>533</v>
      </c>
      <c r="D57" s="484"/>
      <c r="E57" s="301">
        <v>1.342882721575649E-2</v>
      </c>
      <c r="F57" s="512">
        <v>0.14324082363473589</v>
      </c>
      <c r="G57" s="512">
        <v>0.35566599065767751</v>
      </c>
      <c r="H57" s="301">
        <v>1.7006802721088437E-2</v>
      </c>
      <c r="I57" s="301">
        <v>3.4013605442176874E-2</v>
      </c>
      <c r="J57" s="301">
        <v>8.4455550927854145E-2</v>
      </c>
      <c r="K57" s="162">
        <v>1.417434443656981E-2</v>
      </c>
      <c r="L57" s="162">
        <v>0.12048192771084337</v>
      </c>
      <c r="M57" s="162">
        <v>0.29915580690107368</v>
      </c>
      <c r="N57" s="484"/>
      <c r="O57" s="163">
        <v>2.5613660618996798E-2</v>
      </c>
      <c r="P57" s="164">
        <v>0.19637139807897544</v>
      </c>
      <c r="Q57" s="289">
        <v>0.19637139807897544</v>
      </c>
      <c r="R57" s="163">
        <v>1.6973125884016973E-2</v>
      </c>
      <c r="S57" s="164">
        <v>0.10183875530410184</v>
      </c>
      <c r="T57" s="165">
        <v>0.10183875530410184</v>
      </c>
      <c r="U57" s="293">
        <v>2.3877202956225127E-2</v>
      </c>
      <c r="V57" s="164">
        <v>0.17737350767481522</v>
      </c>
      <c r="W57" s="165">
        <v>0.17737350767481522</v>
      </c>
      <c r="X57" s="484"/>
      <c r="Y57" s="163">
        <v>-1.2184833403240308E-2</v>
      </c>
      <c r="Z57" s="163">
        <v>-5.3130574444239548E-2</v>
      </c>
      <c r="AA57" s="163">
        <v>0.15929459257870207</v>
      </c>
      <c r="AB57" s="163">
        <v>3.3676837071464072E-5</v>
      </c>
      <c r="AC57" s="163">
        <v>-6.7825149861924977E-2</v>
      </c>
      <c r="AD57" s="163">
        <v>-1.7383204376247699E-2</v>
      </c>
      <c r="AE57" s="163">
        <v>-9.702858519655317E-3</v>
      </c>
      <c r="AF57" s="163">
        <v>-5.6891579963971844E-2</v>
      </c>
      <c r="AG57" s="163">
        <v>0.12178229922625847</v>
      </c>
      <c r="AH57" s="484"/>
      <c r="AK57" s="513"/>
      <c r="AL57" s="513"/>
    </row>
    <row r="58" spans="1:38" x14ac:dyDescent="0.2">
      <c r="A58" s="503" t="s">
        <v>4</v>
      </c>
      <c r="B58" s="504" t="s">
        <v>250</v>
      </c>
      <c r="C58" s="513" t="s">
        <v>540</v>
      </c>
      <c r="D58" s="484"/>
      <c r="E58" s="301">
        <v>0</v>
      </c>
      <c r="F58" s="512">
        <v>0</v>
      </c>
      <c r="G58" s="512">
        <v>0</v>
      </c>
      <c r="H58" s="301">
        <v>0</v>
      </c>
      <c r="I58" s="301">
        <v>5.3191489361702128E-2</v>
      </c>
      <c r="J58" s="301">
        <v>0.13207410623823998</v>
      </c>
      <c r="K58" s="162">
        <v>0</v>
      </c>
      <c r="L58" s="162">
        <v>2.6455026455026457E-2</v>
      </c>
      <c r="M58" s="162">
        <v>6.5687650721664326E-2</v>
      </c>
      <c r="N58" s="484"/>
      <c r="O58" s="163">
        <v>0</v>
      </c>
      <c r="P58" s="164">
        <v>0.26315789473684209</v>
      </c>
      <c r="Q58" s="289">
        <v>0.26315789473684209</v>
      </c>
      <c r="R58" s="163">
        <v>0</v>
      </c>
      <c r="S58" s="164">
        <v>0.11320754716981131</v>
      </c>
      <c r="T58" s="165">
        <v>0.11320754716981131</v>
      </c>
      <c r="U58" s="293">
        <v>0</v>
      </c>
      <c r="V58" s="164">
        <v>0.19090909090909092</v>
      </c>
      <c r="W58" s="165">
        <v>0.19090909090909092</v>
      </c>
      <c r="X58" s="484"/>
      <c r="Y58" s="163">
        <v>0</v>
      </c>
      <c r="Z58" s="163">
        <v>-0.26315789473684209</v>
      </c>
      <c r="AA58" s="163">
        <v>-0.26315789473684209</v>
      </c>
      <c r="AB58" s="163">
        <v>0</v>
      </c>
      <c r="AC58" s="163">
        <v>-6.0016057808109181E-2</v>
      </c>
      <c r="AD58" s="163">
        <v>1.886655906842867E-2</v>
      </c>
      <c r="AE58" s="163">
        <v>0</v>
      </c>
      <c r="AF58" s="163">
        <v>-0.16445406445406446</v>
      </c>
      <c r="AG58" s="163">
        <v>-0.12522144018742659</v>
      </c>
      <c r="AH58" s="484"/>
      <c r="AK58" s="513"/>
      <c r="AL58" s="513"/>
    </row>
    <row r="59" spans="1:38" x14ac:dyDescent="0.2">
      <c r="A59" s="503" t="s">
        <v>4</v>
      </c>
      <c r="B59" s="504" t="s">
        <v>274</v>
      </c>
      <c r="C59" s="513" t="s">
        <v>541</v>
      </c>
      <c r="D59" s="484"/>
      <c r="E59" s="301">
        <v>0</v>
      </c>
      <c r="F59" s="512">
        <v>0</v>
      </c>
      <c r="G59" s="512">
        <v>0</v>
      </c>
      <c r="H59" s="301">
        <v>0</v>
      </c>
      <c r="I59" s="301">
        <v>0</v>
      </c>
      <c r="J59" s="301">
        <v>0</v>
      </c>
      <c r="K59" s="162">
        <v>0</v>
      </c>
      <c r="L59" s="162">
        <v>0</v>
      </c>
      <c r="M59" s="162">
        <v>0</v>
      </c>
      <c r="N59" s="484"/>
      <c r="O59" s="163">
        <v>0.20689655172413796</v>
      </c>
      <c r="P59" s="164">
        <v>0.20689655172413796</v>
      </c>
      <c r="Q59" s="289">
        <v>0.20689655172413796</v>
      </c>
      <c r="R59" s="163">
        <v>0</v>
      </c>
      <c r="S59" s="164">
        <v>0.19672131147540986</v>
      </c>
      <c r="T59" s="165">
        <v>0.19672131147540986</v>
      </c>
      <c r="U59" s="293">
        <v>0.10084033613445378</v>
      </c>
      <c r="V59" s="164">
        <v>0.20168067226890757</v>
      </c>
      <c r="W59" s="165">
        <v>0.20168067226890757</v>
      </c>
      <c r="X59" s="484"/>
      <c r="Y59" s="163">
        <v>-0.20689655172413796</v>
      </c>
      <c r="Z59" s="163">
        <v>-0.20689655172413796</v>
      </c>
      <c r="AA59" s="163">
        <v>-0.20689655172413796</v>
      </c>
      <c r="AB59" s="163">
        <v>0</v>
      </c>
      <c r="AC59" s="163">
        <v>-0.19672131147540986</v>
      </c>
      <c r="AD59" s="163">
        <v>-0.19672131147540986</v>
      </c>
      <c r="AE59" s="163">
        <v>-0.10084033613445378</v>
      </c>
      <c r="AF59" s="163">
        <v>-0.20168067226890757</v>
      </c>
      <c r="AG59" s="163">
        <v>-0.20168067226890757</v>
      </c>
      <c r="AH59" s="484"/>
      <c r="AK59" s="513"/>
      <c r="AL59" s="513"/>
    </row>
    <row r="60" spans="1:38" x14ac:dyDescent="0.2">
      <c r="A60" s="503" t="s">
        <v>4</v>
      </c>
      <c r="B60" s="504" t="s">
        <v>257</v>
      </c>
      <c r="C60" s="513" t="s">
        <v>542</v>
      </c>
      <c r="D60" s="484"/>
      <c r="E60" s="301">
        <v>0</v>
      </c>
      <c r="F60" s="512">
        <v>0</v>
      </c>
      <c r="G60" s="512">
        <v>0</v>
      </c>
      <c r="H60" s="301">
        <v>0</v>
      </c>
      <c r="I60" s="301">
        <v>0</v>
      </c>
      <c r="J60" s="301">
        <v>0</v>
      </c>
      <c r="K60" s="162">
        <v>0</v>
      </c>
      <c r="L60" s="162">
        <v>0</v>
      </c>
      <c r="M60" s="162">
        <v>0</v>
      </c>
      <c r="N60" s="484"/>
      <c r="O60" s="163">
        <v>0</v>
      </c>
      <c r="P60" s="164">
        <v>0.75</v>
      </c>
      <c r="Q60" s="289">
        <v>0.75</v>
      </c>
      <c r="R60" s="163">
        <v>0</v>
      </c>
      <c r="S60" s="164">
        <v>0.5</v>
      </c>
      <c r="T60" s="165">
        <v>0.5</v>
      </c>
      <c r="U60" s="293">
        <v>0</v>
      </c>
      <c r="V60" s="164">
        <v>0.64285714285714279</v>
      </c>
      <c r="W60" s="165">
        <v>0.64285714285714279</v>
      </c>
      <c r="X60" s="484"/>
      <c r="Y60" s="163">
        <v>0</v>
      </c>
      <c r="Z60" s="163">
        <v>-0.75</v>
      </c>
      <c r="AA60" s="163">
        <v>-0.75</v>
      </c>
      <c r="AB60" s="163">
        <v>0</v>
      </c>
      <c r="AC60" s="163">
        <v>-0.5</v>
      </c>
      <c r="AD60" s="163">
        <v>-0.5</v>
      </c>
      <c r="AE60" s="163">
        <v>0</v>
      </c>
      <c r="AF60" s="163">
        <v>-0.64285714285714279</v>
      </c>
      <c r="AG60" s="163">
        <v>-0.64285714285714279</v>
      </c>
      <c r="AH60" s="484"/>
      <c r="AK60" s="513"/>
      <c r="AL60" s="513"/>
    </row>
    <row r="61" spans="1:38" x14ac:dyDescent="0.2">
      <c r="A61" s="503" t="s">
        <v>4</v>
      </c>
      <c r="B61" s="504" t="s">
        <v>251</v>
      </c>
      <c r="C61" s="513" t="s">
        <v>543</v>
      </c>
      <c r="D61" s="484"/>
      <c r="E61" s="301">
        <v>0</v>
      </c>
      <c r="F61" s="512">
        <v>0</v>
      </c>
      <c r="G61" s="512">
        <v>0</v>
      </c>
      <c r="H61" s="301">
        <v>0</v>
      </c>
      <c r="I61" s="301">
        <v>0</v>
      </c>
      <c r="J61" s="301">
        <v>0</v>
      </c>
      <c r="K61" s="162">
        <v>0</v>
      </c>
      <c r="L61" s="162">
        <v>0</v>
      </c>
      <c r="M61" s="162">
        <v>0</v>
      </c>
      <c r="N61" s="484"/>
      <c r="O61" s="163">
        <v>0</v>
      </c>
      <c r="P61" s="164">
        <v>0.58536585365853666</v>
      </c>
      <c r="Q61" s="289">
        <v>0.58536585365853666</v>
      </c>
      <c r="R61" s="163">
        <v>0</v>
      </c>
      <c r="S61" s="164">
        <v>0</v>
      </c>
      <c r="T61" s="165">
        <v>0</v>
      </c>
      <c r="U61" s="293">
        <v>0</v>
      </c>
      <c r="V61" s="164">
        <v>0.22641509433962262</v>
      </c>
      <c r="W61" s="165">
        <v>0.22641509433962262</v>
      </c>
      <c r="X61" s="484"/>
      <c r="Y61" s="163">
        <v>0</v>
      </c>
      <c r="Z61" s="163">
        <v>-0.58536585365853666</v>
      </c>
      <c r="AA61" s="163">
        <v>-0.58536585365853666</v>
      </c>
      <c r="AB61" s="163">
        <v>0</v>
      </c>
      <c r="AC61" s="163">
        <v>0</v>
      </c>
      <c r="AD61" s="163">
        <v>0</v>
      </c>
      <c r="AE61" s="163">
        <v>0</v>
      </c>
      <c r="AF61" s="163">
        <v>-0.22641509433962262</v>
      </c>
      <c r="AG61" s="163">
        <v>-0.22641509433962262</v>
      </c>
      <c r="AH61" s="484"/>
      <c r="AK61" s="513"/>
      <c r="AL61" s="513"/>
    </row>
    <row r="62" spans="1:38" x14ac:dyDescent="0.2">
      <c r="A62" s="503" t="s">
        <v>4</v>
      </c>
      <c r="B62" s="504" t="s">
        <v>261</v>
      </c>
      <c r="C62" s="513" t="s">
        <v>558</v>
      </c>
      <c r="D62" s="484"/>
      <c r="E62" s="301" t="s">
        <v>130</v>
      </c>
      <c r="F62" s="512" t="s">
        <v>130</v>
      </c>
      <c r="G62" s="512" t="s">
        <v>130</v>
      </c>
      <c r="H62" s="301">
        <v>0</v>
      </c>
      <c r="I62" s="301">
        <v>0.10869565217391305</v>
      </c>
      <c r="J62" s="301">
        <v>0.26989056492162083</v>
      </c>
      <c r="K62" s="162">
        <v>0</v>
      </c>
      <c r="L62" s="162">
        <v>0.10869565217391305</v>
      </c>
      <c r="M62" s="162">
        <v>0.26989056492162083</v>
      </c>
      <c r="N62" s="484"/>
      <c r="O62" s="163" t="s">
        <v>130</v>
      </c>
      <c r="P62" s="164" t="s">
        <v>130</v>
      </c>
      <c r="Q62" s="289" t="s">
        <v>130</v>
      </c>
      <c r="R62" s="163">
        <v>0</v>
      </c>
      <c r="S62" s="164">
        <v>0.33179723502304148</v>
      </c>
      <c r="T62" s="165">
        <v>0.33179723502304148</v>
      </c>
      <c r="U62" s="293">
        <v>0</v>
      </c>
      <c r="V62" s="164">
        <v>0.33179723502304148</v>
      </c>
      <c r="W62" s="165">
        <v>0.33179723502304148</v>
      </c>
      <c r="X62" s="484"/>
      <c r="Y62" s="163" t="s">
        <v>130</v>
      </c>
      <c r="Z62" s="163" t="s">
        <v>130</v>
      </c>
      <c r="AA62" s="163" t="s">
        <v>130</v>
      </c>
      <c r="AB62" s="163">
        <v>0</v>
      </c>
      <c r="AC62" s="163">
        <v>-0.22310158284912843</v>
      </c>
      <c r="AD62" s="163">
        <v>-6.1906670101420647E-2</v>
      </c>
      <c r="AE62" s="163">
        <v>0</v>
      </c>
      <c r="AF62" s="163">
        <v>-0.22310158284912843</v>
      </c>
      <c r="AG62" s="163">
        <v>-6.1906670101420647E-2</v>
      </c>
      <c r="AH62" s="484"/>
      <c r="AK62" s="513"/>
      <c r="AL62" s="513"/>
    </row>
    <row r="63" spans="1:38" ht="12.95" customHeight="1" x14ac:dyDescent="0.2">
      <c r="A63" s="503" t="s">
        <v>4</v>
      </c>
      <c r="B63" s="504" t="s">
        <v>267</v>
      </c>
      <c r="C63" s="513" t="s">
        <v>559</v>
      </c>
      <c r="D63" s="484"/>
      <c r="E63" s="301" t="s">
        <v>130</v>
      </c>
      <c r="F63" s="512" t="s">
        <v>130</v>
      </c>
      <c r="G63" s="512" t="s">
        <v>130</v>
      </c>
      <c r="H63" s="301">
        <v>8.0645161290322578E-2</v>
      </c>
      <c r="I63" s="301">
        <v>0.20161290322580644</v>
      </c>
      <c r="J63" s="301">
        <v>0.50060346719332893</v>
      </c>
      <c r="K63" s="162">
        <v>8.0645161290322578E-2</v>
      </c>
      <c r="L63" s="162">
        <v>0.20161290322580644</v>
      </c>
      <c r="M63" s="162">
        <v>0.50060346719332893</v>
      </c>
      <c r="N63" s="484"/>
      <c r="O63" s="163" t="s">
        <v>130</v>
      </c>
      <c r="P63" s="164" t="s">
        <v>130</v>
      </c>
      <c r="Q63" s="289" t="s">
        <v>130</v>
      </c>
      <c r="R63" s="163">
        <v>4.0955631399317405E-2</v>
      </c>
      <c r="S63" s="164">
        <v>0.20477815699658702</v>
      </c>
      <c r="T63" s="165">
        <v>0.20477815699658702</v>
      </c>
      <c r="U63" s="293">
        <v>4.0955631399317405E-2</v>
      </c>
      <c r="V63" s="164">
        <v>0.20477815699658702</v>
      </c>
      <c r="W63" s="165">
        <v>0.20477815699658702</v>
      </c>
      <c r="X63" s="484"/>
      <c r="Y63" s="163" t="s">
        <v>130</v>
      </c>
      <c r="Z63" s="163" t="s">
        <v>130</v>
      </c>
      <c r="AA63" s="163" t="s">
        <v>130</v>
      </c>
      <c r="AB63" s="163">
        <v>3.9689529891005174E-2</v>
      </c>
      <c r="AC63" s="163">
        <v>-3.165253770780585E-3</v>
      </c>
      <c r="AD63" s="163">
        <v>0.29582531019674191</v>
      </c>
      <c r="AE63" s="163">
        <v>3.9689529891005174E-2</v>
      </c>
      <c r="AF63" s="163">
        <v>-3.165253770780585E-3</v>
      </c>
      <c r="AG63" s="163">
        <v>0.29582531019674191</v>
      </c>
      <c r="AH63" s="484"/>
      <c r="AK63" s="513"/>
      <c r="AL63" s="513"/>
    </row>
    <row r="64" spans="1:38" x14ac:dyDescent="0.2">
      <c r="A64" s="503" t="s">
        <v>4</v>
      </c>
      <c r="B64" s="504" t="s">
        <v>277</v>
      </c>
      <c r="C64" s="513" t="s">
        <v>560</v>
      </c>
      <c r="D64" s="484"/>
      <c r="E64" s="301">
        <v>0</v>
      </c>
      <c r="F64" s="512">
        <v>1</v>
      </c>
      <c r="G64" s="512">
        <v>2.4829931972789114</v>
      </c>
      <c r="H64" s="301">
        <v>0.21276595744680851</v>
      </c>
      <c r="I64" s="301">
        <v>0.21276595744680851</v>
      </c>
      <c r="J64" s="301">
        <v>0.52829642495295992</v>
      </c>
      <c r="K64" s="162">
        <v>0.2040816326530612</v>
      </c>
      <c r="L64" s="162">
        <v>0.30612244897959179</v>
      </c>
      <c r="M64" s="162">
        <v>0.760099958350687</v>
      </c>
      <c r="N64" s="484"/>
      <c r="O64" s="163" t="s">
        <v>130</v>
      </c>
      <c r="P64" s="164" t="s">
        <v>130</v>
      </c>
      <c r="Q64" s="289" t="s">
        <v>130</v>
      </c>
      <c r="R64" s="163">
        <v>0.10619469026548674</v>
      </c>
      <c r="S64" s="164">
        <v>0.21238938053097348</v>
      </c>
      <c r="T64" s="165">
        <v>0.21238938053097348</v>
      </c>
      <c r="U64" s="293">
        <v>0.10619469026548674</v>
      </c>
      <c r="V64" s="164">
        <v>0.21238938053097348</v>
      </c>
      <c r="W64" s="165">
        <v>0.21238938053097348</v>
      </c>
      <c r="X64" s="484"/>
      <c r="Y64" s="163" t="s">
        <v>130</v>
      </c>
      <c r="Z64" s="163" t="s">
        <v>130</v>
      </c>
      <c r="AA64" s="163" t="s">
        <v>130</v>
      </c>
      <c r="AB64" s="163">
        <v>0.10657126718132177</v>
      </c>
      <c r="AC64" s="163">
        <v>3.7657691583503627E-4</v>
      </c>
      <c r="AD64" s="163">
        <v>0.31590704442198647</v>
      </c>
      <c r="AE64" s="163">
        <v>9.7886942387574463E-2</v>
      </c>
      <c r="AF64" s="163">
        <v>9.3733068448618312E-2</v>
      </c>
      <c r="AG64" s="163">
        <v>0.54771057781971355</v>
      </c>
      <c r="AH64" s="484"/>
      <c r="AK64" s="513"/>
      <c r="AL64" s="513"/>
    </row>
    <row r="65" spans="1:38" ht="13.5" thickBot="1" x14ac:dyDescent="0.25">
      <c r="A65" s="506" t="s">
        <v>4</v>
      </c>
      <c r="B65" s="504" t="s">
        <v>280</v>
      </c>
      <c r="C65" s="513" t="s">
        <v>562</v>
      </c>
      <c r="D65" s="484"/>
      <c r="E65" s="301" t="s">
        <v>130</v>
      </c>
      <c r="F65" s="512" t="s">
        <v>130</v>
      </c>
      <c r="G65" s="512" t="s">
        <v>130</v>
      </c>
      <c r="H65" s="301" t="s">
        <v>130</v>
      </c>
      <c r="I65" s="301" t="s">
        <v>130</v>
      </c>
      <c r="J65" s="301" t="s">
        <v>130</v>
      </c>
      <c r="K65" s="162" t="s">
        <v>130</v>
      </c>
      <c r="L65" s="162" t="s">
        <v>130</v>
      </c>
      <c r="M65" s="162" t="s">
        <v>130</v>
      </c>
      <c r="N65" s="484"/>
      <c r="O65" s="163" t="s">
        <v>130</v>
      </c>
      <c r="P65" s="164" t="s">
        <v>130</v>
      </c>
      <c r="Q65" s="289" t="s">
        <v>130</v>
      </c>
      <c r="R65" s="163" t="s">
        <v>130</v>
      </c>
      <c r="S65" s="164" t="s">
        <v>130</v>
      </c>
      <c r="T65" s="165" t="s">
        <v>130</v>
      </c>
      <c r="U65" s="293" t="s">
        <v>130</v>
      </c>
      <c r="V65" s="164" t="s">
        <v>130</v>
      </c>
      <c r="W65" s="165" t="s">
        <v>130</v>
      </c>
      <c r="X65" s="484"/>
      <c r="Y65" s="163" t="s">
        <v>130</v>
      </c>
      <c r="Z65" s="163" t="s">
        <v>130</v>
      </c>
      <c r="AA65" s="163" t="s">
        <v>130</v>
      </c>
      <c r="AB65" s="163" t="s">
        <v>130</v>
      </c>
      <c r="AC65" s="163" t="s">
        <v>130</v>
      </c>
      <c r="AD65" s="163" t="s">
        <v>130</v>
      </c>
      <c r="AE65" s="163" t="s">
        <v>130</v>
      </c>
      <c r="AF65" s="163" t="s">
        <v>130</v>
      </c>
      <c r="AG65" s="163" t="s">
        <v>130</v>
      </c>
      <c r="AH65" s="484"/>
      <c r="AK65" s="513"/>
      <c r="AL65" s="513"/>
    </row>
    <row r="66" spans="1:38" ht="12.75" customHeight="1" x14ac:dyDescent="0.2">
      <c r="A66" s="302" t="s">
        <v>4</v>
      </c>
      <c r="B66" s="507"/>
      <c r="C66" s="507"/>
      <c r="D66" s="484"/>
      <c r="E66" s="520">
        <v>3.3772917336764234E-2</v>
      </c>
      <c r="F66" s="520">
        <v>0.1608234158893535</v>
      </c>
      <c r="G66" s="520">
        <v>0.39932344761642197</v>
      </c>
      <c r="H66" s="520">
        <v>3.0927835051546393E-2</v>
      </c>
      <c r="I66" s="520">
        <v>7.7319587628865982E-2</v>
      </c>
      <c r="J66" s="520">
        <v>0.19198401009888491</v>
      </c>
      <c r="K66" s="520">
        <v>3.3047735618115054E-2</v>
      </c>
      <c r="L66" s="520">
        <v>0.14075887392900857</v>
      </c>
      <c r="M66" s="520">
        <v>0.3495033264223682</v>
      </c>
      <c r="N66" s="484"/>
      <c r="O66" s="169">
        <v>3.1702100893194113E-2</v>
      </c>
      <c r="P66" s="169">
        <v>0.2581456787017235</v>
      </c>
      <c r="Q66" s="521">
        <v>0.2581456787017235</v>
      </c>
      <c r="R66" s="166">
        <v>2.5906735751295335E-2</v>
      </c>
      <c r="S66" s="169">
        <v>0.18134715025906736</v>
      </c>
      <c r="T66" s="297">
        <v>0.18134715025906736</v>
      </c>
      <c r="U66" s="169">
        <v>3.0344290993970045E-2</v>
      </c>
      <c r="V66" s="169">
        <v>0.24158723983660765</v>
      </c>
      <c r="W66" s="169">
        <v>0.24158723983660765</v>
      </c>
      <c r="X66" s="484"/>
      <c r="Y66" s="167">
        <v>2.0708164435701212E-3</v>
      </c>
      <c r="Z66" s="168">
        <v>-9.7322262812369997E-2</v>
      </c>
      <c r="AA66" s="166">
        <v>0.14117776891469846</v>
      </c>
      <c r="AB66" s="167">
        <v>5.0210993002510577E-3</v>
      </c>
      <c r="AC66" s="168">
        <v>-0.10402756263020138</v>
      </c>
      <c r="AD66" s="169">
        <v>1.0636859839817547E-2</v>
      </c>
      <c r="AE66" s="172">
        <v>2.7034446241450093E-3</v>
      </c>
      <c r="AF66" s="521">
        <v>-0.10082836590759908</v>
      </c>
      <c r="AG66" s="521">
        <v>0.10791608658576055</v>
      </c>
      <c r="AH66" s="484"/>
    </row>
    <row r="67" spans="1:38" ht="18.75" customHeight="1" thickBot="1" x14ac:dyDescent="0.25">
      <c r="A67" s="508"/>
      <c r="B67" s="508"/>
      <c r="C67" s="173" t="s">
        <v>128</v>
      </c>
      <c r="D67" s="484"/>
      <c r="E67" s="174">
        <v>4.4828803388633959E-2</v>
      </c>
      <c r="F67" s="174">
        <v>0.25944228732792091</v>
      </c>
      <c r="G67" s="174">
        <v>0.6441934345217083</v>
      </c>
      <c r="H67" s="174">
        <v>3.2299741602067181E-2</v>
      </c>
      <c r="I67" s="174">
        <v>0.17054263565891473</v>
      </c>
      <c r="J67" s="174">
        <v>0.42345620418710117</v>
      </c>
      <c r="K67" s="174">
        <v>4.2100598271659649E-2</v>
      </c>
      <c r="L67" s="174">
        <v>0.24013959672058496</v>
      </c>
      <c r="M67" s="174">
        <v>0.59626498505451364</v>
      </c>
      <c r="N67" s="484"/>
      <c r="O67" s="175">
        <v>5.5797933409873705E-2</v>
      </c>
      <c r="P67" s="175">
        <v>0.64477611940298507</v>
      </c>
      <c r="Q67" s="175">
        <v>0.64477611940298507</v>
      </c>
      <c r="R67" s="176">
        <v>2.8593090003249215E-2</v>
      </c>
      <c r="S67" s="175">
        <v>0.32882053503736597</v>
      </c>
      <c r="T67" s="298">
        <v>0.32882053503736597</v>
      </c>
      <c r="U67" s="175">
        <v>5.0263771594176644E-2</v>
      </c>
      <c r="V67" s="175">
        <v>0.57952770167772316</v>
      </c>
      <c r="W67" s="175">
        <v>0.57952770167772316</v>
      </c>
      <c r="X67" s="484"/>
      <c r="Y67" s="175">
        <v>-1.0969130021239747E-2</v>
      </c>
      <c r="Z67" s="175">
        <v>-0.38533383207506416</v>
      </c>
      <c r="AA67" s="175">
        <v>-5.8268488127677376E-4</v>
      </c>
      <c r="AB67" s="176">
        <v>3.7066515988179657E-3</v>
      </c>
      <c r="AC67" s="175">
        <v>-0.15827789937845124</v>
      </c>
      <c r="AD67" s="175">
        <v>9.4635669149735202E-2</v>
      </c>
      <c r="AE67" s="176">
        <v>-8.163173322516995E-3</v>
      </c>
      <c r="AF67" s="175">
        <v>-0.33938810495713823</v>
      </c>
      <c r="AG67" s="175">
        <v>1.6737283376790479E-2</v>
      </c>
      <c r="AH67" s="484"/>
    </row>
    <row r="68" spans="1:38" x14ac:dyDescent="0.2">
      <c r="V68" s="523" t="s">
        <v>129</v>
      </c>
    </row>
    <row r="72" spans="1:38" x14ac:dyDescent="0.2">
      <c r="O72" s="177"/>
      <c r="Y72" s="177"/>
      <c r="AH72" s="523"/>
      <c r="AI72" s="177"/>
      <c r="AJ72" s="177"/>
    </row>
  </sheetData>
  <mergeCells count="13">
    <mergeCell ref="Y4:AA4"/>
    <mergeCell ref="AB4:AD4"/>
    <mergeCell ref="AE4:AG4"/>
    <mergeCell ref="A1:AG1"/>
    <mergeCell ref="E3:M3"/>
    <mergeCell ref="O3:W3"/>
    <mergeCell ref="Y3:AG3"/>
    <mergeCell ref="E4:G4"/>
    <mergeCell ref="H4:J4"/>
    <mergeCell ref="K4:M4"/>
    <mergeCell ref="O4:Q4"/>
    <mergeCell ref="R4:T4"/>
    <mergeCell ref="U4:W4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Past_Year</vt:lpstr>
      <vt:lpstr>Location Detail</vt:lpstr>
      <vt:lpstr>Data</vt:lpstr>
      <vt:lpstr>Replacements</vt:lpstr>
      <vt:lpstr>Building Snapshot</vt:lpstr>
      <vt:lpstr>Headcount Display</vt:lpstr>
      <vt:lpstr>New Hire Comp Ratio</vt:lpstr>
      <vt:lpstr>Turnover_by_Location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2025-09-05T22:15:17Z</dcterms:modified>
</cp:coreProperties>
</file>