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rleewohl/Desktop/Lessler-Lab/github/epiphyanies/"/>
    </mc:Choice>
  </mc:AlternateContent>
  <xr:revisionPtr revIDLastSave="0" documentId="13_ncr:1_{D334970C-4EE4-A149-8217-3BC6BAB9CF56}" xr6:coauthVersionLast="47" xr6:coauthVersionMax="47" xr10:uidLastSave="{00000000-0000-0000-0000-000000000000}"/>
  <bookViews>
    <workbookView xWindow="4940" yWindow="2020" windowWidth="27540" windowHeight="19160" xr2:uid="{82711159-A3A1-6543-B722-8D858F78A64C}"/>
  </bookViews>
  <sheets>
    <sheet name="Instructions" sheetId="5" r:id="rId1"/>
    <sheet name="Detection - Sample Size" sheetId="1" r:id="rId2"/>
    <sheet name="Detection - Confidence" sheetId="6" r:id="rId3"/>
    <sheet name="Prevalence - Sample Size" sheetId="3" r:id="rId4"/>
    <sheet name="Prevalence - Confidence" sheetId="7" r:id="rId5"/>
    <sheet name="Detect (Periodic) - Sample Size" sheetId="4" r:id="rId6"/>
    <sheet name="Detect (Periodic) - Confidence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8" l="1"/>
  <c r="G12" i="8"/>
  <c r="G11" i="8"/>
  <c r="G14" i="8" s="1"/>
  <c r="G10" i="8"/>
  <c r="G15" i="8" s="1"/>
  <c r="G9" i="8"/>
  <c r="G8" i="8"/>
  <c r="G6" i="8"/>
  <c r="G8" i="7"/>
  <c r="G9" i="7" s="1"/>
  <c r="G11" i="7" s="1"/>
  <c r="G6" i="7"/>
  <c r="G7" i="7" s="1"/>
  <c r="G7" i="3"/>
  <c r="G8" i="6"/>
  <c r="G6" i="6"/>
  <c r="G7" i="6" s="1"/>
  <c r="G11" i="4"/>
  <c r="G8" i="4"/>
  <c r="G9" i="4" s="1"/>
  <c r="G6" i="4"/>
  <c r="G6" i="3"/>
  <c r="G8" i="3"/>
  <c r="G7" i="1"/>
  <c r="G8" i="1" s="1"/>
  <c r="G6" i="1"/>
  <c r="G16" i="8" l="1"/>
  <c r="G20" i="8" s="1"/>
  <c r="G10" i="6"/>
  <c r="G14" i="4"/>
  <c r="G10" i="4"/>
  <c r="G12" i="4" s="1"/>
  <c r="G9" i="3"/>
  <c r="G11" i="3" s="1"/>
  <c r="G10" i="1"/>
  <c r="G15" i="4" l="1"/>
  <c r="G16" i="4"/>
  <c r="G18" i="4" s="1"/>
  <c r="G19" i="4" s="1"/>
</calcChain>
</file>

<file path=xl/sharedStrings.xml><?xml version="1.0" encoding="utf-8"?>
<sst xmlns="http://schemas.openxmlformats.org/spreadsheetml/2006/main" count="287" uniqueCount="122">
  <si>
    <t>Desired probability of detection:</t>
  </si>
  <si>
    <t>Probability that infection is asymptomatic:</t>
  </si>
  <si>
    <t>Testing probability - asymptomatic infections:</t>
  </si>
  <si>
    <t>Testing probability - symptomatic infections:</t>
  </si>
  <si>
    <t>Testing sensitivity:</t>
  </si>
  <si>
    <t>Sampling parameters</t>
  </si>
  <si>
    <t>Variant of interest parameters</t>
  </si>
  <si>
    <t>Sequencing Ct threshold:</t>
  </si>
  <si>
    <t>Sequencing success rate (assuming Ct&lt;threshold):</t>
  </si>
  <si>
    <t>Average proportion of samples below Ct threshold:</t>
  </si>
  <si>
    <t>Laboratory parameters</t>
  </si>
  <si>
    <t>General pathogen population parameters</t>
  </si>
  <si>
    <t>USER INPUTS</t>
  </si>
  <si>
    <t>Coefficient of detection ratio:</t>
  </si>
  <si>
    <t>Expected observed variant of interest proportion:</t>
  </si>
  <si>
    <t>Sequences needed for dection at desired probability:</t>
  </si>
  <si>
    <t>Number of samples to select for sequencing:</t>
  </si>
  <si>
    <t>To ensure desired probability of detection of a variant at indicated prevalence</t>
  </si>
  <si>
    <t>Testing parameters</t>
  </si>
  <si>
    <t>Desired precision of prevalence estimate:</t>
  </si>
  <si>
    <t>Desired confidence in prevalence estimate:</t>
  </si>
  <si>
    <t xml:space="preserve">Z-Statistic for desired confidence interval: </t>
  </si>
  <si>
    <t>Sequences needed for monitoring at desired precision:</t>
  </si>
  <si>
    <t>Growth parameters</t>
  </si>
  <si>
    <t>Number of variant introductions:</t>
  </si>
  <si>
    <t>Population size:</t>
  </si>
  <si>
    <t>Growth rate (per time step):</t>
  </si>
  <si>
    <t>Desired variant prevalence:</t>
  </si>
  <si>
    <t>Number of days to desired prevalence:</t>
  </si>
  <si>
    <t>Initial prevalence:</t>
  </si>
  <si>
    <t>Initial prevalence coefficient (b):</t>
  </si>
  <si>
    <t>Initial prevalence coefficient (a):</t>
  </si>
  <si>
    <t>Observed CDF at time t:</t>
  </si>
  <si>
    <t>Observed CDF at time 0:</t>
  </si>
  <si>
    <t>Area under curve:</t>
  </si>
  <si>
    <t>To ensure desired probability of correctly estimating variant prevalence within desired precision</t>
  </si>
  <si>
    <t>Number of samples PER DAY to select for sequencing:</t>
  </si>
  <si>
    <t>Sequences needed per day for detection at desired probability:</t>
  </si>
  <si>
    <t>How to use this spreadsheet to calculate sample sizes for variant detection and monitoring:</t>
  </si>
  <si>
    <r>
      <t xml:space="preserve">CALCULATED VALUES - </t>
    </r>
    <r>
      <rPr>
        <b/>
        <sz val="16"/>
        <color rgb="FFFF0000"/>
        <rFont val="Arial"/>
        <family val="2"/>
      </rPr>
      <t>DO NOT EDIT</t>
    </r>
  </si>
  <si>
    <r>
      <t xml:space="preserve">Note: </t>
    </r>
    <r>
      <rPr>
        <i/>
        <sz val="10"/>
        <color theme="1"/>
        <rFont val="Arial"/>
        <family val="2"/>
      </rPr>
      <t>You may enter "1" for testing probabilities if asymptomatic proportion is the same for all variants</t>
    </r>
    <r>
      <rPr>
        <b/>
        <i/>
        <sz val="10"/>
        <color theme="1"/>
        <rFont val="Arial"/>
        <family val="2"/>
      </rPr>
      <t xml:space="preserve"> (C21 = C27)</t>
    </r>
  </si>
  <si>
    <r>
      <t xml:space="preserve">Note: </t>
    </r>
    <r>
      <rPr>
        <i/>
        <sz val="10"/>
        <color theme="1"/>
        <rFont val="Arial"/>
        <family val="2"/>
      </rPr>
      <t>You may enter "1" for all values that do not differ between variant of interest and general pathogen population</t>
    </r>
  </si>
  <si>
    <t>Growth parameters [periodic sampling only]</t>
  </si>
  <si>
    <r>
      <t xml:space="preserve">Note: </t>
    </r>
    <r>
      <rPr>
        <i/>
        <sz val="10"/>
        <color theme="1"/>
        <rFont val="Arial"/>
        <family val="2"/>
      </rPr>
      <t>You may enter "1" for testing probabilities if asymptomatic proportion is the same for all variants</t>
    </r>
    <r>
      <rPr>
        <b/>
        <i/>
        <sz val="10"/>
        <color theme="1"/>
        <rFont val="Arial"/>
        <family val="2"/>
      </rPr>
      <t xml:space="preserve"> (C22 = C28)</t>
    </r>
  </si>
  <si>
    <r>
      <t xml:space="preserve">Note: </t>
    </r>
    <r>
      <rPr>
        <i/>
        <sz val="10"/>
        <color theme="1"/>
        <rFont val="Arial"/>
        <family val="2"/>
      </rPr>
      <t>You may enter "1" for testing probabilities if asymptomatic proportion is the same for all variants</t>
    </r>
    <r>
      <rPr>
        <b/>
        <i/>
        <sz val="10"/>
        <color theme="1"/>
        <rFont val="Arial"/>
        <family val="2"/>
      </rPr>
      <t xml:space="preserve"> (C26 = C32)</t>
    </r>
  </si>
  <si>
    <r>
      <t xml:space="preserve">NOTE: Please enter "1" for any of the parameters </t>
    </r>
    <r>
      <rPr>
        <b/>
        <i/>
        <u/>
        <sz val="12"/>
        <color rgb="FFC00000"/>
        <rFont val="Arial"/>
        <family val="2"/>
      </rPr>
      <t>below</t>
    </r>
    <r>
      <rPr>
        <i/>
        <sz val="12"/>
        <color rgb="FFC00000"/>
        <rFont val="Arial"/>
        <family val="2"/>
      </rPr>
      <t xml:space="preserve"> that do not differ between the variant of interest and the general pathogen population; estimation of these parameters is not required for sample size calculations</t>
    </r>
  </si>
  <si>
    <t>Default value</t>
  </si>
  <si>
    <t>Definition</t>
  </si>
  <si>
    <t>Desired probability of detection</t>
  </si>
  <si>
    <t>Desired confidence in prevalence estimate</t>
  </si>
  <si>
    <t>Desired variant prevalence</t>
  </si>
  <si>
    <t>Desired precision of prevalence estimate</t>
  </si>
  <si>
    <r>
      <t xml:space="preserve">the minimum variant prevalence to detect or monitor (e.g., sampling should lead to 95% confidence in detection of a variant with at least </t>
    </r>
    <r>
      <rPr>
        <b/>
        <sz val="12"/>
        <rFont val="Arial"/>
        <family val="2"/>
      </rPr>
      <t>5% prevalence</t>
    </r>
    <r>
      <rPr>
        <sz val="12"/>
        <rFont val="Arial"/>
        <family val="2"/>
      </rPr>
      <t xml:space="preserve"> in the population)</t>
    </r>
  </si>
  <si>
    <r>
      <rPr>
        <sz val="12"/>
        <color theme="5"/>
        <rFont val="Arial"/>
        <family val="2"/>
      </rPr>
      <t>[detection only]</t>
    </r>
    <r>
      <rPr>
        <sz val="12"/>
        <color theme="4"/>
        <rFont val="Arial"/>
        <family val="2"/>
      </rPr>
      <t xml:space="preserve"> </t>
    </r>
    <r>
      <rPr>
        <sz val="12"/>
        <rFont val="Arial"/>
        <family val="2"/>
      </rPr>
      <t xml:space="preserve">the desired confidence in variant detection (e.g., sampling should lead to </t>
    </r>
    <r>
      <rPr>
        <b/>
        <sz val="12"/>
        <rFont val="Arial"/>
        <family val="2"/>
      </rPr>
      <t>95% confidence</t>
    </r>
    <r>
      <rPr>
        <sz val="12"/>
        <rFont val="Arial"/>
        <family val="2"/>
      </rPr>
      <t xml:space="preserve"> that a detected variant will be observed)</t>
    </r>
  </si>
  <si>
    <r>
      <rPr>
        <sz val="12"/>
        <color theme="5"/>
        <rFont val="Arial"/>
        <family val="2"/>
      </rPr>
      <t>[monitoring only]</t>
    </r>
    <r>
      <rPr>
        <sz val="12"/>
        <color theme="1"/>
        <rFont val="Arial"/>
        <family val="2"/>
      </rPr>
      <t xml:space="preserve"> the desired confidence in estimate of variant prevalence (e.g., sampling should lead to </t>
    </r>
    <r>
      <rPr>
        <b/>
        <sz val="12"/>
        <color theme="1"/>
        <rFont val="Arial"/>
        <family val="2"/>
      </rPr>
      <t>95% confidence</t>
    </r>
    <r>
      <rPr>
        <sz val="12"/>
        <color theme="1"/>
        <rFont val="Arial"/>
        <family val="2"/>
      </rPr>
      <t xml:space="preserve"> that observed variant prevalence is correct)</t>
    </r>
  </si>
  <si>
    <r>
      <rPr>
        <sz val="12"/>
        <color theme="5"/>
        <rFont val="Arial"/>
        <family val="2"/>
      </rPr>
      <t>[monitoring only]</t>
    </r>
    <r>
      <rPr>
        <sz val="12"/>
        <color theme="1"/>
        <rFont val="Arial"/>
        <family val="2"/>
      </rPr>
      <t xml:space="preserve"> the desired precision of the prevalence estimate (e.g., sampling should lead to 95% confidence that estimated prevalence is </t>
    </r>
    <r>
      <rPr>
        <b/>
        <sz val="12"/>
        <color theme="1"/>
        <rFont val="Arial"/>
        <family val="2"/>
      </rPr>
      <t>within 10%</t>
    </r>
    <r>
      <rPr>
        <sz val="12"/>
        <color theme="1"/>
        <rFont val="Arial"/>
        <family val="2"/>
      </rPr>
      <t xml:space="preserve"> of true value)</t>
    </r>
  </si>
  <si>
    <t>0.02 (detection); 0.10 (monitoring)</t>
  </si>
  <si>
    <t>Number of variant introductions</t>
  </si>
  <si>
    <t>Population size</t>
  </si>
  <si>
    <t>Growth rate (per time step)</t>
  </si>
  <si>
    <t>the population size of the geographic region in which sampling is to be conducted</t>
  </si>
  <si>
    <r>
      <rPr>
        <sz val="12"/>
        <rFont val="Arial"/>
        <family val="2"/>
      </rPr>
      <t xml:space="preserve">the </t>
    </r>
    <r>
      <rPr>
        <sz val="12"/>
        <color theme="1"/>
        <rFont val="Arial"/>
        <family val="2"/>
      </rPr>
      <t>estimated number of introductions of a variant into desired population at beginning of variant transmission</t>
    </r>
  </si>
  <si>
    <t>Sequencing Ct threshold</t>
  </si>
  <si>
    <t>Sequencing success rate (assuming Ct&lt;threshold)</t>
  </si>
  <si>
    <t>30 (can be left blank)</t>
  </si>
  <si>
    <t>the Ct threshold used to select samples for sequencing; this value has no effect on calculations and is used solely for record-keeping</t>
  </si>
  <si>
    <t>the fraction of sequenced samples that typically generate a successful whole genome sequence; this value should be estimated from past sequencing results</t>
  </si>
  <si>
    <t>Testing probability - asymptomatic infections</t>
  </si>
  <si>
    <t>Testing probability - symptomatic infections</t>
  </si>
  <si>
    <r>
      <t>the testing rate for asymptomatic infections;</t>
    </r>
    <r>
      <rPr>
        <sz val="12"/>
        <color rgb="FFC00000"/>
        <rFont val="Arial"/>
        <family val="2"/>
      </rPr>
      <t xml:space="preserve"> you may enter "1"</t>
    </r>
    <r>
      <rPr>
        <sz val="12"/>
        <rFont val="Arial"/>
        <family val="2"/>
      </rPr>
      <t xml:space="preserve"> if there is no difference in asymptomatic rate between variant of interest and general pathogen population (in this case, estimate will not affect sample size calculation)</t>
    </r>
  </si>
  <si>
    <r>
      <t>the testing rate for symptomatic infections;</t>
    </r>
    <r>
      <rPr>
        <sz val="12"/>
        <color rgb="FFC00000"/>
        <rFont val="Arial"/>
        <family val="2"/>
      </rPr>
      <t xml:space="preserve"> you may enter "1"</t>
    </r>
    <r>
      <rPr>
        <sz val="12"/>
        <rFont val="Arial"/>
        <family val="2"/>
      </rPr>
      <t xml:space="preserve"> if there is no difference in asymptomatic rate between variant of interest and general pathogen population (in this case, estimate will not affect sample size calculation)</t>
    </r>
  </si>
  <si>
    <t>Probability that infection is asymptomatic</t>
  </si>
  <si>
    <t>Testing sensitivity</t>
  </si>
  <si>
    <t>Average proportion of samples below Ct threshold</t>
  </si>
  <si>
    <t>the probability that an infection caused by the variant of interest is asymptomatic</t>
  </si>
  <si>
    <t>the sensitivity of tests used to detect infection with the pathogen of interest</t>
  </si>
  <si>
    <t>the proportion variant of interest samples typically selected for sequencing (based on Ct values or other metrics)</t>
  </si>
  <si>
    <t>the probability that an infection caused by a pathogen in the general population is asymptomatic</t>
  </si>
  <si>
    <t>the sensitivity of tests used to detect infection with the general pathogen population</t>
  </si>
  <si>
    <t>the proportion general pathogen population samples typically selected for sequencing (based on Ct values or other metrics)</t>
  </si>
  <si>
    <t>the growth rate (per time step e.g., per day) of the variant of interest</t>
  </si>
  <si>
    <t>2) Provide estimates for parameters in the USER INPUTS column on the left of each tab. Parameter definitions and reasonable defaults can be found below:</t>
  </si>
  <si>
    <t>Desired days to detection:</t>
  </si>
  <si>
    <t>NA</t>
  </si>
  <si>
    <t>Observed prevalence after desired number of days:</t>
  </si>
  <si>
    <r>
      <t xml:space="preserve">Note: </t>
    </r>
    <r>
      <rPr>
        <i/>
        <sz val="10"/>
        <color theme="1"/>
        <rFont val="Arial"/>
        <family val="2"/>
      </rPr>
      <t xml:space="preserve">Enter the desired variant prevalence </t>
    </r>
    <r>
      <rPr>
        <b/>
        <i/>
        <sz val="10"/>
        <color theme="1"/>
        <rFont val="Arial"/>
        <family val="2"/>
      </rPr>
      <t>OR</t>
    </r>
    <r>
      <rPr>
        <i/>
        <sz val="10"/>
        <color theme="1"/>
        <rFont val="Arial"/>
        <family val="2"/>
      </rPr>
      <t xml:space="preserve"> the desired days to detection; enter "NA" for the other value</t>
    </r>
  </si>
  <si>
    <t>Desired days to detection</t>
  </si>
  <si>
    <r>
      <rPr>
        <sz val="12"/>
        <color theme="5"/>
        <rFont val="Arial"/>
        <family val="2"/>
      </rPr>
      <t>[detection with periodic sampling only]</t>
    </r>
    <r>
      <rPr>
        <sz val="12"/>
        <color theme="1"/>
        <rFont val="Arial"/>
        <family val="2"/>
      </rPr>
      <t xml:space="preserve"> the desired number of days by which to detect the variant of interest (e.g., sampling should lead to 95% confidence in detection of a variant within the first </t>
    </r>
    <r>
      <rPr>
        <b/>
        <sz val="12"/>
        <color theme="1"/>
        <rFont val="Arial"/>
        <family val="2"/>
      </rPr>
      <t xml:space="preserve">30 days </t>
    </r>
    <r>
      <rPr>
        <sz val="12"/>
        <color theme="1"/>
        <rFont val="Arial"/>
        <family val="2"/>
      </rPr>
      <t>of its spread in the population)</t>
    </r>
  </si>
  <si>
    <t>To ensure desired probability of detection before variant reaches desired prevalence or within specified number of days</t>
  </si>
  <si>
    <t>Calculate sample size needed for variant detection: cross-sectional sample</t>
  </si>
  <si>
    <t>Determine probability of detection given sample size: cross-sectional sample</t>
  </si>
  <si>
    <t>Sample size:</t>
  </si>
  <si>
    <t>High quality sequences expected from sample size:</t>
  </si>
  <si>
    <t xml:space="preserve">Probability of detection of a variant at indicated prevalence: </t>
  </si>
  <si>
    <t>1) Select the appropriate tab based on the question (variant detection versus prevalence estimation) and sampling method (single sample versus periodic):</t>
  </si>
  <si>
    <t>Tab name</t>
  </si>
  <si>
    <t>Purpose / Type of Calculation</t>
  </si>
  <si>
    <t>Detection - Sample Size</t>
  </si>
  <si>
    <t>Detection - Confidence</t>
  </si>
  <si>
    <t>Prevalence - Sample Size</t>
  </si>
  <si>
    <t>Prevalence - Confidence</t>
  </si>
  <si>
    <r>
      <t xml:space="preserve">Use this tab to </t>
    </r>
    <r>
      <rPr>
        <b/>
        <sz val="12"/>
        <color theme="5"/>
        <rFont val="Arial"/>
        <family val="2"/>
      </rPr>
      <t>calculate the sample size needed</t>
    </r>
    <r>
      <rPr>
        <sz val="12"/>
        <color theme="1"/>
        <rFont val="Arial"/>
        <family val="2"/>
      </rPr>
      <t xml:space="preserve"> to detect a variant at a given prevalence with a desired probability (</t>
    </r>
    <r>
      <rPr>
        <sz val="12"/>
        <color theme="4"/>
        <rFont val="Arial"/>
        <family val="2"/>
      </rPr>
      <t>cross-sectional sample</t>
    </r>
    <r>
      <rPr>
        <sz val="12"/>
        <color theme="1"/>
        <rFont val="Arial"/>
        <family val="2"/>
      </rPr>
      <t>)</t>
    </r>
  </si>
  <si>
    <r>
      <t xml:space="preserve">Use this tab to </t>
    </r>
    <r>
      <rPr>
        <b/>
        <sz val="12"/>
        <color theme="5"/>
        <rFont val="Arial"/>
        <family val="2"/>
      </rPr>
      <t>calculate the probability of detecting</t>
    </r>
    <r>
      <rPr>
        <sz val="12"/>
        <color theme="1"/>
        <rFont val="Arial"/>
        <family val="2"/>
      </rPr>
      <t xml:space="preserve"> a variant at a desired prevalence level given an available sample size (</t>
    </r>
    <r>
      <rPr>
        <sz val="12"/>
        <color theme="4"/>
        <rFont val="Arial"/>
        <family val="2"/>
      </rPr>
      <t>cross-sectional sample</t>
    </r>
    <r>
      <rPr>
        <sz val="12"/>
        <color theme="1"/>
        <rFont val="Arial"/>
        <family val="2"/>
      </rPr>
      <t>)</t>
    </r>
  </si>
  <si>
    <r>
      <t xml:space="preserve">Use this tab to </t>
    </r>
    <r>
      <rPr>
        <b/>
        <sz val="12"/>
        <color theme="5"/>
        <rFont val="Arial"/>
        <family val="2"/>
      </rPr>
      <t>calculate the sample size needed</t>
    </r>
    <r>
      <rPr>
        <sz val="12"/>
        <color theme="1"/>
        <rFont val="Arial"/>
        <family val="2"/>
      </rPr>
      <t xml:space="preserve"> to estimate the prevalence of a variant (given some minimum prevalence) with a desired confidence and precision (</t>
    </r>
    <r>
      <rPr>
        <sz val="12"/>
        <color theme="4"/>
        <rFont val="Arial"/>
        <family val="2"/>
      </rPr>
      <t>cross-sectional sample</t>
    </r>
    <r>
      <rPr>
        <sz val="12"/>
        <color theme="1"/>
        <rFont val="Arial"/>
        <family val="2"/>
      </rPr>
      <t>)</t>
    </r>
  </si>
  <si>
    <r>
      <t xml:space="preserve">Use this tab to </t>
    </r>
    <r>
      <rPr>
        <b/>
        <sz val="12"/>
        <color theme="5"/>
        <rFont val="Arial"/>
        <family val="2"/>
      </rPr>
      <t xml:space="preserve">calculate the confidence in the prevalence estimate </t>
    </r>
    <r>
      <rPr>
        <sz val="12"/>
        <color theme="1"/>
        <rFont val="Arial"/>
        <family val="2"/>
      </rPr>
      <t>of a variant (given some minimum prevalence) given an available sample size (</t>
    </r>
    <r>
      <rPr>
        <sz val="12"/>
        <color theme="4"/>
        <rFont val="Arial"/>
        <family val="2"/>
      </rPr>
      <t>cross-sectional sample</t>
    </r>
    <r>
      <rPr>
        <sz val="12"/>
        <color theme="1"/>
        <rFont val="Arial"/>
        <family val="2"/>
      </rPr>
      <t>)</t>
    </r>
  </si>
  <si>
    <r>
      <t xml:space="preserve">Use this tab to </t>
    </r>
    <r>
      <rPr>
        <b/>
        <sz val="12"/>
        <color theme="5"/>
        <rFont val="Arial"/>
        <family val="2"/>
      </rPr>
      <t>calculate the sample size needed</t>
    </r>
    <r>
      <rPr>
        <sz val="12"/>
        <color theme="1"/>
        <rFont val="Arial"/>
        <family val="2"/>
      </rPr>
      <t xml:space="preserve"> to detect a variant at a given prevalence or time since introduction with some desired probability (</t>
    </r>
    <r>
      <rPr>
        <sz val="12"/>
        <color theme="4"/>
        <rFont val="Arial"/>
        <family val="2"/>
      </rPr>
      <t>ongoing surveillance</t>
    </r>
    <r>
      <rPr>
        <sz val="12"/>
        <color theme="1"/>
        <rFont val="Arial"/>
        <family val="2"/>
      </rPr>
      <t>)</t>
    </r>
  </si>
  <si>
    <r>
      <t xml:space="preserve">Use this tab to </t>
    </r>
    <r>
      <rPr>
        <b/>
        <sz val="12"/>
        <color theme="5"/>
        <rFont val="Arial"/>
        <family val="2"/>
      </rPr>
      <t>calculate the probability of detecting</t>
    </r>
    <r>
      <rPr>
        <sz val="12"/>
        <color theme="1"/>
        <rFont val="Arial"/>
        <family val="2"/>
      </rPr>
      <t xml:space="preserve"> a variant at a desired prevalence level or time since introduction given an available sample size (</t>
    </r>
    <r>
      <rPr>
        <sz val="12"/>
        <color theme="4"/>
        <rFont val="Arial"/>
        <family val="2"/>
      </rPr>
      <t>ongoing surveillance</t>
    </r>
    <r>
      <rPr>
        <sz val="12"/>
        <color theme="1"/>
        <rFont val="Arial"/>
        <family val="2"/>
      </rPr>
      <t>)</t>
    </r>
  </si>
  <si>
    <t>3) After entering all parameters, see results in right hand column of selected tab.</t>
  </si>
  <si>
    <r>
      <rPr>
        <b/>
        <sz val="10"/>
        <color theme="8"/>
        <rFont val="Arial"/>
        <family val="2"/>
      </rPr>
      <t>Calculations derived from:</t>
    </r>
    <r>
      <rPr>
        <sz val="10"/>
        <color theme="8"/>
        <rFont val="Arial"/>
        <family val="2"/>
      </rPr>
      <t xml:space="preserve"> Wohl et al. </t>
    </r>
    <r>
      <rPr>
        <i/>
        <sz val="10"/>
        <color theme="8"/>
        <rFont val="Arial"/>
        <family val="2"/>
      </rPr>
      <t>Sample Size Calculations for Variant Surveillance in the Presence of Biological and Systematic Biases.</t>
    </r>
  </si>
  <si>
    <t>Confidence in prevalence estimate for variants at indicated prevalence:</t>
  </si>
  <si>
    <t>Given that the stated number of samples are selected for sequencing</t>
  </si>
  <si>
    <t>Z-Statistic given sample size and desired precision:</t>
  </si>
  <si>
    <t>Detect (Periodic) - Sample Size</t>
  </si>
  <si>
    <t>Detect (Periodic) - Confidence</t>
  </si>
  <si>
    <t>Sample size (PER DAY):</t>
  </si>
  <si>
    <t>High quality sequences expected per day from sample size:</t>
  </si>
  <si>
    <t>NB: For best results, select samples as randomly as possible OR in a way that maximizes geographic and temporal distribution of samples.</t>
  </si>
  <si>
    <t>NB: Result is most accurated if samples were selected as randomly as possible OR in a way that maximized geographic and temporal distribution of samples.</t>
  </si>
  <si>
    <t>Calculate sample size needed for variant detection: periodic sampling</t>
  </si>
  <si>
    <t>Determine probability of detection given sample size: periodic sampling</t>
  </si>
  <si>
    <t>Calculate sample size needed for estimating variant prevalence: cross-sectional sample</t>
  </si>
  <si>
    <t>Determine confidence in estimate of variant prevalence: cross-sectional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</si>
</sst>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16"/>
      <color rgb="FFFF0000"/>
      <name val="Arial"/>
      <family val="2"/>
    </font>
    <font>
      <b/>
      <sz val="12"/>
      <color theme="1"/>
      <name val="Arial"/>
      <family val="2"/>
    </font>
    <font>
      <b/>
      <sz val="14"/>
      <color rgb="FFFF0000"/>
      <name val="Arial"/>
      <family val="2"/>
    </font>
    <font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4"/>
      <name val="Arial"/>
      <family val="2"/>
    </font>
    <font>
      <sz val="12"/>
      <color rgb="FFC00000"/>
      <name val="Arial"/>
      <family val="2"/>
    </font>
    <font>
      <i/>
      <sz val="12"/>
      <color rgb="FFC00000"/>
      <name val="Arial"/>
      <family val="2"/>
    </font>
    <font>
      <b/>
      <i/>
      <u/>
      <sz val="12"/>
      <color rgb="FFC00000"/>
      <name val="Arial"/>
      <family val="2"/>
    </font>
    <font>
      <sz val="12"/>
      <color theme="5"/>
      <name val="Arial"/>
      <family val="2"/>
    </font>
    <font>
      <b/>
      <sz val="12"/>
      <color theme="5"/>
      <name val="Arial"/>
      <family val="2"/>
    </font>
    <font>
      <b/>
      <sz val="12"/>
      <color theme="0"/>
      <name val="Arial"/>
      <family val="2"/>
    </font>
    <font>
      <b/>
      <sz val="16"/>
      <color rgb="FF002060"/>
      <name val="Arial"/>
      <family val="2"/>
    </font>
    <font>
      <sz val="12"/>
      <color rgb="FF002060"/>
      <name val="Arial"/>
      <family val="2"/>
    </font>
    <font>
      <b/>
      <sz val="13"/>
      <color theme="0"/>
      <name val="Arial"/>
      <family val="2"/>
    </font>
    <font>
      <sz val="10"/>
      <color theme="8"/>
      <name val="Arial"/>
      <family val="2"/>
    </font>
    <font>
      <b/>
      <sz val="10"/>
      <color theme="8"/>
      <name val="Arial"/>
      <family val="2"/>
    </font>
    <font>
      <i/>
      <sz val="10"/>
      <color theme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/>
    <xf numFmtId="0" fontId="2" fillId="0" borderId="0" xfId="0" applyFont="1" applyAlignment="1">
      <alignment vertical="center"/>
    </xf>
    <xf numFmtId="0" fontId="2" fillId="0" borderId="0" xfId="0" applyFont="1"/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" fillId="0" borderId="0" xfId="0" applyFont="1" applyFill="1"/>
    <xf numFmtId="0" fontId="5" fillId="0" borderId="1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 applyFill="1" applyAlignment="1">
      <alignment vertical="center"/>
    </xf>
    <xf numFmtId="164" fontId="1" fillId="0" borderId="0" xfId="0" applyNumberFormat="1" applyFont="1" applyAlignment="1">
      <alignment horizontal="center"/>
    </xf>
    <xf numFmtId="0" fontId="9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7" fillId="4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19" fillId="3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2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8040A-BC4E-FF45-AF4B-9454F8204D7F}">
  <dimension ref="A1:R51"/>
  <sheetViews>
    <sheetView showGridLines="0" tabSelected="1" zoomScaleNormal="100" workbookViewId="0"/>
  </sheetViews>
  <sheetFormatPr baseColWidth="10" defaultRowHeight="23" customHeight="1" x14ac:dyDescent="0.2"/>
  <cols>
    <col min="1" max="1" width="10.83203125" style="1"/>
    <col min="2" max="2" width="7.1640625" style="1" customWidth="1"/>
    <col min="3" max="3" width="50.33203125" style="1" customWidth="1"/>
    <col min="4" max="4" width="35" style="1" customWidth="1"/>
    <col min="5" max="5" width="10.83203125" style="1" customWidth="1"/>
    <col min="6" max="16384" width="10.83203125" style="1"/>
  </cols>
  <sheetData>
    <row r="1" spans="1:18" ht="23" customHeight="1" x14ac:dyDescent="0.2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8" ht="45" customHeight="1" x14ac:dyDescent="0.2">
      <c r="A2" s="19"/>
      <c r="B2" s="30" t="s">
        <v>38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19"/>
      <c r="Q2" s="19"/>
      <c r="R2" s="19"/>
    </row>
    <row r="3" spans="1:18" ht="23" customHeigh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8" ht="27" customHeight="1" x14ac:dyDescent="0.2">
      <c r="A4" s="19"/>
      <c r="B4" s="32" t="s">
        <v>94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19"/>
      <c r="Q4" s="19"/>
      <c r="R4" s="19"/>
    </row>
    <row r="5" spans="1:18" s="3" customFormat="1" ht="23" customHeight="1" x14ac:dyDescent="0.2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</row>
    <row r="6" spans="1:18" s="3" customFormat="1" ht="23" customHeight="1" x14ac:dyDescent="0.2">
      <c r="A6" s="28"/>
      <c r="B6" s="28"/>
      <c r="C6" s="17" t="s">
        <v>95</v>
      </c>
      <c r="D6" s="18" t="s">
        <v>96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</row>
    <row r="7" spans="1:18" s="3" customFormat="1" ht="23" customHeight="1" x14ac:dyDescent="0.2">
      <c r="A7" s="28"/>
      <c r="B7" s="28"/>
      <c r="C7" s="28" t="s">
        <v>97</v>
      </c>
      <c r="D7" s="28" t="s">
        <v>101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</row>
    <row r="8" spans="1:18" s="3" customFormat="1" ht="23" customHeight="1" x14ac:dyDescent="0.2">
      <c r="A8" s="28"/>
      <c r="B8" s="28"/>
      <c r="C8" s="28" t="s">
        <v>98</v>
      </c>
      <c r="D8" s="28" t="s">
        <v>102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</row>
    <row r="9" spans="1:18" s="3" customFormat="1" ht="23" customHeight="1" x14ac:dyDescent="0.2">
      <c r="A9" s="28"/>
      <c r="B9" s="28"/>
      <c r="C9" s="28" t="s">
        <v>99</v>
      </c>
      <c r="D9" s="28" t="s">
        <v>103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</row>
    <row r="10" spans="1:18" s="3" customFormat="1" ht="23" customHeight="1" x14ac:dyDescent="0.2">
      <c r="A10" s="28"/>
      <c r="B10" s="28"/>
      <c r="C10" s="28" t="s">
        <v>100</v>
      </c>
      <c r="D10" s="28" t="s">
        <v>104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1:18" s="3" customFormat="1" ht="23" customHeight="1" x14ac:dyDescent="0.2">
      <c r="A11" s="28"/>
      <c r="B11" s="28"/>
      <c r="C11" s="28" t="s">
        <v>112</v>
      </c>
      <c r="D11" s="28" t="s">
        <v>105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s="3" customFormat="1" ht="23" customHeight="1" x14ac:dyDescent="0.2">
      <c r="A12" s="28"/>
      <c r="B12" s="28"/>
      <c r="C12" s="28" t="s">
        <v>113</v>
      </c>
      <c r="D12" s="28" t="s">
        <v>106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</row>
    <row r="13" spans="1:18" ht="23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18" ht="27" customHeight="1" x14ac:dyDescent="0.2">
      <c r="A14" s="19"/>
      <c r="B14" s="32" t="s">
        <v>81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19"/>
      <c r="Q14" s="19"/>
      <c r="R14" s="19"/>
    </row>
    <row r="15" spans="1:18" ht="23" customHeight="1" x14ac:dyDescent="0.2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</row>
    <row r="16" spans="1:18" ht="23" customHeight="1" x14ac:dyDescent="0.2">
      <c r="A16" s="19"/>
      <c r="B16" s="19"/>
      <c r="C16" s="17" t="s">
        <v>5</v>
      </c>
      <c r="D16" s="17" t="s">
        <v>46</v>
      </c>
      <c r="E16" s="22" t="s">
        <v>47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1:18" ht="23" customHeight="1" x14ac:dyDescent="0.2">
      <c r="A17" s="19"/>
      <c r="B17" s="19"/>
      <c r="C17" s="23" t="s">
        <v>48</v>
      </c>
      <c r="D17" s="25">
        <v>0.95</v>
      </c>
      <c r="E17" s="20" t="s">
        <v>53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spans="1:18" ht="23" customHeight="1" x14ac:dyDescent="0.2">
      <c r="A18" s="19"/>
      <c r="B18" s="19"/>
      <c r="C18" s="24" t="s">
        <v>49</v>
      </c>
      <c r="D18" s="26">
        <v>0.95</v>
      </c>
      <c r="E18" s="19" t="s">
        <v>54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 spans="1:18" ht="23" customHeight="1" x14ac:dyDescent="0.2">
      <c r="A19" s="19"/>
      <c r="B19" s="19"/>
      <c r="C19" s="23" t="s">
        <v>50</v>
      </c>
      <c r="D19" s="25" t="s">
        <v>56</v>
      </c>
      <c r="E19" s="20" t="s">
        <v>52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</row>
    <row r="20" spans="1:18" ht="23" customHeight="1" x14ac:dyDescent="0.2">
      <c r="A20" s="19"/>
      <c r="B20" s="19"/>
      <c r="C20" s="23" t="s">
        <v>86</v>
      </c>
      <c r="D20" s="25" t="s">
        <v>83</v>
      </c>
      <c r="E20" s="19" t="s">
        <v>87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1:18" ht="23" customHeight="1" x14ac:dyDescent="0.2">
      <c r="A21" s="19"/>
      <c r="B21" s="19"/>
      <c r="C21" s="24" t="s">
        <v>51</v>
      </c>
      <c r="D21" s="26">
        <v>0.25</v>
      </c>
      <c r="E21" s="19" t="s">
        <v>55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spans="1:18" ht="23" customHeight="1" x14ac:dyDescent="0.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</row>
    <row r="23" spans="1:18" ht="23" customHeight="1" x14ac:dyDescent="0.2">
      <c r="A23" s="19"/>
      <c r="B23" s="19"/>
      <c r="C23" s="18" t="s">
        <v>42</v>
      </c>
      <c r="D23" s="17" t="s">
        <v>46</v>
      </c>
      <c r="E23" s="22" t="s">
        <v>47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</row>
    <row r="24" spans="1:18" ht="23" customHeight="1" x14ac:dyDescent="0.2">
      <c r="A24" s="19"/>
      <c r="B24" s="19"/>
      <c r="C24" s="24" t="s">
        <v>57</v>
      </c>
      <c r="D24" s="25">
        <v>1</v>
      </c>
      <c r="E24" s="19" t="s">
        <v>61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</row>
    <row r="25" spans="1:18" ht="23" customHeight="1" x14ac:dyDescent="0.2">
      <c r="A25" s="19"/>
      <c r="B25" s="19"/>
      <c r="C25" s="24" t="s">
        <v>58</v>
      </c>
      <c r="D25" s="26" t="s">
        <v>83</v>
      </c>
      <c r="E25" s="19" t="s">
        <v>60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</row>
    <row r="26" spans="1:18" ht="23" customHeight="1" x14ac:dyDescent="0.2">
      <c r="A26" s="19"/>
      <c r="B26" s="19"/>
      <c r="C26" s="24" t="s">
        <v>59</v>
      </c>
      <c r="D26" s="25">
        <v>0.1</v>
      </c>
      <c r="E26" s="19" t="s">
        <v>80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</row>
    <row r="27" spans="1:18" ht="23" customHeight="1" x14ac:dyDescent="0.2">
      <c r="A27" s="19"/>
      <c r="B27" s="19"/>
      <c r="C27" s="20"/>
      <c r="D27" s="20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</row>
    <row r="28" spans="1:18" ht="23" customHeight="1" x14ac:dyDescent="0.2">
      <c r="A28" s="19"/>
      <c r="B28" s="19"/>
      <c r="C28" s="17" t="s">
        <v>10</v>
      </c>
      <c r="D28" s="17" t="s">
        <v>46</v>
      </c>
      <c r="E28" s="22" t="s">
        <v>47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</row>
    <row r="29" spans="1:18" ht="23" customHeight="1" x14ac:dyDescent="0.2">
      <c r="A29" s="19"/>
      <c r="B29" s="19"/>
      <c r="C29" s="23" t="s">
        <v>62</v>
      </c>
      <c r="D29" s="25" t="s">
        <v>64</v>
      </c>
      <c r="E29" s="20" t="s">
        <v>65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</row>
    <row r="30" spans="1:18" ht="23" customHeight="1" x14ac:dyDescent="0.2">
      <c r="A30" s="19"/>
      <c r="B30" s="19"/>
      <c r="C30" s="23" t="s">
        <v>63</v>
      </c>
      <c r="D30" s="26">
        <v>0.8</v>
      </c>
      <c r="E30" s="20" t="s">
        <v>66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</row>
    <row r="31" spans="1:18" ht="23" customHeight="1" x14ac:dyDescent="0.2">
      <c r="A31" s="19"/>
      <c r="B31" s="19"/>
      <c r="C31" s="20"/>
      <c r="D31" s="25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</row>
    <row r="32" spans="1:18" ht="23" customHeight="1" x14ac:dyDescent="0.2">
      <c r="A32" s="19"/>
      <c r="B32" s="19"/>
      <c r="C32" s="17" t="s">
        <v>18</v>
      </c>
      <c r="D32" s="17" t="s">
        <v>46</v>
      </c>
      <c r="E32" s="22" t="s">
        <v>47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</row>
    <row r="33" spans="1:18" ht="23" customHeight="1" x14ac:dyDescent="0.2">
      <c r="A33" s="19"/>
      <c r="B33" s="19"/>
      <c r="C33" s="23" t="s">
        <v>67</v>
      </c>
      <c r="D33" s="25">
        <v>0.05</v>
      </c>
      <c r="E33" s="20" t="s">
        <v>69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</row>
    <row r="34" spans="1:18" ht="23" customHeight="1" x14ac:dyDescent="0.2">
      <c r="A34" s="19"/>
      <c r="B34" s="19"/>
      <c r="C34" s="23" t="s">
        <v>68</v>
      </c>
      <c r="D34" s="26">
        <v>0.3</v>
      </c>
      <c r="E34" s="20" t="s">
        <v>70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</row>
    <row r="35" spans="1:18" ht="23" customHeight="1" x14ac:dyDescent="0.2">
      <c r="A35" s="19"/>
      <c r="B35" s="19"/>
      <c r="C35" s="20"/>
      <c r="D35" s="20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</row>
    <row r="36" spans="1:18" ht="23" customHeight="1" x14ac:dyDescent="0.2">
      <c r="A36" s="19"/>
      <c r="B36" s="19"/>
      <c r="C36" s="21" t="s">
        <v>45</v>
      </c>
      <c r="D36" s="21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</row>
    <row r="37" spans="1:18" ht="23" customHeight="1" x14ac:dyDescent="0.2">
      <c r="A37" s="19"/>
      <c r="B37" s="19"/>
      <c r="C37" s="20"/>
      <c r="D37" s="20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</row>
    <row r="38" spans="1:18" ht="23" customHeight="1" x14ac:dyDescent="0.2">
      <c r="A38" s="19"/>
      <c r="B38" s="19"/>
      <c r="C38" s="17" t="s">
        <v>6</v>
      </c>
      <c r="D38" s="17" t="s">
        <v>46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</row>
    <row r="39" spans="1:18" ht="23" customHeight="1" x14ac:dyDescent="0.2">
      <c r="A39" s="19"/>
      <c r="B39" s="19"/>
      <c r="C39" s="23" t="s">
        <v>71</v>
      </c>
      <c r="D39" s="25">
        <v>0.25</v>
      </c>
      <c r="E39" s="20" t="s">
        <v>74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</row>
    <row r="40" spans="1:18" ht="23" customHeight="1" x14ac:dyDescent="0.2">
      <c r="A40" s="19"/>
      <c r="B40" s="19"/>
      <c r="C40" s="23" t="s">
        <v>72</v>
      </c>
      <c r="D40" s="26">
        <v>0.97499999999999998</v>
      </c>
      <c r="E40" s="20" t="s">
        <v>75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</row>
    <row r="41" spans="1:18" ht="23" customHeight="1" x14ac:dyDescent="0.2">
      <c r="A41" s="19"/>
      <c r="B41" s="19"/>
      <c r="C41" s="23" t="s">
        <v>73</v>
      </c>
      <c r="D41" s="25">
        <v>0.8</v>
      </c>
      <c r="E41" s="20" t="s">
        <v>76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</row>
    <row r="42" spans="1:18" ht="23" customHeight="1" x14ac:dyDescent="0.2">
      <c r="A42" s="19"/>
      <c r="B42" s="19"/>
      <c r="C42" s="20"/>
      <c r="D42" s="20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</row>
    <row r="43" spans="1:18" ht="23" customHeight="1" x14ac:dyDescent="0.2">
      <c r="A43" s="19"/>
      <c r="B43" s="19"/>
      <c r="C43" s="17" t="s">
        <v>11</v>
      </c>
      <c r="D43" s="17" t="s">
        <v>46</v>
      </c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</row>
    <row r="44" spans="1:18" ht="23" customHeight="1" x14ac:dyDescent="0.2">
      <c r="A44" s="19"/>
      <c r="B44" s="19"/>
      <c r="C44" s="23" t="s">
        <v>71</v>
      </c>
      <c r="D44" s="25">
        <v>0.4</v>
      </c>
      <c r="E44" s="20" t="s">
        <v>77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</row>
    <row r="45" spans="1:18" ht="23" customHeight="1" x14ac:dyDescent="0.2">
      <c r="A45" s="19"/>
      <c r="B45" s="19"/>
      <c r="C45" s="23" t="s">
        <v>72</v>
      </c>
      <c r="D45" s="26">
        <v>0.95</v>
      </c>
      <c r="E45" s="20" t="s">
        <v>78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</row>
    <row r="46" spans="1:18" ht="23" customHeight="1" x14ac:dyDescent="0.2">
      <c r="A46" s="19"/>
      <c r="B46" s="19"/>
      <c r="C46" s="23" t="s">
        <v>73</v>
      </c>
      <c r="D46" s="25">
        <v>0.6</v>
      </c>
      <c r="E46" s="20" t="s">
        <v>79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</row>
    <row r="47" spans="1:18" ht="23" customHeight="1" x14ac:dyDescent="0.2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</row>
    <row r="48" spans="1:18" ht="27" customHeight="1" x14ac:dyDescent="0.2">
      <c r="A48" s="19"/>
      <c r="B48" s="32" t="s">
        <v>107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19"/>
      <c r="Q48" s="19"/>
      <c r="R48" s="19"/>
    </row>
    <row r="49" spans="1:18" ht="23" customHeight="1" x14ac:dyDescent="0.2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</row>
    <row r="50" spans="1:18" ht="23" customHeight="1" x14ac:dyDescent="0.2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ht="23" customHeight="1" x14ac:dyDescent="0.2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E9E52-3664-524A-876D-099CF82F6C22}">
  <dimension ref="B1:H33"/>
  <sheetViews>
    <sheetView showGridLines="0" zoomScale="98" zoomScaleNormal="98" workbookViewId="0">
      <selection activeCell="B2" sqref="B2"/>
    </sheetView>
  </sheetViews>
  <sheetFormatPr baseColWidth="10" defaultRowHeight="16" x14ac:dyDescent="0.2"/>
  <cols>
    <col min="1" max="1" width="10.83203125" style="1"/>
    <col min="2" max="2" width="49" style="1" customWidth="1"/>
    <col min="3" max="3" width="12.6640625" style="2" customWidth="1"/>
    <col min="4" max="4" width="18.83203125" style="1" customWidth="1"/>
    <col min="5" max="5" width="14.33203125" style="3" customWidth="1"/>
    <col min="6" max="6" width="54.33203125" style="1" customWidth="1"/>
    <col min="7" max="7" width="12.6640625" style="1" customWidth="1"/>
    <col min="8" max="8" width="17.6640625" style="1" customWidth="1"/>
    <col min="9" max="16384" width="10.83203125" style="1"/>
  </cols>
  <sheetData>
    <row r="1" spans="2:8" ht="24" customHeight="1" x14ac:dyDescent="0.2"/>
    <row r="2" spans="2:8" ht="24" customHeight="1" x14ac:dyDescent="0.2">
      <c r="B2" s="4" t="s">
        <v>89</v>
      </c>
    </row>
    <row r="3" spans="2:8" ht="24" customHeight="1" x14ac:dyDescent="0.2">
      <c r="B3" s="5"/>
    </row>
    <row r="4" spans="2:8" ht="24" customHeight="1" x14ac:dyDescent="0.2">
      <c r="B4" s="27" t="s">
        <v>12</v>
      </c>
      <c r="C4" s="27"/>
      <c r="D4" s="27"/>
      <c r="F4" s="27" t="s">
        <v>39</v>
      </c>
      <c r="G4" s="27"/>
      <c r="H4" s="27"/>
    </row>
    <row r="5" spans="2:8" ht="24" customHeight="1" x14ac:dyDescent="0.2"/>
    <row r="6" spans="2:8" ht="24" customHeight="1" x14ac:dyDescent="0.2">
      <c r="B6" s="6" t="s">
        <v>5</v>
      </c>
      <c r="C6" s="7"/>
      <c r="D6" s="7"/>
      <c r="E6" s="8"/>
      <c r="F6" s="1" t="s">
        <v>13</v>
      </c>
      <c r="G6" s="9">
        <f>(C28*C29*((C27*C16)+((1-C27)*C17)))/(C22*C23*((C21*C16)+((1-C21)*C17)))</f>
        <v>0.73076923076923073</v>
      </c>
      <c r="H6" s="8"/>
    </row>
    <row r="7" spans="2:8" ht="24" customHeight="1" x14ac:dyDescent="0.2">
      <c r="B7" s="1" t="s">
        <v>0</v>
      </c>
      <c r="C7" s="10">
        <v>0.95</v>
      </c>
      <c r="F7" s="1" t="s">
        <v>14</v>
      </c>
      <c r="G7" s="10">
        <f>ROUND(C8/(C8+(G6*(1-C8))),3)</f>
        <v>2.7E-2</v>
      </c>
      <c r="H7" s="3"/>
    </row>
    <row r="8" spans="2:8" ht="24" customHeight="1" x14ac:dyDescent="0.2">
      <c r="B8" s="1" t="s">
        <v>27</v>
      </c>
      <c r="C8" s="10">
        <v>0.02</v>
      </c>
      <c r="F8" s="1" t="s">
        <v>15</v>
      </c>
      <c r="G8" s="10">
        <f>ROUNDUP((LOG(1-C7))/(LOG(1-G7)),0)</f>
        <v>110</v>
      </c>
      <c r="H8" s="3"/>
    </row>
    <row r="9" spans="2:8" ht="24" customHeight="1" x14ac:dyDescent="0.2">
      <c r="C9" s="11"/>
      <c r="H9" s="3"/>
    </row>
    <row r="10" spans="2:8" ht="24" customHeight="1" x14ac:dyDescent="0.2">
      <c r="B10" s="6" t="s">
        <v>10</v>
      </c>
      <c r="C10" s="7"/>
      <c r="D10" s="7"/>
      <c r="E10" s="8"/>
      <c r="F10" s="12" t="s">
        <v>16</v>
      </c>
      <c r="G10" s="13">
        <f>ROUNDUP(G8/C12,0)</f>
        <v>138</v>
      </c>
      <c r="H10" s="8"/>
    </row>
    <row r="11" spans="2:8" ht="24" customHeight="1" x14ac:dyDescent="0.2">
      <c r="B11" s="1" t="s">
        <v>7</v>
      </c>
      <c r="C11" s="10">
        <v>30</v>
      </c>
      <c r="F11" s="14" t="s">
        <v>17</v>
      </c>
      <c r="H11" s="3"/>
    </row>
    <row r="12" spans="2:8" ht="24" customHeight="1" x14ac:dyDescent="0.2">
      <c r="B12" s="1" t="s">
        <v>8</v>
      </c>
      <c r="C12" s="10">
        <v>0.8</v>
      </c>
      <c r="F12" s="1" t="s">
        <v>116</v>
      </c>
      <c r="H12" s="3"/>
    </row>
    <row r="13" spans="2:8" ht="24" customHeight="1" x14ac:dyDescent="0.2">
      <c r="C13" s="11"/>
      <c r="H13" s="3"/>
    </row>
    <row r="14" spans="2:8" ht="24" customHeight="1" x14ac:dyDescent="0.2">
      <c r="B14" s="6" t="s">
        <v>18</v>
      </c>
      <c r="C14" s="7"/>
      <c r="D14" s="7"/>
      <c r="H14" s="3"/>
    </row>
    <row r="15" spans="2:8" ht="24" customHeight="1" x14ac:dyDescent="0.2">
      <c r="B15" s="15" t="s">
        <v>40</v>
      </c>
      <c r="C15" s="8"/>
      <c r="D15" s="8"/>
      <c r="H15" s="3"/>
    </row>
    <row r="16" spans="2:8" ht="24" customHeight="1" x14ac:dyDescent="0.2">
      <c r="B16" s="1" t="s">
        <v>2</v>
      </c>
      <c r="C16" s="10">
        <v>1</v>
      </c>
      <c r="H16" s="3"/>
    </row>
    <row r="17" spans="2:8" ht="24" customHeight="1" x14ac:dyDescent="0.2">
      <c r="B17" s="1" t="s">
        <v>3</v>
      </c>
      <c r="C17" s="10">
        <v>1</v>
      </c>
      <c r="H17" s="3"/>
    </row>
    <row r="18" spans="2:8" ht="24" customHeight="1" x14ac:dyDescent="0.2">
      <c r="C18" s="11"/>
      <c r="H18" s="3"/>
    </row>
    <row r="19" spans="2:8" ht="24" customHeight="1" x14ac:dyDescent="0.2">
      <c r="B19" s="6" t="s">
        <v>6</v>
      </c>
      <c r="C19" s="7"/>
      <c r="D19" s="7"/>
      <c r="E19" s="8"/>
      <c r="H19" s="8"/>
    </row>
    <row r="20" spans="2:8" ht="24" customHeight="1" x14ac:dyDescent="0.2">
      <c r="B20" s="15" t="s">
        <v>41</v>
      </c>
      <c r="C20" s="8"/>
      <c r="H20" s="3"/>
    </row>
    <row r="21" spans="2:8" ht="24" customHeight="1" x14ac:dyDescent="0.2">
      <c r="B21" s="1" t="s">
        <v>1</v>
      </c>
      <c r="C21" s="10">
        <v>1</v>
      </c>
      <c r="H21" s="3"/>
    </row>
    <row r="22" spans="2:8" ht="24" customHeight="1" x14ac:dyDescent="0.2">
      <c r="B22" s="1" t="s">
        <v>4</v>
      </c>
      <c r="C22" s="10">
        <v>0.97499999999999998</v>
      </c>
      <c r="H22" s="3"/>
    </row>
    <row r="23" spans="2:8" ht="24" customHeight="1" x14ac:dyDescent="0.2">
      <c r="B23" s="1" t="s">
        <v>9</v>
      </c>
      <c r="C23" s="10">
        <v>0.8</v>
      </c>
      <c r="H23" s="3"/>
    </row>
    <row r="24" spans="2:8" ht="24" customHeight="1" x14ac:dyDescent="0.2">
      <c r="H24" s="3"/>
    </row>
    <row r="25" spans="2:8" ht="24" customHeight="1" x14ac:dyDescent="0.2">
      <c r="B25" s="6" t="s">
        <v>11</v>
      </c>
      <c r="C25" s="7"/>
      <c r="D25" s="7"/>
      <c r="E25" s="8"/>
      <c r="H25" s="8"/>
    </row>
    <row r="26" spans="2:8" ht="24" customHeight="1" x14ac:dyDescent="0.2">
      <c r="B26" s="15" t="s">
        <v>41</v>
      </c>
      <c r="C26" s="8"/>
      <c r="H26" s="3"/>
    </row>
    <row r="27" spans="2:8" ht="24" customHeight="1" x14ac:dyDescent="0.2">
      <c r="B27" s="1" t="s">
        <v>1</v>
      </c>
      <c r="C27" s="10">
        <v>1</v>
      </c>
    </row>
    <row r="28" spans="2:8" ht="24" customHeight="1" x14ac:dyDescent="0.2">
      <c r="B28" s="1" t="s">
        <v>4</v>
      </c>
      <c r="C28" s="10">
        <v>0.95</v>
      </c>
    </row>
    <row r="29" spans="2:8" ht="24" customHeight="1" x14ac:dyDescent="0.2">
      <c r="B29" s="1" t="s">
        <v>9</v>
      </c>
      <c r="C29" s="10">
        <v>0.6</v>
      </c>
    </row>
    <row r="33" spans="2:2" x14ac:dyDescent="0.2">
      <c r="B33" s="33" t="s">
        <v>108</v>
      </c>
    </row>
  </sheetData>
  <mergeCells count="2">
    <mergeCell ref="B4:D4"/>
    <mergeCell ref="F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B099-A1EA-6C40-A97A-AB1CD6D0085C}">
  <dimension ref="B1:H33"/>
  <sheetViews>
    <sheetView showGridLines="0" zoomScale="98" zoomScaleNormal="98" workbookViewId="0">
      <selection activeCell="B2" sqref="B2"/>
    </sheetView>
  </sheetViews>
  <sheetFormatPr baseColWidth="10" defaultRowHeight="16" x14ac:dyDescent="0.2"/>
  <cols>
    <col min="1" max="1" width="10.83203125" style="1"/>
    <col min="2" max="2" width="49" style="1" customWidth="1"/>
    <col min="3" max="3" width="12.6640625" style="2" customWidth="1"/>
    <col min="4" max="4" width="18.83203125" style="1" customWidth="1"/>
    <col min="5" max="5" width="14.33203125" style="3" customWidth="1"/>
    <col min="6" max="6" width="72.6640625" style="1" customWidth="1"/>
    <col min="7" max="7" width="12.6640625" style="1" customWidth="1"/>
    <col min="8" max="8" width="17.6640625" style="1" customWidth="1"/>
    <col min="9" max="16384" width="10.83203125" style="1"/>
  </cols>
  <sheetData>
    <row r="1" spans="2:8" ht="24" customHeight="1" x14ac:dyDescent="0.2"/>
    <row r="2" spans="2:8" ht="24" customHeight="1" x14ac:dyDescent="0.2">
      <c r="B2" s="4" t="s">
        <v>90</v>
      </c>
    </row>
    <row r="3" spans="2:8" ht="24" customHeight="1" x14ac:dyDescent="0.2">
      <c r="B3" s="5"/>
    </row>
    <row r="4" spans="2:8" ht="24" customHeight="1" x14ac:dyDescent="0.2">
      <c r="B4" s="27" t="s">
        <v>12</v>
      </c>
      <c r="C4" s="27"/>
      <c r="D4" s="27"/>
      <c r="F4" s="27" t="s">
        <v>39</v>
      </c>
      <c r="G4" s="27"/>
      <c r="H4" s="27"/>
    </row>
    <row r="5" spans="2:8" ht="24" customHeight="1" x14ac:dyDescent="0.2"/>
    <row r="6" spans="2:8" ht="24" customHeight="1" x14ac:dyDescent="0.2">
      <c r="B6" s="6" t="s">
        <v>5</v>
      </c>
      <c r="C6" s="7"/>
      <c r="D6" s="7"/>
      <c r="E6" s="8"/>
      <c r="F6" s="1" t="s">
        <v>13</v>
      </c>
      <c r="G6" s="9">
        <f>(C28*C29*((C27*C16)+((1-C27)*C17)))/(C22*C23*((C21*C16)+((1-C21)*C17)))</f>
        <v>0.73076923076923073</v>
      </c>
      <c r="H6" s="8"/>
    </row>
    <row r="7" spans="2:8" ht="24" customHeight="1" x14ac:dyDescent="0.2">
      <c r="B7" s="1" t="s">
        <v>91</v>
      </c>
      <c r="C7" s="10">
        <v>100</v>
      </c>
      <c r="F7" s="1" t="s">
        <v>14</v>
      </c>
      <c r="G7" s="10">
        <f>ROUND(C8/(C8+(G6*(1-C8))),3)</f>
        <v>2.7E-2</v>
      </c>
      <c r="H7" s="3"/>
    </row>
    <row r="8" spans="2:8" ht="24" customHeight="1" x14ac:dyDescent="0.2">
      <c r="B8" s="1" t="s">
        <v>27</v>
      </c>
      <c r="C8" s="10">
        <v>0.02</v>
      </c>
      <c r="F8" s="1" t="s">
        <v>92</v>
      </c>
      <c r="G8" s="10">
        <f>ROUNDUP(C7*C12,0)</f>
        <v>80</v>
      </c>
      <c r="H8" s="3"/>
    </row>
    <row r="9" spans="2:8" ht="24" customHeight="1" x14ac:dyDescent="0.2">
      <c r="C9" s="11"/>
      <c r="H9" s="3"/>
    </row>
    <row r="10" spans="2:8" ht="24" customHeight="1" x14ac:dyDescent="0.2">
      <c r="B10" s="6" t="s">
        <v>10</v>
      </c>
      <c r="C10" s="7"/>
      <c r="D10" s="7"/>
      <c r="E10" s="8"/>
      <c r="F10" s="12" t="s">
        <v>93</v>
      </c>
      <c r="G10" s="13">
        <f>ROUND(1-(1-G7)^G8,2)</f>
        <v>0.89</v>
      </c>
      <c r="H10" s="8"/>
    </row>
    <row r="11" spans="2:8" ht="24" customHeight="1" x14ac:dyDescent="0.2">
      <c r="B11" s="1" t="s">
        <v>7</v>
      </c>
      <c r="C11" s="10">
        <v>30</v>
      </c>
      <c r="F11" s="14" t="s">
        <v>110</v>
      </c>
      <c r="H11" s="3"/>
    </row>
    <row r="12" spans="2:8" ht="24" customHeight="1" x14ac:dyDescent="0.2">
      <c r="B12" s="1" t="s">
        <v>8</v>
      </c>
      <c r="C12" s="10">
        <v>0.8</v>
      </c>
      <c r="F12" s="1" t="s">
        <v>117</v>
      </c>
      <c r="H12" s="3"/>
    </row>
    <row r="13" spans="2:8" ht="24" customHeight="1" x14ac:dyDescent="0.2">
      <c r="C13" s="11"/>
      <c r="H13" s="3"/>
    </row>
    <row r="14" spans="2:8" ht="24" customHeight="1" x14ac:dyDescent="0.2">
      <c r="B14" s="6" t="s">
        <v>18</v>
      </c>
      <c r="C14" s="7"/>
      <c r="D14" s="7"/>
      <c r="H14" s="3"/>
    </row>
    <row r="15" spans="2:8" ht="24" customHeight="1" x14ac:dyDescent="0.2">
      <c r="B15" s="15" t="s">
        <v>40</v>
      </c>
      <c r="C15" s="8"/>
      <c r="D15" s="8"/>
      <c r="H15" s="3"/>
    </row>
    <row r="16" spans="2:8" ht="24" customHeight="1" x14ac:dyDescent="0.2">
      <c r="B16" s="1" t="s">
        <v>2</v>
      </c>
      <c r="C16" s="10">
        <v>1</v>
      </c>
      <c r="H16" s="3"/>
    </row>
    <row r="17" spans="2:8" ht="24" customHeight="1" x14ac:dyDescent="0.2">
      <c r="B17" s="1" t="s">
        <v>3</v>
      </c>
      <c r="C17" s="10">
        <v>1</v>
      </c>
      <c r="H17" s="3"/>
    </row>
    <row r="18" spans="2:8" ht="24" customHeight="1" x14ac:dyDescent="0.2">
      <c r="C18" s="11"/>
      <c r="H18" s="3"/>
    </row>
    <row r="19" spans="2:8" ht="24" customHeight="1" x14ac:dyDescent="0.2">
      <c r="B19" s="6" t="s">
        <v>6</v>
      </c>
      <c r="C19" s="7"/>
      <c r="D19" s="7"/>
      <c r="E19" s="8"/>
      <c r="H19" s="8"/>
    </row>
    <row r="20" spans="2:8" ht="24" customHeight="1" x14ac:dyDescent="0.2">
      <c r="B20" s="15" t="s">
        <v>41</v>
      </c>
      <c r="C20" s="8"/>
      <c r="H20" s="3"/>
    </row>
    <row r="21" spans="2:8" ht="24" customHeight="1" x14ac:dyDescent="0.2">
      <c r="B21" s="1" t="s">
        <v>1</v>
      </c>
      <c r="C21" s="10">
        <v>1</v>
      </c>
      <c r="H21" s="3"/>
    </row>
    <row r="22" spans="2:8" ht="24" customHeight="1" x14ac:dyDescent="0.2">
      <c r="B22" s="1" t="s">
        <v>4</v>
      </c>
      <c r="C22" s="10">
        <v>0.97499999999999998</v>
      </c>
      <c r="H22" s="3"/>
    </row>
    <row r="23" spans="2:8" ht="24" customHeight="1" x14ac:dyDescent="0.2">
      <c r="B23" s="1" t="s">
        <v>9</v>
      </c>
      <c r="C23" s="10">
        <v>0.8</v>
      </c>
      <c r="H23" s="3"/>
    </row>
    <row r="24" spans="2:8" ht="24" customHeight="1" x14ac:dyDescent="0.2">
      <c r="H24" s="3"/>
    </row>
    <row r="25" spans="2:8" ht="24" customHeight="1" x14ac:dyDescent="0.2">
      <c r="B25" s="6" t="s">
        <v>11</v>
      </c>
      <c r="C25" s="7"/>
      <c r="D25" s="7"/>
      <c r="E25" s="8"/>
      <c r="H25" s="8"/>
    </row>
    <row r="26" spans="2:8" ht="24" customHeight="1" x14ac:dyDescent="0.2">
      <c r="B26" s="15" t="s">
        <v>41</v>
      </c>
      <c r="C26" s="8"/>
      <c r="H26" s="3"/>
    </row>
    <row r="27" spans="2:8" ht="24" customHeight="1" x14ac:dyDescent="0.2">
      <c r="B27" s="1" t="s">
        <v>1</v>
      </c>
      <c r="C27" s="10">
        <v>1</v>
      </c>
    </row>
    <row r="28" spans="2:8" ht="24" customHeight="1" x14ac:dyDescent="0.2">
      <c r="B28" s="1" t="s">
        <v>4</v>
      </c>
      <c r="C28" s="10">
        <v>0.95</v>
      </c>
    </row>
    <row r="29" spans="2:8" ht="24" customHeight="1" x14ac:dyDescent="0.2">
      <c r="B29" s="1" t="s">
        <v>9</v>
      </c>
      <c r="C29" s="10">
        <v>0.6</v>
      </c>
    </row>
    <row r="33" spans="2:2" x14ac:dyDescent="0.2">
      <c r="B33" s="33" t="s">
        <v>108</v>
      </c>
    </row>
  </sheetData>
  <mergeCells count="2">
    <mergeCell ref="B4:D4"/>
    <mergeCell ref="F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F55D9-7C1B-D042-B731-7236AA1E11FA}">
  <dimension ref="B1:H34"/>
  <sheetViews>
    <sheetView showGridLines="0" workbookViewId="0">
      <selection activeCell="B3" sqref="B3"/>
    </sheetView>
  </sheetViews>
  <sheetFormatPr baseColWidth="10" defaultRowHeight="16" x14ac:dyDescent="0.2"/>
  <cols>
    <col min="1" max="1" width="10.83203125" style="1"/>
    <col min="2" max="2" width="48.33203125" style="1" customWidth="1"/>
    <col min="3" max="3" width="12.6640625" style="2" customWidth="1"/>
    <col min="4" max="4" width="18.83203125" style="1" customWidth="1"/>
    <col min="5" max="5" width="13.5" style="3" customWidth="1"/>
    <col min="6" max="6" width="52.5" style="1" customWidth="1"/>
    <col min="7" max="7" width="12.6640625" style="1" customWidth="1"/>
    <col min="8" max="8" width="17.6640625" style="1" customWidth="1"/>
    <col min="9" max="16384" width="10.83203125" style="1"/>
  </cols>
  <sheetData>
    <row r="1" spans="2:8" ht="24" customHeight="1" x14ac:dyDescent="0.2"/>
    <row r="2" spans="2:8" ht="24" customHeight="1" x14ac:dyDescent="0.2">
      <c r="B2" s="4" t="s">
        <v>120</v>
      </c>
    </row>
    <row r="3" spans="2:8" ht="24" customHeight="1" x14ac:dyDescent="0.2">
      <c r="B3" s="5"/>
    </row>
    <row r="4" spans="2:8" ht="24" customHeight="1" x14ac:dyDescent="0.2">
      <c r="B4" s="27" t="s">
        <v>12</v>
      </c>
      <c r="C4" s="27"/>
      <c r="D4" s="27"/>
      <c r="F4" s="27" t="s">
        <v>39</v>
      </c>
      <c r="G4" s="27"/>
      <c r="H4" s="27"/>
    </row>
    <row r="5" spans="2:8" ht="24" customHeight="1" x14ac:dyDescent="0.2"/>
    <row r="6" spans="2:8" ht="24" customHeight="1" x14ac:dyDescent="0.2">
      <c r="B6" s="6" t="s">
        <v>5</v>
      </c>
      <c r="C6" s="7"/>
      <c r="D6" s="7"/>
      <c r="E6" s="8"/>
      <c r="F6" s="1" t="s">
        <v>21</v>
      </c>
      <c r="G6" s="16">
        <f>_xlfn.NORM.S.INV(((1-C7)/2)+C7)</f>
        <v>1.9599639845400536</v>
      </c>
      <c r="H6" s="8"/>
    </row>
    <row r="7" spans="2:8" ht="24" customHeight="1" x14ac:dyDescent="0.2">
      <c r="B7" s="1" t="s">
        <v>20</v>
      </c>
      <c r="C7" s="10">
        <v>0.95</v>
      </c>
      <c r="F7" s="1" t="s">
        <v>13</v>
      </c>
      <c r="G7" s="9">
        <f>(C29*C30*((C28*C17)+((1-C28)*C18)))/(C23*C24*((C22*C17)+((1-C22)*C18)))</f>
        <v>0.8421052631578948</v>
      </c>
      <c r="H7" s="3"/>
    </row>
    <row r="8" spans="2:8" ht="24" customHeight="1" x14ac:dyDescent="0.2">
      <c r="B8" s="1" t="s">
        <v>27</v>
      </c>
      <c r="C8" s="10">
        <v>0.1</v>
      </c>
      <c r="F8" s="1" t="s">
        <v>14</v>
      </c>
      <c r="G8" s="10">
        <f>ROUND(C8/(C8+(G7*(1-C8))),3)</f>
        <v>0.11700000000000001</v>
      </c>
      <c r="H8" s="3"/>
    </row>
    <row r="9" spans="2:8" ht="24" customHeight="1" x14ac:dyDescent="0.2">
      <c r="B9" s="1" t="s">
        <v>19</v>
      </c>
      <c r="C9" s="10">
        <v>0.25</v>
      </c>
      <c r="F9" s="1" t="s">
        <v>22</v>
      </c>
      <c r="G9" s="10">
        <f>ROUNDUP(((G6^2)*G8*(1-G8))/((G8*C9)^2),0)</f>
        <v>464</v>
      </c>
      <c r="H9" s="3"/>
    </row>
    <row r="10" spans="2:8" ht="24" customHeight="1" x14ac:dyDescent="0.2">
      <c r="C10" s="11"/>
      <c r="H10" s="3"/>
    </row>
    <row r="11" spans="2:8" ht="24" customHeight="1" x14ac:dyDescent="0.2">
      <c r="B11" s="6" t="s">
        <v>10</v>
      </c>
      <c r="C11" s="7"/>
      <c r="D11" s="7"/>
      <c r="E11" s="8"/>
      <c r="F11" s="12" t="s">
        <v>16</v>
      </c>
      <c r="G11" s="13">
        <f>ROUNDUP(G9/C13,0)</f>
        <v>580</v>
      </c>
      <c r="H11" s="8"/>
    </row>
    <row r="12" spans="2:8" ht="24" customHeight="1" x14ac:dyDescent="0.2">
      <c r="B12" s="1" t="s">
        <v>7</v>
      </c>
      <c r="C12" s="10">
        <v>30</v>
      </c>
      <c r="F12" s="14" t="s">
        <v>35</v>
      </c>
      <c r="H12" s="3"/>
    </row>
    <row r="13" spans="2:8" ht="24" customHeight="1" x14ac:dyDescent="0.2">
      <c r="B13" s="1" t="s">
        <v>8</v>
      </c>
      <c r="C13" s="10">
        <v>0.8</v>
      </c>
      <c r="F13" s="1" t="s">
        <v>116</v>
      </c>
      <c r="H13" s="3"/>
    </row>
    <row r="14" spans="2:8" ht="24" customHeight="1" x14ac:dyDescent="0.2">
      <c r="C14" s="11"/>
      <c r="H14" s="3"/>
    </row>
    <row r="15" spans="2:8" ht="24" customHeight="1" x14ac:dyDescent="0.2">
      <c r="B15" s="6" t="s">
        <v>18</v>
      </c>
      <c r="C15" s="7"/>
      <c r="D15" s="7"/>
      <c r="H15" s="3"/>
    </row>
    <row r="16" spans="2:8" ht="24" customHeight="1" x14ac:dyDescent="0.2">
      <c r="B16" s="15" t="s">
        <v>43</v>
      </c>
      <c r="C16" s="8"/>
      <c r="D16" s="8"/>
      <c r="H16" s="3"/>
    </row>
    <row r="17" spans="2:8" ht="24" customHeight="1" x14ac:dyDescent="0.2">
      <c r="B17" s="1" t="s">
        <v>2</v>
      </c>
      <c r="C17" s="10">
        <v>0.05</v>
      </c>
      <c r="H17" s="3"/>
    </row>
    <row r="18" spans="2:8" ht="24" customHeight="1" x14ac:dyDescent="0.2">
      <c r="B18" s="1" t="s">
        <v>3</v>
      </c>
      <c r="C18" s="10">
        <v>0.3</v>
      </c>
      <c r="H18" s="3"/>
    </row>
    <row r="19" spans="2:8" ht="24" customHeight="1" x14ac:dyDescent="0.2">
      <c r="C19" s="11"/>
      <c r="H19" s="3"/>
    </row>
    <row r="20" spans="2:8" ht="24" customHeight="1" x14ac:dyDescent="0.2">
      <c r="B20" s="6" t="s">
        <v>6</v>
      </c>
      <c r="C20" s="7"/>
      <c r="D20" s="7"/>
      <c r="E20" s="8"/>
      <c r="H20" s="8"/>
    </row>
    <row r="21" spans="2:8" ht="24" customHeight="1" x14ac:dyDescent="0.2">
      <c r="B21" s="15" t="s">
        <v>41</v>
      </c>
      <c r="C21" s="8"/>
      <c r="H21" s="3"/>
    </row>
    <row r="22" spans="2:8" ht="24" customHeight="1" x14ac:dyDescent="0.2">
      <c r="B22" s="1" t="s">
        <v>1</v>
      </c>
      <c r="C22" s="10">
        <v>0.25</v>
      </c>
      <c r="H22" s="3"/>
    </row>
    <row r="23" spans="2:8" ht="24" customHeight="1" x14ac:dyDescent="0.2">
      <c r="B23" s="1" t="s">
        <v>4</v>
      </c>
      <c r="C23" s="10">
        <v>1</v>
      </c>
      <c r="H23" s="3"/>
    </row>
    <row r="24" spans="2:8" ht="24" customHeight="1" x14ac:dyDescent="0.2">
      <c r="B24" s="1" t="s">
        <v>9</v>
      </c>
      <c r="C24" s="10">
        <v>1</v>
      </c>
      <c r="H24" s="3"/>
    </row>
    <row r="25" spans="2:8" ht="24" customHeight="1" x14ac:dyDescent="0.2">
      <c r="H25" s="3"/>
    </row>
    <row r="26" spans="2:8" ht="24" customHeight="1" x14ac:dyDescent="0.2">
      <c r="B26" s="6" t="s">
        <v>11</v>
      </c>
      <c r="C26" s="7"/>
      <c r="D26" s="7"/>
      <c r="E26" s="8"/>
      <c r="H26" s="8"/>
    </row>
    <row r="27" spans="2:8" ht="24" customHeight="1" x14ac:dyDescent="0.2">
      <c r="B27" s="15" t="s">
        <v>41</v>
      </c>
      <c r="C27" s="8"/>
      <c r="H27" s="3"/>
    </row>
    <row r="28" spans="2:8" ht="24" customHeight="1" x14ac:dyDescent="0.2">
      <c r="B28" s="1" t="s">
        <v>1</v>
      </c>
      <c r="C28" s="10">
        <v>0.4</v>
      </c>
    </row>
    <row r="29" spans="2:8" ht="24" customHeight="1" x14ac:dyDescent="0.2">
      <c r="B29" s="1" t="s">
        <v>4</v>
      </c>
      <c r="C29" s="10">
        <v>1</v>
      </c>
    </row>
    <row r="30" spans="2:8" ht="24" customHeight="1" x14ac:dyDescent="0.2">
      <c r="B30" s="1" t="s">
        <v>9</v>
      </c>
      <c r="C30" s="10">
        <v>1</v>
      </c>
    </row>
    <row r="34" spans="2:8" s="2" customFormat="1" x14ac:dyDescent="0.2">
      <c r="B34" s="33" t="s">
        <v>108</v>
      </c>
      <c r="D34" s="1"/>
      <c r="E34" s="3"/>
      <c r="F34" s="1"/>
      <c r="G34" s="1"/>
      <c r="H34" s="1"/>
    </row>
  </sheetData>
  <mergeCells count="2">
    <mergeCell ref="B4:D4"/>
    <mergeCell ref="F4:H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484C4-3956-154F-83B2-84D86ED38F7E}">
  <dimension ref="B1:H34"/>
  <sheetViews>
    <sheetView showGridLines="0" workbookViewId="0">
      <selection activeCell="B3" sqref="B3"/>
    </sheetView>
  </sheetViews>
  <sheetFormatPr baseColWidth="10" defaultRowHeight="16" x14ac:dyDescent="0.2"/>
  <cols>
    <col min="1" max="1" width="10.83203125" style="1"/>
    <col min="2" max="2" width="48.33203125" style="1" customWidth="1"/>
    <col min="3" max="3" width="12.6640625" style="2" customWidth="1"/>
    <col min="4" max="4" width="18.83203125" style="1" customWidth="1"/>
    <col min="5" max="5" width="13.5" style="3" customWidth="1"/>
    <col min="6" max="6" width="83.6640625" style="1" customWidth="1"/>
    <col min="7" max="7" width="12.6640625" style="1" customWidth="1"/>
    <col min="8" max="8" width="17.6640625" style="1" customWidth="1"/>
    <col min="9" max="16384" width="10.83203125" style="1"/>
  </cols>
  <sheetData>
    <row r="1" spans="2:8" ht="24" customHeight="1" x14ac:dyDescent="0.2"/>
    <row r="2" spans="2:8" ht="24" customHeight="1" x14ac:dyDescent="0.2">
      <c r="B2" s="4" t="s">
        <v>121</v>
      </c>
    </row>
    <row r="3" spans="2:8" ht="24" customHeight="1" x14ac:dyDescent="0.2">
      <c r="B3" s="5"/>
    </row>
    <row r="4" spans="2:8" ht="24" customHeight="1" x14ac:dyDescent="0.2">
      <c r="B4" s="27" t="s">
        <v>12</v>
      </c>
      <c r="C4" s="27"/>
      <c r="D4" s="27"/>
      <c r="F4" s="27" t="s">
        <v>39</v>
      </c>
      <c r="G4" s="27"/>
      <c r="H4" s="27"/>
    </row>
    <row r="5" spans="2:8" ht="24" customHeight="1" x14ac:dyDescent="0.2"/>
    <row r="6" spans="2:8" ht="24" customHeight="1" x14ac:dyDescent="0.2">
      <c r="B6" s="6" t="s">
        <v>5</v>
      </c>
      <c r="C6" s="7"/>
      <c r="D6" s="7"/>
      <c r="E6" s="8"/>
      <c r="F6" s="1" t="s">
        <v>13</v>
      </c>
      <c r="G6" s="9">
        <f>(C29*C30*((C28*C17)+((1-C28)*C18)))/(C23*C24*((C22*C17)+((1-C22)*C18)))</f>
        <v>0.8421052631578948</v>
      </c>
      <c r="H6" s="8"/>
    </row>
    <row r="7" spans="2:8" ht="24" customHeight="1" x14ac:dyDescent="0.2">
      <c r="B7" s="1" t="s">
        <v>91</v>
      </c>
      <c r="C7" s="10">
        <v>200</v>
      </c>
      <c r="F7" s="1" t="s">
        <v>14</v>
      </c>
      <c r="G7" s="10">
        <f>ROUND(C8/(C8+(G6*(1-C8))),3)</f>
        <v>0.11700000000000001</v>
      </c>
      <c r="H7" s="3"/>
    </row>
    <row r="8" spans="2:8" ht="24" customHeight="1" x14ac:dyDescent="0.2">
      <c r="B8" s="1" t="s">
        <v>27</v>
      </c>
      <c r="C8" s="10">
        <v>0.1</v>
      </c>
      <c r="F8" s="1" t="s">
        <v>92</v>
      </c>
      <c r="G8" s="10">
        <f>C7*C13</f>
        <v>160</v>
      </c>
      <c r="H8" s="3"/>
    </row>
    <row r="9" spans="2:8" ht="24" customHeight="1" x14ac:dyDescent="0.2">
      <c r="B9" s="1" t="s">
        <v>19</v>
      </c>
      <c r="C9" s="10">
        <v>0.25</v>
      </c>
      <c r="F9" s="1" t="s">
        <v>111</v>
      </c>
      <c r="G9" s="10">
        <f>ROUND(SQRT((G8*((G7*C9)^2))/(G7*(1-G7))),2)</f>
        <v>1.1499999999999999</v>
      </c>
      <c r="H9" s="3"/>
    </row>
    <row r="10" spans="2:8" ht="24" customHeight="1" x14ac:dyDescent="0.2">
      <c r="C10" s="11"/>
      <c r="H10" s="3"/>
    </row>
    <row r="11" spans="2:8" ht="24" customHeight="1" x14ac:dyDescent="0.2">
      <c r="B11" s="6" t="s">
        <v>10</v>
      </c>
      <c r="C11" s="7"/>
      <c r="D11" s="7"/>
      <c r="E11" s="8"/>
      <c r="F11" s="12" t="s">
        <v>109</v>
      </c>
      <c r="G11" s="13">
        <f>ROUND(1-(2*(1-_xlfn.NORM.S.DIST(G9,TRUE))),2)</f>
        <v>0.75</v>
      </c>
      <c r="H11" s="8"/>
    </row>
    <row r="12" spans="2:8" ht="24" customHeight="1" x14ac:dyDescent="0.2">
      <c r="B12" s="1" t="s">
        <v>7</v>
      </c>
      <c r="C12" s="10">
        <v>30</v>
      </c>
      <c r="F12" s="14" t="s">
        <v>110</v>
      </c>
      <c r="H12" s="3"/>
    </row>
    <row r="13" spans="2:8" ht="24" customHeight="1" x14ac:dyDescent="0.2">
      <c r="B13" s="1" t="s">
        <v>8</v>
      </c>
      <c r="C13" s="10">
        <v>0.8</v>
      </c>
      <c r="F13" s="1" t="s">
        <v>117</v>
      </c>
      <c r="H13" s="3"/>
    </row>
    <row r="14" spans="2:8" ht="24" customHeight="1" x14ac:dyDescent="0.2">
      <c r="C14" s="11"/>
      <c r="H14" s="3"/>
    </row>
    <row r="15" spans="2:8" ht="24" customHeight="1" x14ac:dyDescent="0.2">
      <c r="B15" s="6" t="s">
        <v>18</v>
      </c>
      <c r="C15" s="7"/>
      <c r="D15" s="7"/>
      <c r="H15" s="3"/>
    </row>
    <row r="16" spans="2:8" ht="24" customHeight="1" x14ac:dyDescent="0.2">
      <c r="B16" s="15" t="s">
        <v>43</v>
      </c>
      <c r="C16" s="8"/>
      <c r="D16" s="8"/>
      <c r="H16" s="3"/>
    </row>
    <row r="17" spans="2:8" ht="24" customHeight="1" x14ac:dyDescent="0.2">
      <c r="B17" s="1" t="s">
        <v>2</v>
      </c>
      <c r="C17" s="10">
        <v>0.05</v>
      </c>
      <c r="H17" s="3"/>
    </row>
    <row r="18" spans="2:8" ht="24" customHeight="1" x14ac:dyDescent="0.2">
      <c r="B18" s="1" t="s">
        <v>3</v>
      </c>
      <c r="C18" s="10">
        <v>0.3</v>
      </c>
      <c r="H18" s="3"/>
    </row>
    <row r="19" spans="2:8" ht="24" customHeight="1" x14ac:dyDescent="0.2">
      <c r="C19" s="11"/>
      <c r="H19" s="3"/>
    </row>
    <row r="20" spans="2:8" ht="24" customHeight="1" x14ac:dyDescent="0.2">
      <c r="B20" s="6" t="s">
        <v>6</v>
      </c>
      <c r="C20" s="7"/>
      <c r="D20" s="7"/>
      <c r="E20" s="8"/>
      <c r="H20" s="8"/>
    </row>
    <row r="21" spans="2:8" ht="24" customHeight="1" x14ac:dyDescent="0.2">
      <c r="B21" s="15" t="s">
        <v>41</v>
      </c>
      <c r="C21" s="8"/>
      <c r="H21" s="3"/>
    </row>
    <row r="22" spans="2:8" ht="24" customHeight="1" x14ac:dyDescent="0.2">
      <c r="B22" s="1" t="s">
        <v>1</v>
      </c>
      <c r="C22" s="10">
        <v>0.25</v>
      </c>
      <c r="H22" s="3"/>
    </row>
    <row r="23" spans="2:8" ht="24" customHeight="1" x14ac:dyDescent="0.2">
      <c r="B23" s="1" t="s">
        <v>4</v>
      </c>
      <c r="C23" s="10">
        <v>1</v>
      </c>
      <c r="H23" s="3"/>
    </row>
    <row r="24" spans="2:8" ht="24" customHeight="1" x14ac:dyDescent="0.2">
      <c r="B24" s="1" t="s">
        <v>9</v>
      </c>
      <c r="C24" s="10">
        <v>1</v>
      </c>
      <c r="H24" s="3"/>
    </row>
    <row r="25" spans="2:8" ht="24" customHeight="1" x14ac:dyDescent="0.2">
      <c r="H25" s="3"/>
    </row>
    <row r="26" spans="2:8" ht="24" customHeight="1" x14ac:dyDescent="0.2">
      <c r="B26" s="6" t="s">
        <v>11</v>
      </c>
      <c r="C26" s="7"/>
      <c r="D26" s="7"/>
      <c r="E26" s="8"/>
      <c r="H26" s="8"/>
    </row>
    <row r="27" spans="2:8" ht="24" customHeight="1" x14ac:dyDescent="0.2">
      <c r="B27" s="15" t="s">
        <v>41</v>
      </c>
      <c r="C27" s="8"/>
      <c r="H27" s="3"/>
    </row>
    <row r="28" spans="2:8" ht="24" customHeight="1" x14ac:dyDescent="0.2">
      <c r="B28" s="1" t="s">
        <v>1</v>
      </c>
      <c r="C28" s="10">
        <v>0.4</v>
      </c>
    </row>
    <row r="29" spans="2:8" ht="24" customHeight="1" x14ac:dyDescent="0.2">
      <c r="B29" s="1" t="s">
        <v>4</v>
      </c>
      <c r="C29" s="10">
        <v>1</v>
      </c>
    </row>
    <row r="30" spans="2:8" ht="24" customHeight="1" x14ac:dyDescent="0.2">
      <c r="B30" s="1" t="s">
        <v>9</v>
      </c>
      <c r="C30" s="10">
        <v>1</v>
      </c>
    </row>
    <row r="34" spans="2:8" s="2" customFormat="1" x14ac:dyDescent="0.2">
      <c r="B34" s="33" t="s">
        <v>108</v>
      </c>
      <c r="D34" s="1"/>
      <c r="E34" s="3"/>
      <c r="F34" s="1"/>
      <c r="G34" s="1"/>
      <c r="H34" s="1"/>
    </row>
  </sheetData>
  <mergeCells count="2">
    <mergeCell ref="B4:D4"/>
    <mergeCell ref="F4:H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8EFDD-813E-BD4C-9CAA-EE77C2EA4E46}">
  <dimension ref="B1:H40"/>
  <sheetViews>
    <sheetView showGridLines="0" workbookViewId="0">
      <selection activeCell="B3" sqref="B3"/>
    </sheetView>
  </sheetViews>
  <sheetFormatPr baseColWidth="10" defaultRowHeight="16" x14ac:dyDescent="0.2"/>
  <cols>
    <col min="1" max="1" width="10.83203125" style="1"/>
    <col min="2" max="2" width="49" style="1" customWidth="1"/>
    <col min="3" max="3" width="12.6640625" style="2" customWidth="1"/>
    <col min="4" max="4" width="18.83203125" style="1" customWidth="1"/>
    <col min="5" max="5" width="14.1640625" style="3" customWidth="1"/>
    <col min="6" max="6" width="63.83203125" style="1" customWidth="1"/>
    <col min="7" max="7" width="12.6640625" style="1" customWidth="1"/>
    <col min="8" max="8" width="17.6640625" style="1" customWidth="1"/>
    <col min="9" max="16384" width="10.83203125" style="1"/>
  </cols>
  <sheetData>
    <row r="1" spans="2:8" ht="24" customHeight="1" x14ac:dyDescent="0.2"/>
    <row r="2" spans="2:8" ht="24" customHeight="1" x14ac:dyDescent="0.2">
      <c r="B2" s="4" t="s">
        <v>118</v>
      </c>
    </row>
    <row r="3" spans="2:8" ht="24" customHeight="1" x14ac:dyDescent="0.2">
      <c r="B3" s="5"/>
    </row>
    <row r="4" spans="2:8" ht="24" customHeight="1" x14ac:dyDescent="0.2">
      <c r="B4" s="27" t="s">
        <v>12</v>
      </c>
      <c r="C4" s="27"/>
      <c r="D4" s="27"/>
      <c r="F4" s="27" t="s">
        <v>39</v>
      </c>
      <c r="G4" s="27"/>
      <c r="H4" s="27"/>
    </row>
    <row r="5" spans="2:8" ht="24" customHeight="1" x14ac:dyDescent="0.2"/>
    <row r="6" spans="2:8" ht="24" customHeight="1" x14ac:dyDescent="0.2">
      <c r="B6" s="6" t="s">
        <v>5</v>
      </c>
      <c r="C6" s="7"/>
      <c r="D6" s="7"/>
      <c r="E6" s="8"/>
      <c r="F6" s="1" t="s">
        <v>13</v>
      </c>
      <c r="G6" s="9">
        <f>(C35*C36*((C34*C23)+((1-C34)*C24)))/(C29*C30*((C28*C23)+((1-C28)*C24)))</f>
        <v>0.73076923076923073</v>
      </c>
      <c r="H6" s="8"/>
    </row>
    <row r="7" spans="2:8" ht="24" customHeight="1" x14ac:dyDescent="0.2">
      <c r="B7" s="15" t="s">
        <v>85</v>
      </c>
      <c r="H7" s="3"/>
    </row>
    <row r="8" spans="2:8" ht="24" customHeight="1" x14ac:dyDescent="0.2">
      <c r="B8" s="1" t="s">
        <v>0</v>
      </c>
      <c r="C8" s="10">
        <v>0.95</v>
      </c>
      <c r="F8" s="1" t="s">
        <v>29</v>
      </c>
      <c r="G8" s="10">
        <f>C13/C14</f>
        <v>2.9999999999999997E-4</v>
      </c>
      <c r="H8" s="3"/>
    </row>
    <row r="9" spans="2:8" ht="24" customHeight="1" x14ac:dyDescent="0.2">
      <c r="B9" s="1" t="s">
        <v>27</v>
      </c>
      <c r="C9" s="10">
        <v>0.01</v>
      </c>
      <c r="F9" s="1" t="s">
        <v>31</v>
      </c>
      <c r="G9" s="9">
        <f>(1/G8)-1</f>
        <v>3332.3333333333335</v>
      </c>
      <c r="H9" s="3"/>
    </row>
    <row r="10" spans="2:8" ht="24" customHeight="1" x14ac:dyDescent="0.2">
      <c r="B10" s="1" t="s">
        <v>82</v>
      </c>
      <c r="C10" s="10" t="s">
        <v>83</v>
      </c>
      <c r="F10" s="1" t="s">
        <v>30</v>
      </c>
      <c r="G10" s="9">
        <f>G6*((1/G8)-1)</f>
        <v>2435.1666666666665</v>
      </c>
      <c r="H10" s="3"/>
    </row>
    <row r="11" spans="2:8" ht="24" customHeight="1" x14ac:dyDescent="0.2">
      <c r="C11" s="11"/>
      <c r="F11" s="1" t="s">
        <v>28</v>
      </c>
      <c r="G11" s="10">
        <f>IF(C9&lt;&gt;"NA",ROUNDUP(-(1/C15)*LN((1/G9)*((1/C9)-1)),0),"NA")</f>
        <v>36</v>
      </c>
      <c r="H11" s="3"/>
    </row>
    <row r="12" spans="2:8" ht="24" customHeight="1" x14ac:dyDescent="0.2">
      <c r="B12" s="6" t="s">
        <v>23</v>
      </c>
      <c r="C12" s="7"/>
      <c r="D12" s="7"/>
      <c r="F12" s="1" t="s">
        <v>84</v>
      </c>
      <c r="G12" s="10">
        <f>IF(C10&lt;&gt;"NA",ROUND(1/(1+(G10*EXP(-C15*C10))),3),ROUND(C9/(C9+(G6*(1-C9))),3))</f>
        <v>1.4E-2</v>
      </c>
      <c r="H12" s="3"/>
    </row>
    <row r="13" spans="2:8" ht="24" customHeight="1" x14ac:dyDescent="0.2">
      <c r="B13" s="1" t="s">
        <v>24</v>
      </c>
      <c r="C13" s="10">
        <v>3</v>
      </c>
      <c r="H13" s="3"/>
    </row>
    <row r="14" spans="2:8" ht="24" customHeight="1" x14ac:dyDescent="0.2">
      <c r="B14" s="1" t="s">
        <v>25</v>
      </c>
      <c r="C14" s="10">
        <v>10000</v>
      </c>
      <c r="F14" s="1" t="s">
        <v>32</v>
      </c>
      <c r="G14" s="9">
        <f>IF(C9&lt;&gt;"NA",(1/C15)*LN(G10+EXP(C15*G11)),(1/C15)*LN(G10+EXP(C15*C10)))</f>
        <v>78.126877093260148</v>
      </c>
    </row>
    <row r="15" spans="2:8" ht="24" customHeight="1" x14ac:dyDescent="0.2">
      <c r="B15" s="1" t="s">
        <v>26</v>
      </c>
      <c r="C15" s="10">
        <v>0.1</v>
      </c>
      <c r="F15" s="1" t="s">
        <v>33</v>
      </c>
      <c r="G15" s="9">
        <f>(1/C15)*LN(G10+EXP(C15*0))</f>
        <v>77.981810446612371</v>
      </c>
    </row>
    <row r="16" spans="2:8" ht="24" customHeight="1" x14ac:dyDescent="0.2">
      <c r="C16" s="11"/>
      <c r="F16" s="1" t="s">
        <v>34</v>
      </c>
      <c r="G16" s="9">
        <f>G14-G15</f>
        <v>0.14506664664777702</v>
      </c>
    </row>
    <row r="17" spans="2:8" ht="24" customHeight="1" x14ac:dyDescent="0.2">
      <c r="B17" s="6" t="s">
        <v>10</v>
      </c>
      <c r="C17" s="7"/>
      <c r="D17" s="7"/>
      <c r="E17" s="8"/>
    </row>
    <row r="18" spans="2:8" ht="24" customHeight="1" x14ac:dyDescent="0.2">
      <c r="B18" s="1" t="s">
        <v>7</v>
      </c>
      <c r="C18" s="10">
        <v>30</v>
      </c>
      <c r="F18" s="1" t="s">
        <v>37</v>
      </c>
      <c r="G18" s="10">
        <f>ROUNDUP(-LN(1-C8)/G16,0)</f>
        <v>21</v>
      </c>
      <c r="H18" s="3"/>
    </row>
    <row r="19" spans="2:8" ht="24" customHeight="1" x14ac:dyDescent="0.2">
      <c r="B19" s="1" t="s">
        <v>8</v>
      </c>
      <c r="C19" s="10">
        <v>0.8</v>
      </c>
      <c r="F19" s="12" t="s">
        <v>36</v>
      </c>
      <c r="G19" s="13">
        <f>ROUNDUP(G18/C19,0)</f>
        <v>27</v>
      </c>
      <c r="H19" s="3"/>
    </row>
    <row r="20" spans="2:8" ht="24" customHeight="1" x14ac:dyDescent="0.2">
      <c r="C20" s="11"/>
      <c r="F20" s="14" t="s">
        <v>88</v>
      </c>
      <c r="H20" s="8"/>
    </row>
    <row r="21" spans="2:8" ht="24" customHeight="1" x14ac:dyDescent="0.2">
      <c r="B21" s="6" t="s">
        <v>18</v>
      </c>
      <c r="C21" s="7"/>
      <c r="D21" s="7"/>
      <c r="F21" s="1" t="s">
        <v>116</v>
      </c>
      <c r="H21" s="3"/>
    </row>
    <row r="22" spans="2:8" ht="24" customHeight="1" x14ac:dyDescent="0.2">
      <c r="B22" s="15" t="s">
        <v>44</v>
      </c>
      <c r="C22" s="8"/>
      <c r="D22" s="8"/>
      <c r="H22" s="3"/>
    </row>
    <row r="23" spans="2:8" ht="24" customHeight="1" x14ac:dyDescent="0.2">
      <c r="B23" s="1" t="s">
        <v>2</v>
      </c>
      <c r="C23" s="10">
        <v>1</v>
      </c>
      <c r="H23" s="3"/>
    </row>
    <row r="24" spans="2:8" ht="24" customHeight="1" x14ac:dyDescent="0.2">
      <c r="B24" s="1" t="s">
        <v>3</v>
      </c>
      <c r="C24" s="10">
        <v>1</v>
      </c>
      <c r="H24" s="8"/>
    </row>
    <row r="25" spans="2:8" ht="24" customHeight="1" x14ac:dyDescent="0.2">
      <c r="C25" s="11"/>
      <c r="H25" s="3"/>
    </row>
    <row r="26" spans="2:8" ht="24" customHeight="1" x14ac:dyDescent="0.2">
      <c r="B26" s="6" t="s">
        <v>6</v>
      </c>
      <c r="C26" s="7"/>
      <c r="D26" s="7"/>
      <c r="E26" s="8"/>
      <c r="H26" s="3"/>
    </row>
    <row r="27" spans="2:8" ht="24" customHeight="1" x14ac:dyDescent="0.2">
      <c r="B27" s="15" t="s">
        <v>41</v>
      </c>
      <c r="C27" s="8"/>
      <c r="H27" s="3"/>
    </row>
    <row r="28" spans="2:8" ht="24" customHeight="1" x14ac:dyDescent="0.2">
      <c r="B28" s="1" t="s">
        <v>1</v>
      </c>
      <c r="C28" s="10">
        <v>1</v>
      </c>
      <c r="H28" s="3"/>
    </row>
    <row r="29" spans="2:8" ht="24" customHeight="1" x14ac:dyDescent="0.2">
      <c r="B29" s="1" t="s">
        <v>4</v>
      </c>
      <c r="C29" s="10">
        <v>0.97499999999999998</v>
      </c>
      <c r="H29" s="3"/>
    </row>
    <row r="30" spans="2:8" ht="24" customHeight="1" x14ac:dyDescent="0.2">
      <c r="B30" s="1" t="s">
        <v>9</v>
      </c>
      <c r="C30" s="10">
        <v>0.8</v>
      </c>
      <c r="H30" s="8"/>
    </row>
    <row r="31" spans="2:8" ht="24" customHeight="1" x14ac:dyDescent="0.2">
      <c r="H31" s="3"/>
    </row>
    <row r="32" spans="2:8" ht="24" customHeight="1" x14ac:dyDescent="0.2">
      <c r="B32" s="6" t="s">
        <v>11</v>
      </c>
      <c r="C32" s="7"/>
      <c r="D32" s="7"/>
      <c r="E32" s="8"/>
    </row>
    <row r="33" spans="2:8" ht="24" customHeight="1" x14ac:dyDescent="0.2">
      <c r="B33" s="15" t="s">
        <v>41</v>
      </c>
      <c r="C33" s="8"/>
    </row>
    <row r="34" spans="2:8" ht="24" customHeight="1" x14ac:dyDescent="0.2">
      <c r="B34" s="1" t="s">
        <v>1</v>
      </c>
      <c r="C34" s="10">
        <v>1</v>
      </c>
    </row>
    <row r="35" spans="2:8" x14ac:dyDescent="0.2">
      <c r="B35" s="1" t="s">
        <v>4</v>
      </c>
      <c r="C35" s="10">
        <v>0.95</v>
      </c>
    </row>
    <row r="36" spans="2:8" x14ac:dyDescent="0.2">
      <c r="B36" s="1" t="s">
        <v>9</v>
      </c>
      <c r="C36" s="10">
        <v>0.6</v>
      </c>
    </row>
    <row r="38" spans="2:8" s="2" customFormat="1" x14ac:dyDescent="0.2">
      <c r="B38" s="1"/>
      <c r="D38" s="1"/>
      <c r="E38" s="3"/>
      <c r="F38" s="1"/>
      <c r="G38" s="1"/>
      <c r="H38" s="1"/>
    </row>
    <row r="40" spans="2:8" x14ac:dyDescent="0.2">
      <c r="B40" s="33" t="s">
        <v>108</v>
      </c>
    </row>
  </sheetData>
  <mergeCells count="2">
    <mergeCell ref="B4:D4"/>
    <mergeCell ref="F4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16BB-866B-484F-BE41-3A710858129B}">
  <dimension ref="B1:H40"/>
  <sheetViews>
    <sheetView showGridLines="0" workbookViewId="0">
      <selection activeCell="B3" sqref="B3"/>
    </sheetView>
  </sheetViews>
  <sheetFormatPr baseColWidth="10" defaultRowHeight="16" x14ac:dyDescent="0.2"/>
  <cols>
    <col min="1" max="1" width="10.83203125" style="1"/>
    <col min="2" max="2" width="49" style="1" customWidth="1"/>
    <col min="3" max="3" width="12.6640625" style="2" customWidth="1"/>
    <col min="4" max="4" width="18.83203125" style="1" customWidth="1"/>
    <col min="5" max="5" width="14.1640625" style="3" customWidth="1"/>
    <col min="6" max="6" width="71.6640625" style="1" customWidth="1"/>
    <col min="7" max="7" width="12.6640625" style="1" customWidth="1"/>
    <col min="8" max="8" width="17.6640625" style="1" customWidth="1"/>
    <col min="9" max="16384" width="10.83203125" style="1"/>
  </cols>
  <sheetData>
    <row r="1" spans="2:8" ht="24" customHeight="1" x14ac:dyDescent="0.2"/>
    <row r="2" spans="2:8" ht="24" customHeight="1" x14ac:dyDescent="0.2">
      <c r="B2" s="4" t="s">
        <v>119</v>
      </c>
    </row>
    <row r="3" spans="2:8" ht="24" customHeight="1" x14ac:dyDescent="0.2">
      <c r="B3" s="5"/>
    </row>
    <row r="4" spans="2:8" ht="24" customHeight="1" x14ac:dyDescent="0.2">
      <c r="B4" s="27" t="s">
        <v>12</v>
      </c>
      <c r="C4" s="27"/>
      <c r="D4" s="27"/>
      <c r="F4" s="27" t="s">
        <v>39</v>
      </c>
      <c r="G4" s="27"/>
      <c r="H4" s="27"/>
    </row>
    <row r="5" spans="2:8" ht="24" customHeight="1" x14ac:dyDescent="0.2"/>
    <row r="6" spans="2:8" ht="24" customHeight="1" x14ac:dyDescent="0.2">
      <c r="B6" s="6" t="s">
        <v>5</v>
      </c>
      <c r="C6" s="7"/>
      <c r="D6" s="7"/>
      <c r="E6" s="8"/>
      <c r="F6" s="1" t="s">
        <v>13</v>
      </c>
      <c r="G6" s="9">
        <f>(C35*C36*((C34*C23)+((1-C34)*C24)))/(C29*C30*((C28*C23)+((1-C28)*C24)))</f>
        <v>0.73076923076923073</v>
      </c>
      <c r="H6" s="8"/>
    </row>
    <row r="7" spans="2:8" ht="24" customHeight="1" x14ac:dyDescent="0.2">
      <c r="B7" s="15" t="s">
        <v>85</v>
      </c>
      <c r="H7" s="3"/>
    </row>
    <row r="8" spans="2:8" ht="24" customHeight="1" x14ac:dyDescent="0.2">
      <c r="B8" s="1" t="s">
        <v>114</v>
      </c>
      <c r="C8" s="10">
        <v>20</v>
      </c>
      <c r="F8" s="1" t="s">
        <v>29</v>
      </c>
      <c r="G8" s="10">
        <f>C13/C14</f>
        <v>2.9999999999999997E-4</v>
      </c>
      <c r="H8" s="3"/>
    </row>
    <row r="9" spans="2:8" ht="24" customHeight="1" x14ac:dyDescent="0.2">
      <c r="B9" s="1" t="s">
        <v>27</v>
      </c>
      <c r="C9" s="10">
        <v>0.01</v>
      </c>
      <c r="F9" s="1" t="s">
        <v>31</v>
      </c>
      <c r="G9" s="9">
        <f>(1/G8)-1</f>
        <v>3332.3333333333335</v>
      </c>
      <c r="H9" s="3"/>
    </row>
    <row r="10" spans="2:8" ht="24" customHeight="1" x14ac:dyDescent="0.2">
      <c r="B10" s="1" t="s">
        <v>82</v>
      </c>
      <c r="C10" s="10" t="s">
        <v>83</v>
      </c>
      <c r="F10" s="1" t="s">
        <v>30</v>
      </c>
      <c r="G10" s="9">
        <f>G6*((1/G8)-1)</f>
        <v>2435.1666666666665</v>
      </c>
      <c r="H10" s="3"/>
    </row>
    <row r="11" spans="2:8" ht="24" customHeight="1" x14ac:dyDescent="0.2">
      <c r="C11" s="11"/>
      <c r="F11" s="1" t="s">
        <v>28</v>
      </c>
      <c r="G11" s="10">
        <f>IF(C9&lt;&gt;"NA",ROUNDUP(-(1/C15)*LN((1/G9)*((1/C9)-1)),0),"NA")</f>
        <v>36</v>
      </c>
      <c r="H11" s="3"/>
    </row>
    <row r="12" spans="2:8" ht="24" customHeight="1" x14ac:dyDescent="0.2">
      <c r="B12" s="6" t="s">
        <v>23</v>
      </c>
      <c r="C12" s="7"/>
      <c r="D12" s="7"/>
      <c r="F12" s="1" t="s">
        <v>84</v>
      </c>
      <c r="G12" s="10">
        <f>IF(C10&lt;&gt;"NA",ROUND(1/(1+(G10*EXP(-C15*C10))),3),ROUND(C9/(C9+(G6*(1-C9))),3))</f>
        <v>1.4E-2</v>
      </c>
      <c r="H12" s="3"/>
    </row>
    <row r="13" spans="2:8" ht="24" customHeight="1" x14ac:dyDescent="0.2">
      <c r="B13" s="1" t="s">
        <v>24</v>
      </c>
      <c r="C13" s="10">
        <v>3</v>
      </c>
      <c r="H13" s="3"/>
    </row>
    <row r="14" spans="2:8" ht="24" customHeight="1" x14ac:dyDescent="0.2">
      <c r="B14" s="1" t="s">
        <v>25</v>
      </c>
      <c r="C14" s="10">
        <v>10000</v>
      </c>
      <c r="F14" s="1" t="s">
        <v>32</v>
      </c>
      <c r="G14" s="9">
        <f>IF(C9&lt;&gt;"NA",(1/C15)*LN(G10+EXP(C15*G11)),(1/C15)*LN(G10+EXP(C15*C10)))</f>
        <v>78.126877093260148</v>
      </c>
    </row>
    <row r="15" spans="2:8" ht="24" customHeight="1" x14ac:dyDescent="0.2">
      <c r="B15" s="1" t="s">
        <v>26</v>
      </c>
      <c r="C15" s="10">
        <v>0.1</v>
      </c>
      <c r="F15" s="1" t="s">
        <v>33</v>
      </c>
      <c r="G15" s="9">
        <f>(1/C15)*LN(G10+EXP(C15*0))</f>
        <v>77.981810446612371</v>
      </c>
    </row>
    <row r="16" spans="2:8" ht="24" customHeight="1" x14ac:dyDescent="0.2">
      <c r="C16" s="11"/>
      <c r="F16" s="1" t="s">
        <v>34</v>
      </c>
      <c r="G16" s="9">
        <f>G14-G15</f>
        <v>0.14506664664777702</v>
      </c>
    </row>
    <row r="17" spans="2:8" ht="24" customHeight="1" x14ac:dyDescent="0.2">
      <c r="B17" s="6" t="s">
        <v>10</v>
      </c>
      <c r="C17" s="7"/>
      <c r="D17" s="7"/>
      <c r="E17" s="8"/>
    </row>
    <row r="18" spans="2:8" ht="24" customHeight="1" x14ac:dyDescent="0.2">
      <c r="B18" s="1" t="s">
        <v>7</v>
      </c>
      <c r="C18" s="10">
        <v>30</v>
      </c>
      <c r="F18" s="1" t="s">
        <v>115</v>
      </c>
      <c r="G18" s="10">
        <f>ROUNDDOWN(C8*C19,0)</f>
        <v>16</v>
      </c>
      <c r="H18" s="3"/>
    </row>
    <row r="19" spans="2:8" ht="24" customHeight="1" x14ac:dyDescent="0.2">
      <c r="B19" s="1" t="s">
        <v>8</v>
      </c>
      <c r="C19" s="10">
        <v>0.8</v>
      </c>
      <c r="H19" s="3"/>
    </row>
    <row r="20" spans="2:8" ht="24" customHeight="1" x14ac:dyDescent="0.2">
      <c r="C20" s="11"/>
      <c r="F20" s="12" t="s">
        <v>93</v>
      </c>
      <c r="G20" s="13">
        <f>ROUND(1-EXP(-1*G18*G16),2)</f>
        <v>0.9</v>
      </c>
      <c r="H20" s="8"/>
    </row>
    <row r="21" spans="2:8" ht="24" customHeight="1" x14ac:dyDescent="0.2">
      <c r="B21" s="6" t="s">
        <v>18</v>
      </c>
      <c r="C21" s="7"/>
      <c r="D21" s="7"/>
      <c r="F21" s="14" t="s">
        <v>110</v>
      </c>
      <c r="H21" s="3"/>
    </row>
    <row r="22" spans="2:8" ht="24" customHeight="1" x14ac:dyDescent="0.2">
      <c r="B22" s="15" t="s">
        <v>44</v>
      </c>
      <c r="C22" s="8"/>
      <c r="D22" s="8"/>
      <c r="F22" s="1" t="s">
        <v>117</v>
      </c>
      <c r="H22" s="3"/>
    </row>
    <row r="23" spans="2:8" ht="24" customHeight="1" x14ac:dyDescent="0.2">
      <c r="B23" s="1" t="s">
        <v>2</v>
      </c>
      <c r="C23" s="10">
        <v>1</v>
      </c>
      <c r="H23" s="3"/>
    </row>
    <row r="24" spans="2:8" ht="24" customHeight="1" x14ac:dyDescent="0.2">
      <c r="B24" s="1" t="s">
        <v>3</v>
      </c>
      <c r="C24" s="10">
        <v>1</v>
      </c>
      <c r="H24" s="8"/>
    </row>
    <row r="25" spans="2:8" ht="24" customHeight="1" x14ac:dyDescent="0.2">
      <c r="C25" s="11"/>
      <c r="H25" s="3"/>
    </row>
    <row r="26" spans="2:8" ht="24" customHeight="1" x14ac:dyDescent="0.2">
      <c r="B26" s="6" t="s">
        <v>6</v>
      </c>
      <c r="C26" s="7"/>
      <c r="D26" s="7"/>
      <c r="E26" s="8"/>
      <c r="H26" s="3"/>
    </row>
    <row r="27" spans="2:8" ht="24" customHeight="1" x14ac:dyDescent="0.2">
      <c r="B27" s="15" t="s">
        <v>41</v>
      </c>
      <c r="C27" s="8"/>
      <c r="H27" s="3"/>
    </row>
    <row r="28" spans="2:8" ht="24" customHeight="1" x14ac:dyDescent="0.2">
      <c r="B28" s="1" t="s">
        <v>1</v>
      </c>
      <c r="C28" s="10">
        <v>1</v>
      </c>
      <c r="H28" s="3"/>
    </row>
    <row r="29" spans="2:8" ht="24" customHeight="1" x14ac:dyDescent="0.2">
      <c r="B29" s="1" t="s">
        <v>4</v>
      </c>
      <c r="C29" s="10">
        <v>0.97499999999999998</v>
      </c>
      <c r="H29" s="3"/>
    </row>
    <row r="30" spans="2:8" ht="24" customHeight="1" x14ac:dyDescent="0.2">
      <c r="B30" s="1" t="s">
        <v>9</v>
      </c>
      <c r="C30" s="10">
        <v>0.8</v>
      </c>
      <c r="H30" s="8"/>
    </row>
    <row r="31" spans="2:8" ht="24" customHeight="1" x14ac:dyDescent="0.2">
      <c r="H31" s="3"/>
    </row>
    <row r="32" spans="2:8" ht="24" customHeight="1" x14ac:dyDescent="0.2">
      <c r="B32" s="6" t="s">
        <v>11</v>
      </c>
      <c r="C32" s="7"/>
      <c r="D32" s="7"/>
      <c r="E32" s="8"/>
    </row>
    <row r="33" spans="2:8" ht="24" customHeight="1" x14ac:dyDescent="0.2">
      <c r="B33" s="15" t="s">
        <v>41</v>
      </c>
      <c r="C33" s="8"/>
    </row>
    <row r="34" spans="2:8" ht="24" customHeight="1" x14ac:dyDescent="0.2">
      <c r="B34" s="1" t="s">
        <v>1</v>
      </c>
      <c r="C34" s="10">
        <v>1</v>
      </c>
    </row>
    <row r="35" spans="2:8" x14ac:dyDescent="0.2">
      <c r="B35" s="1" t="s">
        <v>4</v>
      </c>
      <c r="C35" s="10">
        <v>0.95</v>
      </c>
    </row>
    <row r="36" spans="2:8" x14ac:dyDescent="0.2">
      <c r="B36" s="1" t="s">
        <v>9</v>
      </c>
      <c r="C36" s="10">
        <v>0.6</v>
      </c>
    </row>
    <row r="38" spans="2:8" s="2" customFormat="1" x14ac:dyDescent="0.2">
      <c r="B38" s="1"/>
      <c r="D38" s="1"/>
      <c r="E38" s="3"/>
      <c r="F38" s="1"/>
      <c r="G38" s="1"/>
      <c r="H38" s="1"/>
    </row>
    <row r="40" spans="2:8" x14ac:dyDescent="0.2">
      <c r="B40" s="33" t="s">
        <v>108</v>
      </c>
    </row>
  </sheetData>
  <mergeCells count="2">
    <mergeCell ref="B4:D4"/>
    <mergeCell ref="F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Detection - Sample Size</vt:lpstr>
      <vt:lpstr>Detection - Confidence</vt:lpstr>
      <vt:lpstr>Prevalence - Sample Size</vt:lpstr>
      <vt:lpstr>Prevalence - Confidence</vt:lpstr>
      <vt:lpstr>Detect (Periodic) - Sample Size</vt:lpstr>
      <vt:lpstr>Detect (Periodic) - Confidence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Shirlee Wohl</dc:creator>
  <cp:lastModifiedBy>Shirlee Wohl</cp:lastModifiedBy>
  <dcterms:created xsi:type="dcterms:W3CDTF">2021-11-18T23:44:55Z</dcterms:created>
  <dcterms:modified xsi:type="dcterms:W3CDTF">2021-12-27T17:04:55Z</dcterms:modified>
</cp:coreProperties>
</file>