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swohl/Desktop/work/github/VOCsamplesize/"/>
    </mc:Choice>
  </mc:AlternateContent>
  <xr:revisionPtr revIDLastSave="0" documentId="13_ncr:1_{AC0D65D0-BDF0-604A-A787-6DE716588CD2}" xr6:coauthVersionLast="47" xr6:coauthVersionMax="47" xr10:uidLastSave="{00000000-0000-0000-0000-000000000000}"/>
  <bookViews>
    <workbookView xWindow="7320" yWindow="500" windowWidth="29400" windowHeight="21800" activeTab="5" xr2:uid="{82711159-A3A1-6543-B722-8D858F78A64C}"/>
  </bookViews>
  <sheets>
    <sheet name="Instructions" sheetId="5" r:id="rId1"/>
    <sheet name="Detection - Sample Size" sheetId="1" r:id="rId2"/>
    <sheet name="Detection - Confidence" sheetId="6" r:id="rId3"/>
    <sheet name="Prevalence - Sample Size" sheetId="3" r:id="rId4"/>
    <sheet name="Prevalence - Confidence" sheetId="7" r:id="rId5"/>
    <sheet name="Detect (Periodic) - Sample Size" sheetId="4" r:id="rId6"/>
    <sheet name="Detect (Periodic) - Confidence"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6" i="8"/>
  <c r="G6" i="7"/>
  <c r="G18" i="8"/>
  <c r="G20" i="8" s="1"/>
  <c r="G12" i="8"/>
  <c r="G10" i="8"/>
  <c r="G12" i="4"/>
  <c r="G11" i="7"/>
  <c r="G7" i="7"/>
  <c r="G8" i="3"/>
  <c r="G7" i="3"/>
  <c r="G10" i="6"/>
  <c r="G7" i="6"/>
  <c r="G6" i="6"/>
  <c r="G7" i="1"/>
  <c r="G6" i="1"/>
  <c r="G8" i="1" s="1"/>
  <c r="G11" i="8"/>
  <c r="G9" i="8"/>
  <c r="G8" i="8"/>
  <c r="G8" i="7"/>
  <c r="G8" i="6"/>
  <c r="G8" i="4"/>
  <c r="G9" i="4" s="1"/>
  <c r="G11" i="4" s="1"/>
  <c r="G6" i="3"/>
  <c r="G10" i="4" l="1"/>
  <c r="G15" i="8"/>
  <c r="G14" i="8"/>
  <c r="G9" i="7"/>
  <c r="G16" i="8"/>
  <c r="G14" i="4"/>
  <c r="G9" i="3"/>
  <c r="G11" i="3" s="1"/>
  <c r="G10" i="1"/>
  <c r="G15" i="4" l="1"/>
  <c r="G16" i="4" s="1"/>
  <c r="G18" i="4" s="1"/>
  <c r="G19" i="4" s="1"/>
</calcChain>
</file>

<file path=xl/sharedStrings.xml><?xml version="1.0" encoding="utf-8"?>
<sst xmlns="http://schemas.openxmlformats.org/spreadsheetml/2006/main" count="295" uniqueCount="131">
  <si>
    <t>Desired probability of detection:</t>
  </si>
  <si>
    <t>Probability that infection is asymptomatic:</t>
  </si>
  <si>
    <t>Testing probability - asymptomatic infections:</t>
  </si>
  <si>
    <t>Testing probability - symptomatic infections:</t>
  </si>
  <si>
    <t>Testing sensitivity:</t>
  </si>
  <si>
    <t>Sampling parameters</t>
  </si>
  <si>
    <t>Variant of interest parameters</t>
  </si>
  <si>
    <t>Sequencing Ct threshold:</t>
  </si>
  <si>
    <t>Sequencing success rate (assuming Ct&lt;threshold):</t>
  </si>
  <si>
    <t>Average proportion of samples below Ct threshold:</t>
  </si>
  <si>
    <t>Laboratory parameters</t>
  </si>
  <si>
    <t>General pathogen population parameters</t>
  </si>
  <si>
    <t>USER INPUTS</t>
  </si>
  <si>
    <t>Expected observed variant of interest proportion:</t>
  </si>
  <si>
    <t>Sequences needed for dection at desired probability:</t>
  </si>
  <si>
    <t>Number of samples to select for sequencing:</t>
  </si>
  <si>
    <t>To ensure desired probability of detection of a variant at indicated prevalence</t>
  </si>
  <si>
    <t>Testing parameters</t>
  </si>
  <si>
    <t>Desired precision of prevalence estimate:</t>
  </si>
  <si>
    <t>Desired confidence in prevalence estimate:</t>
  </si>
  <si>
    <t xml:space="preserve">Z-Statistic for desired confidence interval: </t>
  </si>
  <si>
    <t>Sequences needed for monitoring at desired precision:</t>
  </si>
  <si>
    <t>Growth parameters</t>
  </si>
  <si>
    <t>Number of variant introductions:</t>
  </si>
  <si>
    <t>Population size:</t>
  </si>
  <si>
    <t>Growth rate (per time step):</t>
  </si>
  <si>
    <t>Desired variant prevalence:</t>
  </si>
  <si>
    <t>Number of days to desired prevalence:</t>
  </si>
  <si>
    <t>Initial prevalence:</t>
  </si>
  <si>
    <t>Initial prevalence coefficient (b):</t>
  </si>
  <si>
    <t>Initial prevalence coefficient (a):</t>
  </si>
  <si>
    <t>Observed CDF at time t:</t>
  </si>
  <si>
    <t>Observed CDF at time 0:</t>
  </si>
  <si>
    <t>Area under curve:</t>
  </si>
  <si>
    <t>To ensure desired probability of correctly estimating variant prevalence within desired precision</t>
  </si>
  <si>
    <t>Number of samples PER DAY to select for sequencing:</t>
  </si>
  <si>
    <t>Sequences needed per day for detection at desired probability:</t>
  </si>
  <si>
    <t>How to use this spreadsheet to calculate sample sizes for variant detection and monitoring:</t>
  </si>
  <si>
    <r>
      <t xml:space="preserve">CALCULATED VALUES - </t>
    </r>
    <r>
      <rPr>
        <b/>
        <sz val="16"/>
        <color rgb="FFFF0000"/>
        <rFont val="Arial"/>
        <family val="2"/>
      </rPr>
      <t>DO NOT EDIT</t>
    </r>
  </si>
  <si>
    <r>
      <t xml:space="preserve">Note: </t>
    </r>
    <r>
      <rPr>
        <i/>
        <sz val="10"/>
        <color theme="1"/>
        <rFont val="Arial"/>
        <family val="2"/>
      </rPr>
      <t>You may enter "1" for testing probabilities if asymptomatic proportion is the same for all variants</t>
    </r>
    <r>
      <rPr>
        <b/>
        <i/>
        <sz val="10"/>
        <color theme="1"/>
        <rFont val="Arial"/>
        <family val="2"/>
      </rPr>
      <t xml:space="preserve"> (C21 = C27)</t>
    </r>
  </si>
  <si>
    <r>
      <t xml:space="preserve">Note: </t>
    </r>
    <r>
      <rPr>
        <i/>
        <sz val="10"/>
        <color theme="1"/>
        <rFont val="Arial"/>
        <family val="2"/>
      </rPr>
      <t>You may enter "1" for all values that do not differ between variant of interest and general pathogen population</t>
    </r>
  </si>
  <si>
    <t>Growth parameters [periodic sampling only]</t>
  </si>
  <si>
    <r>
      <t xml:space="preserve">Note: </t>
    </r>
    <r>
      <rPr>
        <i/>
        <sz val="10"/>
        <color theme="1"/>
        <rFont val="Arial"/>
        <family val="2"/>
      </rPr>
      <t>You may enter "1" for testing probabilities if asymptomatic proportion is the same for all variants</t>
    </r>
    <r>
      <rPr>
        <b/>
        <i/>
        <sz val="10"/>
        <color theme="1"/>
        <rFont val="Arial"/>
        <family val="2"/>
      </rPr>
      <t xml:space="preserve"> (C22 = C28)</t>
    </r>
  </si>
  <si>
    <r>
      <t xml:space="preserve">Note: </t>
    </r>
    <r>
      <rPr>
        <i/>
        <sz val="10"/>
        <color theme="1"/>
        <rFont val="Arial"/>
        <family val="2"/>
      </rPr>
      <t>You may enter "1" for testing probabilities if asymptomatic proportion is the same for all variants</t>
    </r>
    <r>
      <rPr>
        <b/>
        <i/>
        <sz val="10"/>
        <color theme="1"/>
        <rFont val="Arial"/>
        <family val="2"/>
      </rPr>
      <t xml:space="preserve"> (C26 = C32)</t>
    </r>
  </si>
  <si>
    <r>
      <t xml:space="preserve">NOTE: Please enter "1" for any of the parameters </t>
    </r>
    <r>
      <rPr>
        <b/>
        <i/>
        <u/>
        <sz val="12"/>
        <color rgb="FFC00000"/>
        <rFont val="Arial"/>
        <family val="2"/>
      </rPr>
      <t>below</t>
    </r>
    <r>
      <rPr>
        <i/>
        <sz val="12"/>
        <color rgb="FFC00000"/>
        <rFont val="Arial"/>
        <family val="2"/>
      </rPr>
      <t xml:space="preserve"> that do not differ between the variant of interest and the general pathogen population; estimation of these parameters is not required for sample size calculations</t>
    </r>
  </si>
  <si>
    <t>Default value</t>
  </si>
  <si>
    <t>Definition</t>
  </si>
  <si>
    <t>Desired probability of detection</t>
  </si>
  <si>
    <t>Desired confidence in prevalence estimate</t>
  </si>
  <si>
    <t>Desired variant prevalence</t>
  </si>
  <si>
    <t>Desired precision of prevalence estimate</t>
  </si>
  <si>
    <r>
      <t xml:space="preserve">the minimum variant prevalence to detect or monitor (e.g., sampling should lead to 95% confidence in detection of a variant with at least </t>
    </r>
    <r>
      <rPr>
        <b/>
        <sz val="12"/>
        <rFont val="Arial"/>
        <family val="2"/>
      </rPr>
      <t>5% prevalence</t>
    </r>
    <r>
      <rPr>
        <sz val="12"/>
        <rFont val="Arial"/>
        <family val="2"/>
      </rPr>
      <t xml:space="preserve"> in the population)</t>
    </r>
  </si>
  <si>
    <r>
      <rPr>
        <sz val="12"/>
        <color theme="5"/>
        <rFont val="Arial"/>
        <family val="2"/>
      </rPr>
      <t>[detection only]</t>
    </r>
    <r>
      <rPr>
        <sz val="12"/>
        <color theme="4"/>
        <rFont val="Arial"/>
        <family val="2"/>
      </rPr>
      <t xml:space="preserve"> </t>
    </r>
    <r>
      <rPr>
        <sz val="12"/>
        <rFont val="Arial"/>
        <family val="2"/>
      </rPr>
      <t xml:space="preserve">the desired confidence in variant detection (e.g., sampling should lead to </t>
    </r>
    <r>
      <rPr>
        <b/>
        <sz val="12"/>
        <rFont val="Arial"/>
        <family val="2"/>
      </rPr>
      <t>95% confidence</t>
    </r>
    <r>
      <rPr>
        <sz val="12"/>
        <rFont val="Arial"/>
        <family val="2"/>
      </rPr>
      <t xml:space="preserve"> that a detected variant will be observed)</t>
    </r>
  </si>
  <si>
    <r>
      <rPr>
        <sz val="12"/>
        <color theme="5"/>
        <rFont val="Arial"/>
        <family val="2"/>
      </rPr>
      <t>[monitoring only]</t>
    </r>
    <r>
      <rPr>
        <sz val="12"/>
        <color theme="1"/>
        <rFont val="Arial"/>
        <family val="2"/>
      </rPr>
      <t xml:space="preserve"> the desired confidence in estimate of variant prevalence (e.g., sampling should lead to </t>
    </r>
    <r>
      <rPr>
        <b/>
        <sz val="12"/>
        <color theme="1"/>
        <rFont val="Arial"/>
        <family val="2"/>
      </rPr>
      <t>95% confidence</t>
    </r>
    <r>
      <rPr>
        <sz val="12"/>
        <color theme="1"/>
        <rFont val="Arial"/>
        <family val="2"/>
      </rPr>
      <t xml:space="preserve"> that observed variant prevalence is correct)</t>
    </r>
  </si>
  <si>
    <r>
      <rPr>
        <sz val="12"/>
        <color theme="5"/>
        <rFont val="Arial"/>
        <family val="2"/>
      </rPr>
      <t>[monitoring only]</t>
    </r>
    <r>
      <rPr>
        <sz val="12"/>
        <color theme="1"/>
        <rFont val="Arial"/>
        <family val="2"/>
      </rPr>
      <t xml:space="preserve"> the desired precision of the prevalence estimate (e.g., sampling should lead to 95% confidence that estimated prevalence is </t>
    </r>
    <r>
      <rPr>
        <b/>
        <sz val="12"/>
        <color theme="1"/>
        <rFont val="Arial"/>
        <family val="2"/>
      </rPr>
      <t>within 10%</t>
    </r>
    <r>
      <rPr>
        <sz val="12"/>
        <color theme="1"/>
        <rFont val="Arial"/>
        <family val="2"/>
      </rPr>
      <t xml:space="preserve"> of true value)</t>
    </r>
  </si>
  <si>
    <t>0.02 (detection); 0.10 (monitoring)</t>
  </si>
  <si>
    <t>Number of variant introductions</t>
  </si>
  <si>
    <t>Growth rate (per time step)</t>
  </si>
  <si>
    <r>
      <rPr>
        <sz val="12"/>
        <rFont val="Arial"/>
        <family val="2"/>
      </rPr>
      <t xml:space="preserve">the </t>
    </r>
    <r>
      <rPr>
        <sz val="12"/>
        <color theme="1"/>
        <rFont val="Arial"/>
        <family val="2"/>
      </rPr>
      <t>estimated number of introductions of a variant into desired population at beginning of variant transmission</t>
    </r>
  </si>
  <si>
    <t>Sequencing Ct threshold</t>
  </si>
  <si>
    <t>Sequencing success rate (assuming Ct&lt;threshold)</t>
  </si>
  <si>
    <t>30 (can be left blank)</t>
  </si>
  <si>
    <t>the Ct threshold used to select samples for sequencing; this value has no effect on calculations and is used solely for record-keeping</t>
  </si>
  <si>
    <t>the fraction of sequenced samples that typically generate a successful whole genome sequence; this value should be estimated from past sequencing results</t>
  </si>
  <si>
    <t>Testing probability - asymptomatic infections</t>
  </si>
  <si>
    <t>Testing probability - symptomatic infections</t>
  </si>
  <si>
    <r>
      <t>the testing rate for asymptomatic infections;</t>
    </r>
    <r>
      <rPr>
        <sz val="12"/>
        <color rgb="FFC00000"/>
        <rFont val="Arial"/>
        <family val="2"/>
      </rPr>
      <t xml:space="preserve"> you may enter "1"</t>
    </r>
    <r>
      <rPr>
        <sz val="12"/>
        <rFont val="Arial"/>
        <family val="2"/>
      </rPr>
      <t xml:space="preserve"> if there is no difference in asymptomatic rate between variant of interest and general pathogen population (in this case, estimate will not affect sample size calculation)</t>
    </r>
  </si>
  <si>
    <r>
      <t>the testing rate for symptomatic infections;</t>
    </r>
    <r>
      <rPr>
        <sz val="12"/>
        <color rgb="FFC00000"/>
        <rFont val="Arial"/>
        <family val="2"/>
      </rPr>
      <t xml:space="preserve"> you may enter "1"</t>
    </r>
    <r>
      <rPr>
        <sz val="12"/>
        <rFont val="Arial"/>
        <family val="2"/>
      </rPr>
      <t xml:space="preserve"> if there is no difference in asymptomatic rate between variant of interest and general pathogen population (in this case, estimate will not affect sample size calculation)</t>
    </r>
  </si>
  <si>
    <t>Probability that infection is asymptomatic</t>
  </si>
  <si>
    <t>Testing sensitivity</t>
  </si>
  <si>
    <t>Average proportion of samples below Ct threshold</t>
  </si>
  <si>
    <t>the probability that an infection caused by the variant of interest is asymptomatic</t>
  </si>
  <si>
    <t>the sensitivity of tests used to detect infection with the pathogen of interest</t>
  </si>
  <si>
    <t>the proportion variant of interest samples typically selected for sequencing (based on Ct values or other metrics)</t>
  </si>
  <si>
    <t>the probability that an infection caused by a pathogen in the general population is asymptomatic</t>
  </si>
  <si>
    <t>the sensitivity of tests used to detect infection with the general pathogen population</t>
  </si>
  <si>
    <t>the proportion general pathogen population samples typically selected for sequencing (based on Ct values or other metrics)</t>
  </si>
  <si>
    <t>the growth rate (per time step e.g., per day) of the variant of interest</t>
  </si>
  <si>
    <t>2) Provide estimates for parameters in the USER INPUTS column on the left of each tab. Parameter definitions and reasonable defaults can be found below:</t>
  </si>
  <si>
    <t>Desired days to detection:</t>
  </si>
  <si>
    <t>NA</t>
  </si>
  <si>
    <t>Observed prevalence after desired number of days:</t>
  </si>
  <si>
    <r>
      <t xml:space="preserve">Note: </t>
    </r>
    <r>
      <rPr>
        <i/>
        <sz val="10"/>
        <color theme="1"/>
        <rFont val="Arial"/>
        <family val="2"/>
      </rPr>
      <t xml:space="preserve">Enter the desired variant prevalence </t>
    </r>
    <r>
      <rPr>
        <b/>
        <i/>
        <sz val="10"/>
        <color theme="1"/>
        <rFont val="Arial"/>
        <family val="2"/>
      </rPr>
      <t>OR</t>
    </r>
    <r>
      <rPr>
        <i/>
        <sz val="10"/>
        <color theme="1"/>
        <rFont val="Arial"/>
        <family val="2"/>
      </rPr>
      <t xml:space="preserve"> the desired days to detection; enter "NA" for the other value</t>
    </r>
  </si>
  <si>
    <t>Desired days to detection</t>
  </si>
  <si>
    <r>
      <rPr>
        <sz val="12"/>
        <color theme="5"/>
        <rFont val="Arial"/>
        <family val="2"/>
      </rPr>
      <t>[detection with periodic sampling only]</t>
    </r>
    <r>
      <rPr>
        <sz val="12"/>
        <color theme="1"/>
        <rFont val="Arial"/>
        <family val="2"/>
      </rPr>
      <t xml:space="preserve"> the desired number of days by which to detect the variant of interest (e.g., sampling should lead to 95% confidence in detection of a variant within the first </t>
    </r>
    <r>
      <rPr>
        <b/>
        <sz val="12"/>
        <color theme="1"/>
        <rFont val="Arial"/>
        <family val="2"/>
      </rPr>
      <t xml:space="preserve">30 days </t>
    </r>
    <r>
      <rPr>
        <sz val="12"/>
        <color theme="1"/>
        <rFont val="Arial"/>
        <family val="2"/>
      </rPr>
      <t>of its spread in the population)</t>
    </r>
  </si>
  <si>
    <t>To ensure desired probability of detection before variant reaches desired prevalence or within specified number of days</t>
  </si>
  <si>
    <t>Calculate sample size needed for variant detection: cross-sectional sample</t>
  </si>
  <si>
    <t>Determine probability of detection given sample size: cross-sectional sample</t>
  </si>
  <si>
    <t>Sample size:</t>
  </si>
  <si>
    <t>High quality sequences expected from sample size:</t>
  </si>
  <si>
    <t xml:space="preserve">Probability of detection of a variant at indicated prevalence: </t>
  </si>
  <si>
    <t>1) Select the appropriate tab based on the question (variant detection versus prevalence estimation) and sampling method (single sample versus periodic):</t>
  </si>
  <si>
    <t>Tab name</t>
  </si>
  <si>
    <t>Purpose / Type of Calculation</t>
  </si>
  <si>
    <t>Detection - Sample Size</t>
  </si>
  <si>
    <t>Detection - Confidence</t>
  </si>
  <si>
    <t>Prevalence - Sample Size</t>
  </si>
  <si>
    <t>Prevalence - Confidence</t>
  </si>
  <si>
    <r>
      <t xml:space="preserve">Use this tab to </t>
    </r>
    <r>
      <rPr>
        <b/>
        <sz val="12"/>
        <color theme="5"/>
        <rFont val="Arial"/>
        <family val="2"/>
      </rPr>
      <t>calculate the sample size needed</t>
    </r>
    <r>
      <rPr>
        <sz val="12"/>
        <color theme="1"/>
        <rFont val="Arial"/>
        <family val="2"/>
      </rPr>
      <t xml:space="preserve"> to detect a variant at a given prevalence with a desired probability (</t>
    </r>
    <r>
      <rPr>
        <sz val="12"/>
        <color theme="4"/>
        <rFont val="Arial"/>
        <family val="2"/>
      </rPr>
      <t>cross-sectional sample</t>
    </r>
    <r>
      <rPr>
        <sz val="12"/>
        <color theme="1"/>
        <rFont val="Arial"/>
        <family val="2"/>
      </rPr>
      <t>)</t>
    </r>
  </si>
  <si>
    <r>
      <t xml:space="preserve">Use this tab to </t>
    </r>
    <r>
      <rPr>
        <b/>
        <sz val="12"/>
        <color theme="5"/>
        <rFont val="Arial"/>
        <family val="2"/>
      </rPr>
      <t>calculate the probability of detecting</t>
    </r>
    <r>
      <rPr>
        <sz val="12"/>
        <color theme="1"/>
        <rFont val="Arial"/>
        <family val="2"/>
      </rPr>
      <t xml:space="preserve"> a variant at a desired prevalence level given an available sample size (</t>
    </r>
    <r>
      <rPr>
        <sz val="12"/>
        <color theme="4"/>
        <rFont val="Arial"/>
        <family val="2"/>
      </rPr>
      <t>cross-sectional sample</t>
    </r>
    <r>
      <rPr>
        <sz val="12"/>
        <color theme="1"/>
        <rFont val="Arial"/>
        <family val="2"/>
      </rPr>
      <t>)</t>
    </r>
  </si>
  <si>
    <r>
      <t xml:space="preserve">Use this tab to </t>
    </r>
    <r>
      <rPr>
        <b/>
        <sz val="12"/>
        <color theme="5"/>
        <rFont val="Arial"/>
        <family val="2"/>
      </rPr>
      <t>calculate the sample size needed</t>
    </r>
    <r>
      <rPr>
        <sz val="12"/>
        <color theme="1"/>
        <rFont val="Arial"/>
        <family val="2"/>
      </rPr>
      <t xml:space="preserve"> to estimate the prevalence of a variant (given some minimum prevalence) with a desired confidence and precision (</t>
    </r>
    <r>
      <rPr>
        <sz val="12"/>
        <color theme="4"/>
        <rFont val="Arial"/>
        <family val="2"/>
      </rPr>
      <t>cross-sectional sample</t>
    </r>
    <r>
      <rPr>
        <sz val="12"/>
        <color theme="1"/>
        <rFont val="Arial"/>
        <family val="2"/>
      </rPr>
      <t>)</t>
    </r>
  </si>
  <si>
    <r>
      <t xml:space="preserve">Use this tab to </t>
    </r>
    <r>
      <rPr>
        <b/>
        <sz val="12"/>
        <color theme="5"/>
        <rFont val="Arial"/>
        <family val="2"/>
      </rPr>
      <t xml:space="preserve">calculate the confidence in the prevalence estimate </t>
    </r>
    <r>
      <rPr>
        <sz val="12"/>
        <color theme="1"/>
        <rFont val="Arial"/>
        <family val="2"/>
      </rPr>
      <t>of a variant (given some minimum prevalence) given an available sample size (</t>
    </r>
    <r>
      <rPr>
        <sz val="12"/>
        <color theme="4"/>
        <rFont val="Arial"/>
        <family val="2"/>
      </rPr>
      <t>cross-sectional sample</t>
    </r>
    <r>
      <rPr>
        <sz val="12"/>
        <color theme="1"/>
        <rFont val="Arial"/>
        <family val="2"/>
      </rPr>
      <t>)</t>
    </r>
  </si>
  <si>
    <r>
      <t xml:space="preserve">Use this tab to </t>
    </r>
    <r>
      <rPr>
        <b/>
        <sz val="12"/>
        <color theme="5"/>
        <rFont val="Arial"/>
        <family val="2"/>
      </rPr>
      <t>calculate the sample size needed</t>
    </r>
    <r>
      <rPr>
        <sz val="12"/>
        <color theme="1"/>
        <rFont val="Arial"/>
        <family val="2"/>
      </rPr>
      <t xml:space="preserve"> to detect a variant at a given prevalence or time since introduction with some desired probability (</t>
    </r>
    <r>
      <rPr>
        <sz val="12"/>
        <color theme="4"/>
        <rFont val="Arial"/>
        <family val="2"/>
      </rPr>
      <t>ongoing surveillance</t>
    </r>
    <r>
      <rPr>
        <sz val="12"/>
        <color theme="1"/>
        <rFont val="Arial"/>
        <family val="2"/>
      </rPr>
      <t>)</t>
    </r>
  </si>
  <si>
    <r>
      <t xml:space="preserve">Use this tab to </t>
    </r>
    <r>
      <rPr>
        <b/>
        <sz val="12"/>
        <color theme="5"/>
        <rFont val="Arial"/>
        <family val="2"/>
      </rPr>
      <t>calculate the probability of detecting</t>
    </r>
    <r>
      <rPr>
        <sz val="12"/>
        <color theme="1"/>
        <rFont val="Arial"/>
        <family val="2"/>
      </rPr>
      <t xml:space="preserve"> a variant at a desired prevalence level or time since introduction given an available sample size (</t>
    </r>
    <r>
      <rPr>
        <sz val="12"/>
        <color theme="4"/>
        <rFont val="Arial"/>
        <family val="2"/>
      </rPr>
      <t>ongoing surveillance</t>
    </r>
    <r>
      <rPr>
        <sz val="12"/>
        <color theme="1"/>
        <rFont val="Arial"/>
        <family val="2"/>
      </rPr>
      <t>)</t>
    </r>
  </si>
  <si>
    <t>3) After entering all parameters, see results in right hand column of selected tab.</t>
  </si>
  <si>
    <r>
      <rPr>
        <b/>
        <sz val="10"/>
        <color theme="8"/>
        <rFont val="Arial"/>
        <family val="2"/>
      </rPr>
      <t>Calculations derived from:</t>
    </r>
    <r>
      <rPr>
        <sz val="10"/>
        <color theme="8"/>
        <rFont val="Arial"/>
        <family val="2"/>
      </rPr>
      <t xml:space="preserve"> Wohl et al. </t>
    </r>
    <r>
      <rPr>
        <i/>
        <sz val="10"/>
        <color theme="8"/>
        <rFont val="Arial"/>
        <family val="2"/>
      </rPr>
      <t>Sample Size Calculations for Variant Surveillance in the Presence of Biological and Systematic Biases.</t>
    </r>
  </si>
  <si>
    <t>Confidence in prevalence estimate for variants at indicated prevalence:</t>
  </si>
  <si>
    <t>Given that the stated number of samples are selected for sequencing</t>
  </si>
  <si>
    <t>Z-Statistic given sample size and desired precision:</t>
  </si>
  <si>
    <t>Detect (Periodic) - Sample Size</t>
  </si>
  <si>
    <t>Detect (Periodic) - Confidence</t>
  </si>
  <si>
    <t>Sample size (PER DAY):</t>
  </si>
  <si>
    <t>High quality sequences expected per day from sample size:</t>
  </si>
  <si>
    <t>NB: For best results, select samples as randomly as possible OR in a way that maximizes geographic and temporal distribution of samples.</t>
  </si>
  <si>
    <t>NB: Result is most accurated if samples were selected as randomly as possible OR in a way that maximized geographic and temporal distribution of samples.</t>
  </si>
  <si>
    <t>Calculate sample size needed for variant detection: periodic sampling</t>
  </si>
  <si>
    <t>Determine probability of detection given sample size: periodic sampling</t>
  </si>
  <si>
    <t>Calculate sample size needed for estimating variant prevalence: cross-sectional sample</t>
  </si>
  <si>
    <t>Determine confidence in estimate of variant prevalence: cross-sectional sample</t>
  </si>
  <si>
    <t>Infected population size</t>
  </si>
  <si>
    <t>the total number of infections in the geographic region in which sampling is to be conducted (at the time when the variant is introduced)</t>
  </si>
  <si>
    <t>Infected population size:</t>
  </si>
  <si>
    <r>
      <rPr>
        <i/>
        <sz val="12"/>
        <rFont val="Arial"/>
        <family val="2"/>
      </rPr>
      <t xml:space="preserve">Please note: this worksheet can be used to calculate the </t>
    </r>
    <r>
      <rPr>
        <b/>
        <i/>
        <sz val="12"/>
        <rFont val="Arial"/>
        <family val="2"/>
      </rPr>
      <t>approximate</t>
    </r>
    <r>
      <rPr>
        <i/>
        <sz val="12"/>
        <rFont val="Arial"/>
        <family val="2"/>
      </rPr>
      <t xml:space="preserve"> sample size needed for designing surveillance studies and interpreting results. The method has a number of </t>
    </r>
    <r>
      <rPr>
        <b/>
        <i/>
        <sz val="12"/>
        <rFont val="Arial"/>
        <family val="2"/>
      </rPr>
      <t>limitations</t>
    </r>
    <r>
      <rPr>
        <i/>
        <sz val="12"/>
        <rFont val="Arial"/>
        <family val="2"/>
      </rPr>
      <t>, described in Step 4 below.</t>
    </r>
  </si>
  <si>
    <t>4) Make note of the following assumptions and limitations of the approach herein before applying the results in a public health setting:</t>
  </si>
  <si>
    <t>Methodological assumptions:</t>
  </si>
  <si>
    <t>• Sampling is homogenous and representative across the relevant time period and geography of interest.</t>
  </si>
  <si>
    <t>• Parameter values are static over time (i.e., sample size calculations should be repeated if parameters such as testing rate, testing sensitivity, etc. change as a result of technological or behavioral changes over time).</t>
  </si>
  <si>
    <t>• Time between sample collection and variant characterization is negligible (in other words, results are only correct to the time of sampling).</t>
  </si>
  <si>
    <t>• In this worksheet, we assume a 2-variant system (i.e., we assume one variant of interest and compare it to the rest of the pathogen population, which we assume to be homogeneous in terms of biological and logistical characteristics).</t>
  </si>
  <si>
    <r>
      <rPr>
        <b/>
        <sz val="10"/>
        <color theme="8"/>
        <rFont val="Arial"/>
        <family val="2"/>
      </rPr>
      <t>For more details, see:</t>
    </r>
    <r>
      <rPr>
        <sz val="10"/>
        <color theme="8"/>
        <rFont val="Arial"/>
        <family val="2"/>
      </rPr>
      <t xml:space="preserve"> Wohl et al. </t>
    </r>
    <r>
      <rPr>
        <i/>
        <sz val="10"/>
        <color theme="8"/>
        <rFont val="Arial"/>
        <family val="2"/>
      </rPr>
      <t>Sample Size Calculations for Variant Surveillance in the Presence of Biological and Systematic Biases.</t>
    </r>
  </si>
  <si>
    <t>Coefficient of detection ratio (C_V1 / C_V2):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</si>
</sst>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x14ac:knownFonts="1">
    <font>
      <sz val="12"/>
      <color theme="1"/>
      <name val="Calibri"/>
      <family val="2"/>
      <scheme val="minor"/>
    </font>
    <font>
      <sz val="12"/>
      <color theme="1"/>
      <name val="Arial"/>
      <family val="2"/>
    </font>
    <font>
      <b/>
      <sz val="16"/>
      <color theme="1"/>
      <name val="Arial"/>
      <family val="2"/>
    </font>
    <font>
      <b/>
      <sz val="16"/>
      <color rgb="FFFF0000"/>
      <name val="Arial"/>
      <family val="2"/>
    </font>
    <font>
      <b/>
      <sz val="12"/>
      <color theme="1"/>
      <name val="Arial"/>
      <family val="2"/>
    </font>
    <font>
      <b/>
      <sz val="14"/>
      <color rgb="FFFF0000"/>
      <name val="Arial"/>
      <family val="2"/>
    </font>
    <font>
      <i/>
      <sz val="12"/>
      <color theme="1"/>
      <name val="Arial"/>
      <family val="2"/>
    </font>
    <font>
      <b/>
      <i/>
      <sz val="10"/>
      <color theme="1"/>
      <name val="Arial"/>
      <family val="2"/>
    </font>
    <font>
      <i/>
      <sz val="10"/>
      <color theme="1"/>
      <name val="Arial"/>
      <family val="2"/>
    </font>
    <font>
      <b/>
      <sz val="12"/>
      <name val="Arial"/>
      <family val="2"/>
    </font>
    <font>
      <sz val="12"/>
      <name val="Arial"/>
      <family val="2"/>
    </font>
    <font>
      <sz val="12"/>
      <color theme="4"/>
      <name val="Arial"/>
      <family val="2"/>
    </font>
    <font>
      <sz val="12"/>
      <color rgb="FFC00000"/>
      <name val="Arial"/>
      <family val="2"/>
    </font>
    <font>
      <i/>
      <sz val="12"/>
      <color rgb="FFC00000"/>
      <name val="Arial"/>
      <family val="2"/>
    </font>
    <font>
      <b/>
      <i/>
      <u/>
      <sz val="12"/>
      <color rgb="FFC00000"/>
      <name val="Arial"/>
      <family val="2"/>
    </font>
    <font>
      <sz val="12"/>
      <color theme="5"/>
      <name val="Arial"/>
      <family val="2"/>
    </font>
    <font>
      <b/>
      <sz val="12"/>
      <color theme="5"/>
      <name val="Arial"/>
      <family val="2"/>
    </font>
    <font>
      <b/>
      <sz val="12"/>
      <color theme="0"/>
      <name val="Arial"/>
      <family val="2"/>
    </font>
    <font>
      <b/>
      <sz val="16"/>
      <color rgb="FF002060"/>
      <name val="Arial"/>
      <family val="2"/>
    </font>
    <font>
      <sz val="12"/>
      <color rgb="FF002060"/>
      <name val="Arial"/>
      <family val="2"/>
    </font>
    <font>
      <b/>
      <sz val="13"/>
      <color theme="0"/>
      <name val="Arial"/>
      <family val="2"/>
    </font>
    <font>
      <sz val="10"/>
      <color theme="8"/>
      <name val="Arial"/>
      <family val="2"/>
    </font>
    <font>
      <b/>
      <sz val="10"/>
      <color theme="8"/>
      <name val="Arial"/>
      <family val="2"/>
    </font>
    <font>
      <i/>
      <sz val="10"/>
      <color theme="8"/>
      <name val="Arial"/>
      <family val="2"/>
    </font>
    <font>
      <b/>
      <i/>
      <sz val="12"/>
      <name val="Arial"/>
      <family val="2"/>
    </font>
    <font>
      <i/>
      <sz val="12"/>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002060"/>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vertical="center"/>
    </xf>
    <xf numFmtId="0" fontId="2" fillId="0" borderId="0" xfId="0" applyFont="1"/>
    <xf numFmtId="0" fontId="4" fillId="2" borderId="0" xfId="0" applyFont="1" applyFill="1" applyAlignment="1">
      <alignment vertical="center"/>
    </xf>
    <xf numFmtId="0" fontId="1" fillId="2" borderId="0" xfId="0" applyFont="1" applyFill="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xf>
    <xf numFmtId="0" fontId="5" fillId="0" borderId="0" xfId="0" applyFont="1"/>
    <xf numFmtId="0" fontId="5" fillId="0" borderId="1" xfId="0" applyFont="1" applyBorder="1" applyAlignment="1">
      <alignment horizontal="center"/>
    </xf>
    <xf numFmtId="0" fontId="6" fillId="0" borderId="0" xfId="0" applyFont="1"/>
    <xf numFmtId="0" fontId="7" fillId="0" borderId="0" xfId="0" applyFont="1" applyAlignment="1">
      <alignment vertical="center"/>
    </xf>
    <xf numFmtId="164" fontId="1" fillId="0" borderId="0" xfId="0" applyNumberFormat="1" applyFont="1" applyAlignment="1">
      <alignment horizontal="center"/>
    </xf>
    <xf numFmtId="0" fontId="9"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0" xfId="0" applyFont="1" applyAlignment="1">
      <alignment vertical="center"/>
    </xf>
    <xf numFmtId="0" fontId="13" fillId="0" borderId="0" xfId="0" applyFont="1" applyAlignment="1">
      <alignment vertical="center"/>
    </xf>
    <xf numFmtId="0" fontId="11" fillId="0" borderId="0" xfId="0" applyFont="1" applyAlignment="1">
      <alignment vertical="center"/>
    </xf>
    <xf numFmtId="0" fontId="10" fillId="0" borderId="0" xfId="0" applyFont="1" applyAlignment="1">
      <alignment horizontal="left" vertical="center"/>
    </xf>
    <xf numFmtId="0" fontId="17" fillId="4" borderId="0" xfId="0" applyFont="1" applyFill="1" applyAlignment="1">
      <alignment vertical="center"/>
    </xf>
    <xf numFmtId="0" fontId="18" fillId="3" borderId="0" xfId="0" applyFont="1" applyFill="1" applyAlignment="1">
      <alignment vertical="center"/>
    </xf>
    <xf numFmtId="0" fontId="19" fillId="3" borderId="0" xfId="0" applyFont="1" applyFill="1" applyAlignment="1">
      <alignment vertical="center"/>
    </xf>
    <xf numFmtId="0" fontId="20" fillId="4" borderId="0" xfId="0" applyFont="1" applyFill="1" applyAlignment="1">
      <alignment vertical="center"/>
    </xf>
    <xf numFmtId="0" fontId="21" fillId="0" borderId="0" xfId="0" applyFont="1"/>
    <xf numFmtId="0" fontId="24" fillId="0" borderId="0" xfId="0" applyFont="1" applyAlignment="1">
      <alignment vertical="center"/>
    </xf>
    <xf numFmtId="0" fontId="19" fillId="0" borderId="0" xfId="0" applyFont="1" applyAlignment="1">
      <alignment vertical="center"/>
    </xf>
    <xf numFmtId="164" fontId="5" fillId="0" borderId="1" xfId="0" applyNumberFormat="1" applyFont="1" applyBorder="1" applyAlignment="1">
      <alignment horizontal="center"/>
    </xf>
    <xf numFmtId="2" fontId="1" fillId="0" borderId="1" xfId="0" applyNumberFormat="1" applyFont="1" applyBorder="1" applyAlignment="1">
      <alignment horizontal="center"/>
    </xf>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040A-BC4E-FF45-AF4B-9454F8204D7F}">
  <dimension ref="A1:R61"/>
  <sheetViews>
    <sheetView showGridLines="0" zoomScaleNormal="100" workbookViewId="0">
      <selection activeCell="C52" sqref="C52"/>
    </sheetView>
  </sheetViews>
  <sheetFormatPr baseColWidth="10" defaultRowHeight="23" customHeight="1" x14ac:dyDescent="0.2"/>
  <cols>
    <col min="1" max="1" width="10.83203125" style="1"/>
    <col min="2" max="2" width="7.1640625" style="1" customWidth="1"/>
    <col min="3" max="3" width="50.33203125" style="1" customWidth="1"/>
    <col min="4" max="4" width="35" style="1" customWidth="1"/>
    <col min="5" max="5" width="10.83203125" style="1" customWidth="1"/>
    <col min="6" max="16384" width="10.83203125" style="1"/>
  </cols>
  <sheetData>
    <row r="1" spans="1:18" ht="23" customHeight="1" x14ac:dyDescent="0.2">
      <c r="A1" s="16"/>
      <c r="B1" s="16"/>
      <c r="C1" s="16"/>
      <c r="D1" s="16"/>
      <c r="E1" s="16"/>
      <c r="F1" s="16"/>
      <c r="G1" s="16"/>
      <c r="H1" s="16"/>
      <c r="I1" s="16"/>
      <c r="J1" s="16"/>
      <c r="K1" s="16"/>
      <c r="L1" s="16"/>
      <c r="M1" s="16"/>
      <c r="N1" s="16"/>
      <c r="O1" s="16"/>
      <c r="P1" s="16"/>
      <c r="Q1" s="16"/>
      <c r="R1" s="16"/>
    </row>
    <row r="2" spans="1:18" ht="45" customHeight="1" x14ac:dyDescent="0.2">
      <c r="A2" s="16"/>
      <c r="B2" s="22" t="s">
        <v>37</v>
      </c>
      <c r="C2" s="23"/>
      <c r="D2" s="23"/>
      <c r="E2" s="23"/>
      <c r="F2" s="23"/>
      <c r="G2" s="23"/>
      <c r="H2" s="23"/>
      <c r="I2" s="23"/>
      <c r="J2" s="23"/>
      <c r="K2" s="23"/>
      <c r="L2" s="23"/>
      <c r="M2" s="23"/>
      <c r="N2" s="23"/>
      <c r="O2" s="23"/>
      <c r="P2" s="16"/>
      <c r="Q2" s="16"/>
      <c r="R2" s="16"/>
    </row>
    <row r="3" spans="1:18" ht="22" customHeight="1" x14ac:dyDescent="0.2">
      <c r="A3" s="16"/>
      <c r="B3" s="26" t="s">
        <v>122</v>
      </c>
      <c r="C3" s="27"/>
      <c r="D3" s="27"/>
      <c r="E3" s="27"/>
      <c r="F3" s="27"/>
      <c r="G3" s="27"/>
      <c r="H3" s="27"/>
      <c r="I3" s="27"/>
      <c r="J3" s="27"/>
      <c r="K3" s="27"/>
      <c r="L3" s="27"/>
      <c r="M3" s="27"/>
      <c r="N3" s="27"/>
      <c r="O3" s="27"/>
      <c r="P3" s="16"/>
      <c r="Q3" s="16"/>
      <c r="R3" s="16"/>
    </row>
    <row r="4" spans="1:18" ht="23" customHeight="1" x14ac:dyDescent="0.2">
      <c r="A4" s="16"/>
      <c r="B4" s="16"/>
      <c r="C4" s="16"/>
      <c r="D4" s="16"/>
      <c r="E4" s="16"/>
      <c r="F4" s="16"/>
      <c r="G4" s="16"/>
      <c r="H4" s="16"/>
      <c r="I4" s="16"/>
      <c r="J4" s="16"/>
      <c r="K4" s="16"/>
      <c r="L4" s="16"/>
      <c r="M4" s="16"/>
      <c r="N4" s="16"/>
      <c r="O4" s="16"/>
      <c r="P4" s="16"/>
      <c r="Q4" s="16"/>
      <c r="R4" s="16"/>
    </row>
    <row r="5" spans="1:18" ht="27" customHeight="1" x14ac:dyDescent="0.2">
      <c r="A5" s="16"/>
      <c r="B5" s="24" t="s">
        <v>91</v>
      </c>
      <c r="C5" s="21"/>
      <c r="D5" s="21"/>
      <c r="E5" s="21"/>
      <c r="F5" s="21"/>
      <c r="G5" s="21"/>
      <c r="H5" s="21"/>
      <c r="I5" s="21"/>
      <c r="J5" s="21"/>
      <c r="K5" s="21"/>
      <c r="L5" s="21"/>
      <c r="M5" s="21"/>
      <c r="N5" s="21"/>
      <c r="O5" s="21"/>
      <c r="P5" s="16"/>
      <c r="Q5" s="16"/>
      <c r="R5" s="16"/>
    </row>
    <row r="6" spans="1:18" ht="23" customHeight="1" x14ac:dyDescent="0.2">
      <c r="A6" s="16"/>
      <c r="B6" s="16"/>
      <c r="C6" s="16"/>
      <c r="D6" s="16"/>
      <c r="E6" s="16"/>
      <c r="F6" s="16"/>
      <c r="G6" s="16"/>
      <c r="H6" s="16"/>
      <c r="I6" s="16"/>
      <c r="J6" s="16"/>
      <c r="K6" s="16"/>
      <c r="L6" s="16"/>
      <c r="M6" s="16"/>
      <c r="N6" s="16"/>
      <c r="O6" s="16"/>
      <c r="P6" s="16"/>
      <c r="Q6" s="16"/>
      <c r="R6" s="16"/>
    </row>
    <row r="7" spans="1:18" ht="23" customHeight="1" x14ac:dyDescent="0.2">
      <c r="A7" s="16"/>
      <c r="B7" s="16"/>
      <c r="C7" s="14" t="s">
        <v>92</v>
      </c>
      <c r="D7" s="15" t="s">
        <v>93</v>
      </c>
      <c r="E7" s="16"/>
      <c r="F7" s="16"/>
      <c r="G7" s="16"/>
      <c r="H7" s="16"/>
      <c r="I7" s="16"/>
      <c r="J7" s="16"/>
      <c r="K7" s="16"/>
      <c r="L7" s="16"/>
      <c r="M7" s="16"/>
      <c r="N7" s="16"/>
      <c r="O7" s="16"/>
      <c r="P7" s="16"/>
      <c r="Q7" s="16"/>
      <c r="R7" s="16"/>
    </row>
    <row r="8" spans="1:18" ht="23" customHeight="1" x14ac:dyDescent="0.2">
      <c r="A8" s="16"/>
      <c r="B8" s="16"/>
      <c r="C8" s="16" t="s">
        <v>94</v>
      </c>
      <c r="D8" s="16" t="s">
        <v>98</v>
      </c>
      <c r="E8" s="16"/>
      <c r="F8" s="16"/>
      <c r="G8" s="16"/>
      <c r="H8" s="16"/>
      <c r="I8" s="16"/>
      <c r="J8" s="16"/>
      <c r="K8" s="16"/>
      <c r="L8" s="16"/>
      <c r="M8" s="16"/>
      <c r="N8" s="16"/>
      <c r="O8" s="16"/>
      <c r="P8" s="16"/>
      <c r="Q8" s="16"/>
      <c r="R8" s="16"/>
    </row>
    <row r="9" spans="1:18" ht="23" customHeight="1" x14ac:dyDescent="0.2">
      <c r="A9" s="16"/>
      <c r="B9" s="16"/>
      <c r="C9" s="16" t="s">
        <v>95</v>
      </c>
      <c r="D9" s="16" t="s">
        <v>99</v>
      </c>
      <c r="E9" s="16"/>
      <c r="F9" s="16"/>
      <c r="G9" s="16"/>
      <c r="H9" s="16"/>
      <c r="I9" s="16"/>
      <c r="J9" s="16"/>
      <c r="K9" s="16"/>
      <c r="L9" s="16"/>
      <c r="M9" s="16"/>
      <c r="N9" s="16"/>
      <c r="O9" s="16"/>
      <c r="P9" s="16"/>
      <c r="Q9" s="16"/>
      <c r="R9" s="16"/>
    </row>
    <row r="10" spans="1:18" ht="23" customHeight="1" x14ac:dyDescent="0.2">
      <c r="A10" s="16"/>
      <c r="B10" s="16"/>
      <c r="C10" s="16" t="s">
        <v>96</v>
      </c>
      <c r="D10" s="16" t="s">
        <v>100</v>
      </c>
      <c r="E10" s="16"/>
      <c r="F10" s="16"/>
      <c r="G10" s="16"/>
      <c r="H10" s="16"/>
      <c r="I10" s="16"/>
      <c r="J10" s="16"/>
      <c r="K10" s="16"/>
      <c r="L10" s="16"/>
      <c r="M10" s="16"/>
      <c r="N10" s="16"/>
      <c r="O10" s="16"/>
      <c r="P10" s="16"/>
      <c r="Q10" s="16"/>
      <c r="R10" s="16"/>
    </row>
    <row r="11" spans="1:18" ht="23" customHeight="1" x14ac:dyDescent="0.2">
      <c r="A11" s="16"/>
      <c r="B11" s="16"/>
      <c r="C11" s="16" t="s">
        <v>97</v>
      </c>
      <c r="D11" s="16" t="s">
        <v>101</v>
      </c>
      <c r="E11" s="16"/>
      <c r="F11" s="16"/>
      <c r="G11" s="16"/>
      <c r="H11" s="16"/>
      <c r="I11" s="16"/>
      <c r="J11" s="16"/>
      <c r="K11" s="16"/>
      <c r="L11" s="16"/>
      <c r="M11" s="16"/>
      <c r="N11" s="16"/>
      <c r="O11" s="16"/>
      <c r="P11" s="16"/>
      <c r="Q11" s="16"/>
      <c r="R11" s="16"/>
    </row>
    <row r="12" spans="1:18" ht="23" customHeight="1" x14ac:dyDescent="0.2">
      <c r="A12" s="16"/>
      <c r="B12" s="16"/>
      <c r="C12" s="16" t="s">
        <v>109</v>
      </c>
      <c r="D12" s="16" t="s">
        <v>102</v>
      </c>
      <c r="E12" s="16"/>
      <c r="F12" s="16"/>
      <c r="G12" s="16"/>
      <c r="H12" s="16"/>
      <c r="I12" s="16"/>
      <c r="J12" s="16"/>
      <c r="K12" s="16"/>
      <c r="L12" s="16"/>
      <c r="M12" s="16"/>
      <c r="N12" s="16"/>
      <c r="O12" s="16"/>
      <c r="P12" s="16"/>
      <c r="Q12" s="16"/>
      <c r="R12" s="16"/>
    </row>
    <row r="13" spans="1:18" ht="23" customHeight="1" x14ac:dyDescent="0.2">
      <c r="A13" s="16"/>
      <c r="B13" s="16"/>
      <c r="C13" s="16" t="s">
        <v>110</v>
      </c>
      <c r="D13" s="16" t="s">
        <v>103</v>
      </c>
      <c r="E13" s="16"/>
      <c r="F13" s="16"/>
      <c r="G13" s="16"/>
      <c r="H13" s="16"/>
      <c r="I13" s="16"/>
      <c r="J13" s="16"/>
      <c r="K13" s="16"/>
      <c r="L13" s="16"/>
      <c r="M13" s="16"/>
      <c r="N13" s="16"/>
      <c r="O13" s="16"/>
      <c r="P13" s="16"/>
      <c r="Q13" s="16"/>
      <c r="R13" s="16"/>
    </row>
    <row r="14" spans="1:18" ht="23" customHeight="1" x14ac:dyDescent="0.2">
      <c r="A14" s="16"/>
      <c r="B14" s="16"/>
      <c r="C14" s="16"/>
      <c r="D14" s="16"/>
      <c r="E14" s="16"/>
      <c r="F14" s="16"/>
      <c r="G14" s="16"/>
      <c r="H14" s="16"/>
      <c r="I14" s="16"/>
      <c r="J14" s="16"/>
      <c r="K14" s="16"/>
      <c r="L14" s="16"/>
      <c r="M14" s="16"/>
      <c r="N14" s="16"/>
      <c r="O14" s="16"/>
      <c r="P14" s="16"/>
      <c r="Q14" s="16"/>
      <c r="R14" s="16"/>
    </row>
    <row r="15" spans="1:18" ht="27" customHeight="1" x14ac:dyDescent="0.2">
      <c r="A15" s="16"/>
      <c r="B15" s="24" t="s">
        <v>78</v>
      </c>
      <c r="C15" s="21"/>
      <c r="D15" s="21"/>
      <c r="E15" s="21"/>
      <c r="F15" s="21"/>
      <c r="G15" s="21"/>
      <c r="H15" s="21"/>
      <c r="I15" s="21"/>
      <c r="J15" s="21"/>
      <c r="K15" s="21"/>
      <c r="L15" s="21"/>
      <c r="M15" s="21"/>
      <c r="N15" s="21"/>
      <c r="O15" s="21"/>
      <c r="P15" s="16"/>
      <c r="Q15" s="16"/>
      <c r="R15" s="16"/>
    </row>
    <row r="16" spans="1:18" ht="23" customHeight="1" x14ac:dyDescent="0.2">
      <c r="A16" s="16"/>
      <c r="B16" s="16"/>
      <c r="C16" s="16"/>
      <c r="D16" s="16"/>
      <c r="E16" s="16"/>
      <c r="F16" s="16"/>
      <c r="G16" s="16"/>
      <c r="H16" s="16"/>
      <c r="I16" s="16"/>
      <c r="J16" s="16"/>
      <c r="K16" s="16"/>
      <c r="L16" s="16"/>
      <c r="M16" s="16"/>
      <c r="N16" s="16"/>
      <c r="O16" s="16"/>
      <c r="P16" s="16"/>
      <c r="Q16" s="16"/>
      <c r="R16" s="16"/>
    </row>
    <row r="17" spans="1:18" ht="23" customHeight="1" x14ac:dyDescent="0.2">
      <c r="A17" s="16"/>
      <c r="B17" s="16"/>
      <c r="C17" s="14" t="s">
        <v>5</v>
      </c>
      <c r="D17" s="14" t="s">
        <v>45</v>
      </c>
      <c r="E17" s="15" t="s">
        <v>46</v>
      </c>
      <c r="F17" s="16"/>
      <c r="G17" s="16"/>
      <c r="H17" s="16"/>
      <c r="I17" s="16"/>
      <c r="J17" s="16"/>
      <c r="K17" s="16"/>
      <c r="L17" s="16"/>
      <c r="M17" s="16"/>
      <c r="N17" s="16"/>
      <c r="O17" s="16"/>
      <c r="P17" s="16"/>
      <c r="Q17" s="16"/>
      <c r="R17" s="16"/>
    </row>
    <row r="18" spans="1:18" ht="23" customHeight="1" x14ac:dyDescent="0.2">
      <c r="A18" s="16"/>
      <c r="B18" s="16"/>
      <c r="C18" s="19" t="s">
        <v>47</v>
      </c>
      <c r="D18" s="20">
        <v>0.95</v>
      </c>
      <c r="E18" s="17" t="s">
        <v>52</v>
      </c>
      <c r="F18" s="16"/>
      <c r="G18" s="16"/>
      <c r="H18" s="16"/>
      <c r="I18" s="16"/>
      <c r="J18" s="16"/>
      <c r="K18" s="16"/>
      <c r="L18" s="16"/>
      <c r="M18" s="16"/>
      <c r="N18" s="16"/>
      <c r="O18" s="16"/>
      <c r="P18" s="16"/>
      <c r="Q18" s="16"/>
      <c r="R18" s="16"/>
    </row>
    <row r="19" spans="1:18" ht="23" customHeight="1" x14ac:dyDescent="0.2">
      <c r="A19" s="16"/>
      <c r="B19" s="16"/>
      <c r="C19" s="19" t="s">
        <v>48</v>
      </c>
      <c r="D19" s="20">
        <v>0.95</v>
      </c>
      <c r="E19" s="16" t="s">
        <v>53</v>
      </c>
      <c r="F19" s="16"/>
      <c r="G19" s="16"/>
      <c r="H19" s="16"/>
      <c r="I19" s="16"/>
      <c r="J19" s="16"/>
      <c r="K19" s="16"/>
      <c r="L19" s="16"/>
      <c r="M19" s="16"/>
      <c r="N19" s="16"/>
      <c r="O19" s="16"/>
      <c r="P19" s="16"/>
      <c r="Q19" s="16"/>
      <c r="R19" s="16"/>
    </row>
    <row r="20" spans="1:18" ht="23" customHeight="1" x14ac:dyDescent="0.2">
      <c r="A20" s="16"/>
      <c r="B20" s="16"/>
      <c r="C20" s="19" t="s">
        <v>49</v>
      </c>
      <c r="D20" s="20" t="s">
        <v>55</v>
      </c>
      <c r="E20" s="17" t="s">
        <v>51</v>
      </c>
      <c r="F20" s="16"/>
      <c r="G20" s="16"/>
      <c r="H20" s="16"/>
      <c r="I20" s="16"/>
      <c r="J20" s="16"/>
      <c r="K20" s="16"/>
      <c r="L20" s="16"/>
      <c r="M20" s="16"/>
      <c r="N20" s="16"/>
      <c r="O20" s="16"/>
      <c r="P20" s="16"/>
      <c r="Q20" s="16"/>
      <c r="R20" s="16"/>
    </row>
    <row r="21" spans="1:18" ht="23" customHeight="1" x14ac:dyDescent="0.2">
      <c r="A21" s="16"/>
      <c r="B21" s="16"/>
      <c r="C21" s="19" t="s">
        <v>83</v>
      </c>
      <c r="D21" s="20" t="s">
        <v>80</v>
      </c>
      <c r="E21" s="16" t="s">
        <v>84</v>
      </c>
      <c r="F21" s="16"/>
      <c r="G21" s="16"/>
      <c r="H21" s="16"/>
      <c r="I21" s="16"/>
      <c r="J21" s="16"/>
      <c r="K21" s="16"/>
      <c r="L21" s="16"/>
      <c r="M21" s="16"/>
      <c r="N21" s="16"/>
      <c r="O21" s="16"/>
      <c r="P21" s="16"/>
      <c r="Q21" s="16"/>
      <c r="R21" s="16"/>
    </row>
    <row r="22" spans="1:18" ht="23" customHeight="1" x14ac:dyDescent="0.2">
      <c r="A22" s="16"/>
      <c r="B22" s="16"/>
      <c r="C22" s="19" t="s">
        <v>50</v>
      </c>
      <c r="D22" s="20">
        <v>0.25</v>
      </c>
      <c r="E22" s="16" t="s">
        <v>54</v>
      </c>
      <c r="F22" s="16"/>
      <c r="G22" s="16"/>
      <c r="H22" s="16"/>
      <c r="I22" s="16"/>
      <c r="J22" s="16"/>
      <c r="K22" s="16"/>
      <c r="L22" s="16"/>
      <c r="M22" s="16"/>
      <c r="N22" s="16"/>
      <c r="O22" s="16"/>
      <c r="P22" s="16"/>
      <c r="Q22" s="16"/>
      <c r="R22" s="16"/>
    </row>
    <row r="23" spans="1:18" ht="23" customHeight="1" x14ac:dyDescent="0.2">
      <c r="A23" s="16"/>
      <c r="B23" s="16"/>
      <c r="C23" s="16"/>
      <c r="D23" s="16"/>
      <c r="E23" s="16"/>
      <c r="F23" s="16"/>
      <c r="G23" s="16"/>
      <c r="H23" s="16"/>
      <c r="I23" s="16"/>
      <c r="J23" s="16"/>
      <c r="K23" s="16"/>
      <c r="L23" s="16"/>
      <c r="M23" s="16"/>
      <c r="N23" s="16"/>
      <c r="O23" s="16"/>
      <c r="P23" s="16"/>
      <c r="Q23" s="16"/>
      <c r="R23" s="16"/>
    </row>
    <row r="24" spans="1:18" ht="23" customHeight="1" x14ac:dyDescent="0.2">
      <c r="A24" s="16"/>
      <c r="B24" s="16"/>
      <c r="C24" s="15" t="s">
        <v>41</v>
      </c>
      <c r="D24" s="14" t="s">
        <v>45</v>
      </c>
      <c r="E24" s="15" t="s">
        <v>46</v>
      </c>
      <c r="F24" s="16"/>
      <c r="G24" s="16"/>
      <c r="H24" s="16"/>
      <c r="I24" s="16"/>
      <c r="J24" s="16"/>
      <c r="K24" s="16"/>
      <c r="L24" s="16"/>
      <c r="M24" s="16"/>
      <c r="N24" s="16"/>
      <c r="O24" s="16"/>
      <c r="P24" s="16"/>
      <c r="Q24" s="16"/>
      <c r="R24" s="16"/>
    </row>
    <row r="25" spans="1:18" ht="23" customHeight="1" x14ac:dyDescent="0.2">
      <c r="A25" s="16"/>
      <c r="B25" s="16"/>
      <c r="C25" s="19" t="s">
        <v>56</v>
      </c>
      <c r="D25" s="20">
        <v>1</v>
      </c>
      <c r="E25" s="16" t="s">
        <v>58</v>
      </c>
      <c r="F25" s="16"/>
      <c r="G25" s="16"/>
      <c r="H25" s="16"/>
      <c r="I25" s="16"/>
      <c r="J25" s="16"/>
      <c r="K25" s="16"/>
      <c r="L25" s="16"/>
      <c r="M25" s="16"/>
      <c r="N25" s="16"/>
      <c r="O25" s="16"/>
      <c r="P25" s="16"/>
      <c r="Q25" s="16"/>
      <c r="R25" s="16"/>
    </row>
    <row r="26" spans="1:18" ht="23" customHeight="1" x14ac:dyDescent="0.2">
      <c r="A26" s="16"/>
      <c r="B26" s="16"/>
      <c r="C26" s="19" t="s">
        <v>119</v>
      </c>
      <c r="D26" s="20" t="s">
        <v>80</v>
      </c>
      <c r="E26" s="16" t="s">
        <v>120</v>
      </c>
      <c r="F26" s="16"/>
      <c r="G26" s="16"/>
      <c r="H26" s="16"/>
      <c r="I26" s="16"/>
      <c r="J26" s="16"/>
      <c r="K26" s="16"/>
      <c r="L26" s="16"/>
      <c r="M26" s="16"/>
      <c r="N26" s="16"/>
      <c r="O26" s="16"/>
      <c r="P26" s="16"/>
      <c r="Q26" s="16"/>
      <c r="R26" s="16"/>
    </row>
    <row r="27" spans="1:18" ht="23" customHeight="1" x14ac:dyDescent="0.2">
      <c r="A27" s="16"/>
      <c r="B27" s="16"/>
      <c r="C27" s="19" t="s">
        <v>57</v>
      </c>
      <c r="D27" s="20">
        <v>0.1</v>
      </c>
      <c r="E27" s="16" t="s">
        <v>77</v>
      </c>
      <c r="F27" s="16"/>
      <c r="G27" s="16"/>
      <c r="H27" s="16"/>
      <c r="I27" s="16"/>
      <c r="J27" s="16"/>
      <c r="K27" s="16"/>
      <c r="L27" s="16"/>
      <c r="M27" s="16"/>
      <c r="N27" s="16"/>
      <c r="O27" s="16"/>
      <c r="P27" s="16"/>
      <c r="Q27" s="16"/>
      <c r="R27" s="16"/>
    </row>
    <row r="28" spans="1:18" ht="23" customHeight="1" x14ac:dyDescent="0.2">
      <c r="A28" s="16"/>
      <c r="B28" s="16"/>
      <c r="C28" s="17"/>
      <c r="D28" s="17"/>
      <c r="E28" s="16"/>
      <c r="F28" s="16"/>
      <c r="G28" s="16"/>
      <c r="H28" s="16"/>
      <c r="I28" s="16"/>
      <c r="J28" s="16"/>
      <c r="K28" s="16"/>
      <c r="L28" s="16"/>
      <c r="M28" s="16"/>
      <c r="N28" s="16"/>
      <c r="O28" s="16"/>
      <c r="P28" s="16"/>
      <c r="Q28" s="16"/>
      <c r="R28" s="16"/>
    </row>
    <row r="29" spans="1:18" ht="23" customHeight="1" x14ac:dyDescent="0.2">
      <c r="A29" s="16"/>
      <c r="B29" s="16"/>
      <c r="C29" s="14" t="s">
        <v>10</v>
      </c>
      <c r="D29" s="14" t="s">
        <v>45</v>
      </c>
      <c r="E29" s="15" t="s">
        <v>46</v>
      </c>
      <c r="F29" s="16"/>
      <c r="G29" s="16"/>
      <c r="H29" s="16"/>
      <c r="I29" s="16"/>
      <c r="J29" s="16"/>
      <c r="K29" s="16"/>
      <c r="L29" s="16"/>
      <c r="M29" s="16"/>
      <c r="N29" s="16"/>
      <c r="O29" s="16"/>
      <c r="P29" s="16"/>
      <c r="Q29" s="16"/>
      <c r="R29" s="16"/>
    </row>
    <row r="30" spans="1:18" ht="23" customHeight="1" x14ac:dyDescent="0.2">
      <c r="A30" s="16"/>
      <c r="B30" s="16"/>
      <c r="C30" s="19" t="s">
        <v>59</v>
      </c>
      <c r="D30" s="20" t="s">
        <v>61</v>
      </c>
      <c r="E30" s="17" t="s">
        <v>62</v>
      </c>
      <c r="F30" s="16"/>
      <c r="G30" s="16"/>
      <c r="H30" s="16"/>
      <c r="I30" s="16"/>
      <c r="J30" s="16"/>
      <c r="K30" s="16"/>
      <c r="L30" s="16"/>
      <c r="M30" s="16"/>
      <c r="N30" s="16"/>
      <c r="O30" s="16"/>
      <c r="P30" s="16"/>
      <c r="Q30" s="16"/>
      <c r="R30" s="16"/>
    </row>
    <row r="31" spans="1:18" ht="23" customHeight="1" x14ac:dyDescent="0.2">
      <c r="A31" s="16"/>
      <c r="B31" s="16"/>
      <c r="C31" s="19" t="s">
        <v>60</v>
      </c>
      <c r="D31" s="20">
        <v>0.8</v>
      </c>
      <c r="E31" s="17" t="s">
        <v>63</v>
      </c>
      <c r="F31" s="16"/>
      <c r="G31" s="16"/>
      <c r="H31" s="16"/>
      <c r="I31" s="16"/>
      <c r="J31" s="16"/>
      <c r="K31" s="16"/>
      <c r="L31" s="16"/>
      <c r="M31" s="16"/>
      <c r="N31" s="16"/>
      <c r="O31" s="16"/>
      <c r="P31" s="16"/>
      <c r="Q31" s="16"/>
      <c r="R31" s="16"/>
    </row>
    <row r="32" spans="1:18" ht="23" customHeight="1" x14ac:dyDescent="0.2">
      <c r="A32" s="16"/>
      <c r="B32" s="16"/>
      <c r="C32" s="17"/>
      <c r="D32" s="20"/>
      <c r="E32" s="16"/>
      <c r="F32" s="16"/>
      <c r="G32" s="16"/>
      <c r="H32" s="16"/>
      <c r="I32" s="16"/>
      <c r="J32" s="16"/>
      <c r="K32" s="16"/>
      <c r="L32" s="16"/>
      <c r="M32" s="16"/>
      <c r="N32" s="16"/>
      <c r="O32" s="16"/>
      <c r="P32" s="16"/>
      <c r="Q32" s="16"/>
      <c r="R32" s="16"/>
    </row>
    <row r="33" spans="1:18" ht="23" customHeight="1" x14ac:dyDescent="0.2">
      <c r="A33" s="16"/>
      <c r="B33" s="16"/>
      <c r="C33" s="14" t="s">
        <v>17</v>
      </c>
      <c r="D33" s="14" t="s">
        <v>45</v>
      </c>
      <c r="E33" s="15" t="s">
        <v>46</v>
      </c>
      <c r="F33" s="16"/>
      <c r="G33" s="16"/>
      <c r="H33" s="16"/>
      <c r="I33" s="16"/>
      <c r="J33" s="16"/>
      <c r="K33" s="16"/>
      <c r="L33" s="16"/>
      <c r="M33" s="16"/>
      <c r="N33" s="16"/>
      <c r="O33" s="16"/>
      <c r="P33" s="16"/>
      <c r="Q33" s="16"/>
      <c r="R33" s="16"/>
    </row>
    <row r="34" spans="1:18" ht="23" customHeight="1" x14ac:dyDescent="0.2">
      <c r="A34" s="16"/>
      <c r="B34" s="16"/>
      <c r="C34" s="19" t="s">
        <v>64</v>
      </c>
      <c r="D34" s="20">
        <v>0.05</v>
      </c>
      <c r="E34" s="17" t="s">
        <v>66</v>
      </c>
      <c r="F34" s="16"/>
      <c r="G34" s="16"/>
      <c r="H34" s="16"/>
      <c r="I34" s="16"/>
      <c r="J34" s="16"/>
      <c r="K34" s="16"/>
      <c r="L34" s="16"/>
      <c r="M34" s="16"/>
      <c r="N34" s="16"/>
      <c r="O34" s="16"/>
      <c r="P34" s="16"/>
      <c r="Q34" s="16"/>
      <c r="R34" s="16"/>
    </row>
    <row r="35" spans="1:18" ht="23" customHeight="1" x14ac:dyDescent="0.2">
      <c r="A35" s="16"/>
      <c r="B35" s="16"/>
      <c r="C35" s="19" t="s">
        <v>65</v>
      </c>
      <c r="D35" s="20">
        <v>0.3</v>
      </c>
      <c r="E35" s="17" t="s">
        <v>67</v>
      </c>
      <c r="F35" s="16"/>
      <c r="G35" s="16"/>
      <c r="H35" s="16"/>
      <c r="I35" s="16"/>
      <c r="J35" s="16"/>
      <c r="K35" s="16"/>
      <c r="L35" s="16"/>
      <c r="M35" s="16"/>
      <c r="N35" s="16"/>
      <c r="O35" s="16"/>
      <c r="P35" s="16"/>
      <c r="Q35" s="16"/>
      <c r="R35" s="16"/>
    </row>
    <row r="36" spans="1:18" ht="23" customHeight="1" x14ac:dyDescent="0.2">
      <c r="A36" s="16"/>
      <c r="B36" s="16"/>
      <c r="C36" s="17"/>
      <c r="D36" s="17"/>
      <c r="E36" s="16"/>
      <c r="F36" s="16"/>
      <c r="G36" s="16"/>
      <c r="H36" s="16"/>
      <c r="I36" s="16"/>
      <c r="J36" s="16"/>
      <c r="K36" s="16"/>
      <c r="L36" s="16"/>
      <c r="M36" s="16"/>
      <c r="N36" s="16"/>
      <c r="O36" s="16"/>
      <c r="P36" s="16"/>
      <c r="Q36" s="16"/>
      <c r="R36" s="16"/>
    </row>
    <row r="37" spans="1:18" ht="23" customHeight="1" x14ac:dyDescent="0.2">
      <c r="A37" s="16"/>
      <c r="B37" s="16"/>
      <c r="C37" s="18" t="s">
        <v>44</v>
      </c>
      <c r="D37" s="18"/>
      <c r="E37" s="16"/>
      <c r="F37" s="16"/>
      <c r="G37" s="16"/>
      <c r="H37" s="16"/>
      <c r="I37" s="16"/>
      <c r="J37" s="16"/>
      <c r="K37" s="16"/>
      <c r="L37" s="16"/>
      <c r="M37" s="16"/>
      <c r="N37" s="16"/>
      <c r="O37" s="16"/>
      <c r="P37" s="16"/>
      <c r="Q37" s="16"/>
      <c r="R37" s="16"/>
    </row>
    <row r="38" spans="1:18" ht="23" customHeight="1" x14ac:dyDescent="0.2">
      <c r="A38" s="16"/>
      <c r="B38" s="16"/>
      <c r="C38" s="17"/>
      <c r="D38" s="17"/>
      <c r="E38" s="16"/>
      <c r="F38" s="16"/>
      <c r="G38" s="16"/>
      <c r="H38" s="16"/>
      <c r="I38" s="16"/>
      <c r="J38" s="16"/>
      <c r="K38" s="16"/>
      <c r="L38" s="16"/>
      <c r="M38" s="16"/>
      <c r="N38" s="16"/>
      <c r="O38" s="16"/>
      <c r="P38" s="16"/>
      <c r="Q38" s="16"/>
      <c r="R38" s="16"/>
    </row>
    <row r="39" spans="1:18" ht="23" customHeight="1" x14ac:dyDescent="0.2">
      <c r="A39" s="16"/>
      <c r="B39" s="16"/>
      <c r="C39" s="14" t="s">
        <v>6</v>
      </c>
      <c r="D39" s="14" t="s">
        <v>45</v>
      </c>
      <c r="E39" s="16"/>
      <c r="F39" s="16"/>
      <c r="G39" s="16"/>
      <c r="H39" s="16"/>
      <c r="I39" s="16"/>
      <c r="J39" s="16"/>
      <c r="K39" s="16"/>
      <c r="L39" s="16"/>
      <c r="M39" s="16"/>
      <c r="N39" s="16"/>
      <c r="O39" s="16"/>
      <c r="P39" s="16"/>
      <c r="Q39" s="16"/>
      <c r="R39" s="16"/>
    </row>
    <row r="40" spans="1:18" ht="23" customHeight="1" x14ac:dyDescent="0.2">
      <c r="A40" s="16"/>
      <c r="B40" s="16"/>
      <c r="C40" s="19" t="s">
        <v>68</v>
      </c>
      <c r="D40" s="20">
        <v>0.25</v>
      </c>
      <c r="E40" s="17" t="s">
        <v>71</v>
      </c>
      <c r="F40" s="16"/>
      <c r="G40" s="16"/>
      <c r="H40" s="16"/>
      <c r="I40" s="16"/>
      <c r="J40" s="16"/>
      <c r="K40" s="16"/>
      <c r="L40" s="16"/>
      <c r="M40" s="16"/>
      <c r="N40" s="16"/>
      <c r="O40" s="16"/>
      <c r="P40" s="16"/>
      <c r="Q40" s="16"/>
      <c r="R40" s="16"/>
    </row>
    <row r="41" spans="1:18" ht="23" customHeight="1" x14ac:dyDescent="0.2">
      <c r="A41" s="16"/>
      <c r="B41" s="16"/>
      <c r="C41" s="19" t="s">
        <v>69</v>
      </c>
      <c r="D41" s="20">
        <v>0.97499999999999998</v>
      </c>
      <c r="E41" s="17" t="s">
        <v>72</v>
      </c>
      <c r="F41" s="16"/>
      <c r="G41" s="16"/>
      <c r="H41" s="16"/>
      <c r="I41" s="16"/>
      <c r="J41" s="16"/>
      <c r="K41" s="16"/>
      <c r="L41" s="16"/>
      <c r="M41" s="16"/>
      <c r="N41" s="16"/>
      <c r="O41" s="16"/>
      <c r="P41" s="16"/>
      <c r="Q41" s="16"/>
      <c r="R41" s="16"/>
    </row>
    <row r="42" spans="1:18" ht="23" customHeight="1" x14ac:dyDescent="0.2">
      <c r="A42" s="16"/>
      <c r="B42" s="16"/>
      <c r="C42" s="19" t="s">
        <v>70</v>
      </c>
      <c r="D42" s="20">
        <v>0.8</v>
      </c>
      <c r="E42" s="17" t="s">
        <v>73</v>
      </c>
      <c r="F42" s="16"/>
      <c r="G42" s="16"/>
      <c r="H42" s="16"/>
      <c r="I42" s="16"/>
      <c r="J42" s="16"/>
      <c r="K42" s="16"/>
      <c r="L42" s="16"/>
      <c r="M42" s="16"/>
      <c r="N42" s="16"/>
      <c r="O42" s="16"/>
      <c r="P42" s="16"/>
      <c r="Q42" s="16"/>
      <c r="R42" s="16"/>
    </row>
    <row r="43" spans="1:18" ht="23" customHeight="1" x14ac:dyDescent="0.2">
      <c r="A43" s="16"/>
      <c r="B43" s="16"/>
      <c r="C43" s="17"/>
      <c r="D43" s="17"/>
      <c r="E43" s="16"/>
      <c r="F43" s="16"/>
      <c r="G43" s="16"/>
      <c r="H43" s="16"/>
      <c r="I43" s="16"/>
      <c r="J43" s="16"/>
      <c r="K43" s="16"/>
      <c r="L43" s="16"/>
      <c r="M43" s="16"/>
      <c r="N43" s="16"/>
      <c r="O43" s="16"/>
      <c r="P43" s="16"/>
      <c r="Q43" s="16"/>
      <c r="R43" s="16"/>
    </row>
    <row r="44" spans="1:18" ht="23" customHeight="1" x14ac:dyDescent="0.2">
      <c r="A44" s="16"/>
      <c r="B44" s="16"/>
      <c r="C44" s="14" t="s">
        <v>11</v>
      </c>
      <c r="D44" s="14" t="s">
        <v>45</v>
      </c>
      <c r="E44" s="16"/>
      <c r="F44" s="16"/>
      <c r="G44" s="16"/>
      <c r="H44" s="16"/>
      <c r="I44" s="16"/>
      <c r="J44" s="16"/>
      <c r="K44" s="16"/>
      <c r="L44" s="16"/>
      <c r="M44" s="16"/>
      <c r="N44" s="16"/>
      <c r="O44" s="16"/>
      <c r="P44" s="16"/>
      <c r="Q44" s="16"/>
      <c r="R44" s="16"/>
    </row>
    <row r="45" spans="1:18" ht="23" customHeight="1" x14ac:dyDescent="0.2">
      <c r="A45" s="16"/>
      <c r="B45" s="16"/>
      <c r="C45" s="19" t="s">
        <v>68</v>
      </c>
      <c r="D45" s="20">
        <v>0.4</v>
      </c>
      <c r="E45" s="17" t="s">
        <v>74</v>
      </c>
      <c r="F45" s="16"/>
      <c r="G45" s="16"/>
      <c r="H45" s="16"/>
      <c r="I45" s="16"/>
      <c r="J45" s="16"/>
      <c r="K45" s="16"/>
      <c r="L45" s="16"/>
      <c r="M45" s="16"/>
      <c r="N45" s="16"/>
      <c r="O45" s="16"/>
      <c r="P45" s="16"/>
      <c r="Q45" s="16"/>
      <c r="R45" s="16"/>
    </row>
    <row r="46" spans="1:18" ht="23" customHeight="1" x14ac:dyDescent="0.2">
      <c r="A46" s="16"/>
      <c r="B46" s="16"/>
      <c r="C46" s="19" t="s">
        <v>69</v>
      </c>
      <c r="D46" s="20">
        <v>0.95</v>
      </c>
      <c r="E46" s="17" t="s">
        <v>75</v>
      </c>
      <c r="F46" s="16"/>
      <c r="G46" s="16"/>
      <c r="H46" s="16"/>
      <c r="I46" s="16"/>
      <c r="J46" s="16"/>
      <c r="K46" s="16"/>
      <c r="L46" s="16"/>
      <c r="M46" s="16"/>
      <c r="N46" s="16"/>
      <c r="O46" s="16"/>
      <c r="P46" s="16"/>
      <c r="Q46" s="16"/>
      <c r="R46" s="16"/>
    </row>
    <row r="47" spans="1:18" ht="23" customHeight="1" x14ac:dyDescent="0.2">
      <c r="A47" s="16"/>
      <c r="B47" s="16"/>
      <c r="C47" s="19" t="s">
        <v>70</v>
      </c>
      <c r="D47" s="20">
        <v>0.6</v>
      </c>
      <c r="E47" s="17" t="s">
        <v>76</v>
      </c>
      <c r="F47" s="16"/>
      <c r="G47" s="16"/>
      <c r="H47" s="16"/>
      <c r="I47" s="16"/>
      <c r="J47" s="16"/>
      <c r="K47" s="16"/>
      <c r="L47" s="16"/>
      <c r="M47" s="16"/>
      <c r="N47" s="16"/>
      <c r="O47" s="16"/>
      <c r="P47" s="16"/>
      <c r="Q47" s="16"/>
      <c r="R47" s="16"/>
    </row>
    <row r="48" spans="1:18" ht="23" customHeight="1" x14ac:dyDescent="0.2">
      <c r="A48" s="16"/>
      <c r="B48" s="16"/>
      <c r="C48" s="16"/>
      <c r="D48" s="16"/>
      <c r="E48" s="16"/>
      <c r="F48" s="16"/>
      <c r="G48" s="16"/>
      <c r="H48" s="16"/>
      <c r="I48" s="16"/>
      <c r="J48" s="16"/>
      <c r="K48" s="16"/>
      <c r="L48" s="16"/>
      <c r="M48" s="16"/>
      <c r="N48" s="16"/>
      <c r="O48" s="16"/>
      <c r="P48" s="16"/>
      <c r="Q48" s="16"/>
      <c r="R48" s="16"/>
    </row>
    <row r="49" spans="1:18" ht="27" customHeight="1" x14ac:dyDescent="0.2">
      <c r="A49" s="16"/>
      <c r="B49" s="24" t="s">
        <v>104</v>
      </c>
      <c r="C49" s="24"/>
      <c r="D49" s="24"/>
      <c r="E49" s="24"/>
      <c r="F49" s="24"/>
      <c r="G49" s="24"/>
      <c r="H49" s="24"/>
      <c r="I49" s="24"/>
      <c r="J49" s="24"/>
      <c r="K49" s="24"/>
      <c r="L49" s="24"/>
      <c r="M49" s="24"/>
      <c r="N49" s="24"/>
      <c r="O49" s="24"/>
      <c r="P49" s="16"/>
      <c r="Q49" s="16"/>
      <c r="R49" s="16"/>
    </row>
    <row r="50" spans="1:18" ht="23" customHeight="1" x14ac:dyDescent="0.2">
      <c r="A50" s="16"/>
      <c r="B50" s="16"/>
      <c r="C50" s="16"/>
      <c r="D50" s="16"/>
      <c r="E50" s="16"/>
      <c r="F50" s="16"/>
      <c r="G50" s="16"/>
      <c r="H50" s="16"/>
      <c r="I50" s="16"/>
      <c r="J50" s="16"/>
      <c r="K50" s="16"/>
      <c r="L50" s="16"/>
      <c r="M50" s="16"/>
      <c r="N50" s="16"/>
      <c r="O50" s="16"/>
      <c r="P50" s="16"/>
      <c r="Q50" s="16"/>
      <c r="R50" s="16"/>
    </row>
    <row r="51" spans="1:18" ht="27" customHeight="1" x14ac:dyDescent="0.2">
      <c r="A51" s="16"/>
      <c r="B51" s="24" t="s">
        <v>123</v>
      </c>
      <c r="C51" s="24"/>
      <c r="D51" s="24"/>
      <c r="E51" s="24"/>
      <c r="F51" s="24"/>
      <c r="G51" s="24"/>
      <c r="H51" s="24"/>
      <c r="I51" s="24"/>
      <c r="J51" s="24"/>
      <c r="K51" s="24"/>
      <c r="L51" s="24"/>
      <c r="M51" s="24"/>
      <c r="N51" s="24"/>
      <c r="O51" s="24"/>
      <c r="P51" s="16"/>
      <c r="Q51" s="16"/>
      <c r="R51" s="16"/>
    </row>
    <row r="52" spans="1:18" ht="23" customHeight="1" x14ac:dyDescent="0.2">
      <c r="A52" s="16"/>
      <c r="B52" s="16"/>
      <c r="C52" s="16"/>
      <c r="D52" s="16"/>
      <c r="E52" s="16"/>
      <c r="F52" s="16"/>
      <c r="G52" s="16"/>
      <c r="H52" s="16"/>
      <c r="I52" s="16"/>
      <c r="J52" s="16"/>
      <c r="K52" s="16"/>
      <c r="L52" s="16"/>
      <c r="M52" s="16"/>
      <c r="N52" s="16"/>
      <c r="O52" s="16"/>
      <c r="P52" s="16"/>
      <c r="Q52" s="16"/>
      <c r="R52" s="16"/>
    </row>
    <row r="53" spans="1:18" ht="23" customHeight="1" x14ac:dyDescent="0.2">
      <c r="C53" s="14" t="s">
        <v>124</v>
      </c>
    </row>
    <row r="54" spans="1:18" ht="23" customHeight="1" x14ac:dyDescent="0.2">
      <c r="C54" s="1" t="s">
        <v>125</v>
      </c>
    </row>
    <row r="55" spans="1:18" ht="23" customHeight="1" x14ac:dyDescent="0.2">
      <c r="C55" s="1" t="s">
        <v>126</v>
      </c>
    </row>
    <row r="56" spans="1:18" ht="23" customHeight="1" x14ac:dyDescent="0.2">
      <c r="C56" s="1" t="s">
        <v>127</v>
      </c>
    </row>
    <row r="57" spans="1:18" ht="23" customHeight="1" x14ac:dyDescent="0.2">
      <c r="C57" s="1" t="s">
        <v>128</v>
      </c>
    </row>
    <row r="59" spans="1:18" ht="23" customHeight="1" x14ac:dyDescent="0.2">
      <c r="C59" s="25" t="s">
        <v>129</v>
      </c>
    </row>
    <row r="60" spans="1:18" ht="23" customHeight="1" x14ac:dyDescent="0.2">
      <c r="A60" s="16"/>
      <c r="B60" s="16"/>
      <c r="C60" s="16"/>
      <c r="D60" s="16"/>
      <c r="E60" s="16"/>
      <c r="F60" s="16"/>
      <c r="G60" s="16"/>
      <c r="H60" s="16"/>
      <c r="I60" s="16"/>
      <c r="J60" s="16"/>
      <c r="K60" s="16"/>
      <c r="L60" s="16"/>
      <c r="M60" s="16"/>
      <c r="N60" s="16"/>
      <c r="O60" s="16"/>
      <c r="P60" s="16"/>
      <c r="Q60" s="16"/>
      <c r="R60" s="16"/>
    </row>
    <row r="61" spans="1:18" ht="23" customHeight="1" x14ac:dyDescent="0.2">
      <c r="A61" s="16"/>
      <c r="B61" s="16"/>
      <c r="C61" s="16"/>
      <c r="D61" s="16"/>
      <c r="E61" s="16"/>
      <c r="F61" s="16"/>
      <c r="G61" s="16"/>
      <c r="H61" s="16"/>
      <c r="I61" s="16"/>
      <c r="J61" s="16"/>
      <c r="K61" s="16"/>
      <c r="L61" s="16"/>
      <c r="M61" s="16"/>
      <c r="N61" s="16"/>
      <c r="O61" s="16"/>
      <c r="P61" s="16"/>
      <c r="Q61" s="16"/>
      <c r="R61"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E9E52-3664-524A-876D-099CF82F6C22}">
  <dimension ref="B1:H33"/>
  <sheetViews>
    <sheetView showGridLines="0" zoomScale="98" zoomScaleNormal="98" workbookViewId="0">
      <selection activeCell="F6" sqref="F6"/>
    </sheetView>
  </sheetViews>
  <sheetFormatPr baseColWidth="10" defaultRowHeight="16" x14ac:dyDescent="0.2"/>
  <cols>
    <col min="1" max="1" width="10.83203125" style="1"/>
    <col min="2" max="2" width="49" style="1" customWidth="1"/>
    <col min="3" max="3" width="12.6640625" style="2" customWidth="1"/>
    <col min="4" max="4" width="18.83203125" style="1" customWidth="1"/>
    <col min="5" max="5" width="14.33203125" style="1" customWidth="1"/>
    <col min="6" max="6" width="54.332031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86</v>
      </c>
    </row>
    <row r="3" spans="2:8" ht="24" customHeight="1" x14ac:dyDescent="0.2">
      <c r="B3" s="4"/>
    </row>
    <row r="4" spans="2:8" ht="24" customHeight="1" x14ac:dyDescent="0.2">
      <c r="B4" s="30" t="s">
        <v>12</v>
      </c>
      <c r="C4" s="30"/>
      <c r="D4" s="30"/>
      <c r="F4" s="30" t="s">
        <v>38</v>
      </c>
      <c r="G4" s="30"/>
      <c r="H4" s="30"/>
    </row>
    <row r="5" spans="2:8" ht="24" customHeight="1" x14ac:dyDescent="0.2"/>
    <row r="6" spans="2:8" ht="24" customHeight="1" x14ac:dyDescent="0.2">
      <c r="B6" s="5" t="s">
        <v>5</v>
      </c>
      <c r="C6" s="6"/>
      <c r="D6" s="6"/>
      <c r="E6" s="2"/>
      <c r="F6" s="1" t="s">
        <v>130</v>
      </c>
      <c r="G6" s="7">
        <f>(C22*C23*((C21*C16)+((1-C21)*C17)))/(C28*C29*((C27*C16)+((1-C27)*C17)))</f>
        <v>1.3684210526315792</v>
      </c>
      <c r="H6" s="2"/>
    </row>
    <row r="7" spans="2:8" ht="24" customHeight="1" x14ac:dyDescent="0.2">
      <c r="B7" s="1" t="s">
        <v>0</v>
      </c>
      <c r="C7" s="8">
        <v>0.95</v>
      </c>
      <c r="F7" s="1" t="s">
        <v>13</v>
      </c>
      <c r="G7" s="7">
        <f>C8/(C8+((1/G6)*(1-C8)))</f>
        <v>2.7168234064785794E-2</v>
      </c>
    </row>
    <row r="8" spans="2:8" ht="24" customHeight="1" x14ac:dyDescent="0.2">
      <c r="B8" s="1" t="s">
        <v>26</v>
      </c>
      <c r="C8" s="8">
        <v>0.02</v>
      </c>
      <c r="F8" s="1" t="s">
        <v>14</v>
      </c>
      <c r="G8" s="8">
        <f>ROUNDUP((LOG(1-C7))/(LOG(1-G7)),0)</f>
        <v>109</v>
      </c>
    </row>
    <row r="9" spans="2:8" ht="24" customHeight="1" x14ac:dyDescent="0.2"/>
    <row r="10" spans="2:8" ht="24" customHeight="1" x14ac:dyDescent="0.2">
      <c r="B10" s="5" t="s">
        <v>10</v>
      </c>
      <c r="C10" s="6"/>
      <c r="D10" s="6"/>
      <c r="E10" s="2"/>
      <c r="F10" s="9" t="s">
        <v>15</v>
      </c>
      <c r="G10" s="10">
        <f>ROUNDUP(G8/C12,0)</f>
        <v>137</v>
      </c>
      <c r="H10" s="2"/>
    </row>
    <row r="11" spans="2:8" ht="24" customHeight="1" x14ac:dyDescent="0.2">
      <c r="B11" s="1" t="s">
        <v>7</v>
      </c>
      <c r="C11" s="8">
        <v>30</v>
      </c>
      <c r="F11" s="11" t="s">
        <v>16</v>
      </c>
    </row>
    <row r="12" spans="2:8" ht="24" customHeight="1" x14ac:dyDescent="0.2">
      <c r="B12" s="1" t="s">
        <v>8</v>
      </c>
      <c r="C12" s="8">
        <v>0.8</v>
      </c>
      <c r="F12" s="1" t="s">
        <v>113</v>
      </c>
    </row>
    <row r="13" spans="2:8" ht="24" customHeight="1" x14ac:dyDescent="0.2"/>
    <row r="14" spans="2:8" ht="24" customHeight="1" x14ac:dyDescent="0.2">
      <c r="B14" s="5" t="s">
        <v>17</v>
      </c>
      <c r="C14" s="6"/>
      <c r="D14" s="6"/>
    </row>
    <row r="15" spans="2:8" ht="24" customHeight="1" x14ac:dyDescent="0.2">
      <c r="B15" s="12" t="s">
        <v>39</v>
      </c>
      <c r="D15" s="2"/>
    </row>
    <row r="16" spans="2:8" ht="24" customHeight="1" x14ac:dyDescent="0.2">
      <c r="B16" s="1" t="s">
        <v>2</v>
      </c>
      <c r="C16" s="8">
        <v>1</v>
      </c>
    </row>
    <row r="17" spans="2:8" ht="24" customHeight="1" x14ac:dyDescent="0.2">
      <c r="B17" s="1" t="s">
        <v>3</v>
      </c>
      <c r="C17" s="8">
        <v>1</v>
      </c>
    </row>
    <row r="18" spans="2:8" ht="24" customHeight="1" x14ac:dyDescent="0.2"/>
    <row r="19" spans="2:8" ht="24" customHeight="1" x14ac:dyDescent="0.2">
      <c r="B19" s="5" t="s">
        <v>6</v>
      </c>
      <c r="C19" s="6"/>
      <c r="D19" s="6"/>
      <c r="E19" s="2"/>
      <c r="H19" s="2"/>
    </row>
    <row r="20" spans="2:8" ht="24" customHeight="1" x14ac:dyDescent="0.2">
      <c r="B20" s="12" t="s">
        <v>40</v>
      </c>
    </row>
    <row r="21" spans="2:8" ht="24" customHeight="1" x14ac:dyDescent="0.2">
      <c r="B21" s="1" t="s">
        <v>1</v>
      </c>
      <c r="C21" s="8">
        <v>1</v>
      </c>
    </row>
    <row r="22" spans="2:8" ht="24" customHeight="1" x14ac:dyDescent="0.2">
      <c r="B22" s="1" t="s">
        <v>4</v>
      </c>
      <c r="C22" s="8">
        <v>0.97499999999999998</v>
      </c>
    </row>
    <row r="23" spans="2:8" ht="24" customHeight="1" x14ac:dyDescent="0.2">
      <c r="B23" s="1" t="s">
        <v>9</v>
      </c>
      <c r="C23" s="8">
        <v>0.8</v>
      </c>
    </row>
    <row r="24" spans="2:8" ht="24" customHeight="1" x14ac:dyDescent="0.2"/>
    <row r="25" spans="2:8" ht="24" customHeight="1" x14ac:dyDescent="0.2">
      <c r="B25" s="5" t="s">
        <v>11</v>
      </c>
      <c r="C25" s="6"/>
      <c r="D25" s="6"/>
      <c r="E25" s="2"/>
      <c r="H25" s="2"/>
    </row>
    <row r="26" spans="2:8" ht="24" customHeight="1" x14ac:dyDescent="0.2">
      <c r="B26" s="12" t="s">
        <v>40</v>
      </c>
    </row>
    <row r="27" spans="2:8" ht="24" customHeight="1" x14ac:dyDescent="0.2">
      <c r="B27" s="1" t="s">
        <v>1</v>
      </c>
      <c r="C27" s="8">
        <v>1</v>
      </c>
    </row>
    <row r="28" spans="2:8" ht="24" customHeight="1" x14ac:dyDescent="0.2">
      <c r="B28" s="1" t="s">
        <v>4</v>
      </c>
      <c r="C28" s="8">
        <v>0.95</v>
      </c>
    </row>
    <row r="29" spans="2:8" ht="24" customHeight="1" x14ac:dyDescent="0.2">
      <c r="B29" s="1" t="s">
        <v>9</v>
      </c>
      <c r="C29" s="8">
        <v>0.6</v>
      </c>
    </row>
    <row r="33" spans="2:2" x14ac:dyDescent="0.2">
      <c r="B33" s="25" t="s">
        <v>105</v>
      </c>
    </row>
  </sheetData>
  <mergeCells count="2">
    <mergeCell ref="B4:D4"/>
    <mergeCell ref="F4: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8B099-A1EA-6C40-A97A-AB1CD6D0085C}">
  <dimension ref="B1:H33"/>
  <sheetViews>
    <sheetView showGridLines="0" zoomScale="98" zoomScaleNormal="98" workbookViewId="0">
      <selection activeCell="G10" sqref="G10"/>
    </sheetView>
  </sheetViews>
  <sheetFormatPr baseColWidth="10" defaultRowHeight="16" x14ac:dyDescent="0.2"/>
  <cols>
    <col min="1" max="1" width="10.83203125" style="1"/>
    <col min="2" max="2" width="49" style="1" customWidth="1"/>
    <col min="3" max="3" width="12.6640625" style="2" customWidth="1"/>
    <col min="4" max="4" width="18.83203125" style="1" customWidth="1"/>
    <col min="5" max="5" width="14.33203125" style="1" customWidth="1"/>
    <col min="6" max="6" width="72.66406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87</v>
      </c>
    </row>
    <row r="3" spans="2:8" ht="24" customHeight="1" x14ac:dyDescent="0.2">
      <c r="B3" s="4"/>
    </row>
    <row r="4" spans="2:8" ht="24" customHeight="1" x14ac:dyDescent="0.2">
      <c r="B4" s="30" t="s">
        <v>12</v>
      </c>
      <c r="C4" s="30"/>
      <c r="D4" s="30"/>
      <c r="F4" s="30" t="s">
        <v>38</v>
      </c>
      <c r="G4" s="30"/>
      <c r="H4" s="30"/>
    </row>
    <row r="5" spans="2:8" ht="24" customHeight="1" x14ac:dyDescent="0.2"/>
    <row r="6" spans="2:8" ht="24" customHeight="1" x14ac:dyDescent="0.2">
      <c r="B6" s="5" t="s">
        <v>5</v>
      </c>
      <c r="C6" s="6"/>
      <c r="D6" s="6"/>
      <c r="E6" s="2"/>
      <c r="F6" s="1" t="s">
        <v>130</v>
      </c>
      <c r="G6" s="7">
        <f>(C22*C23*((C21*C16)+((1-C21)*C17)))/(C28*C29*((C27*C16)+((1-C27)*C17)))</f>
        <v>1.3684210526315792</v>
      </c>
      <c r="H6" s="2"/>
    </row>
    <row r="7" spans="2:8" ht="24" customHeight="1" x14ac:dyDescent="0.2">
      <c r="B7" s="1" t="s">
        <v>88</v>
      </c>
      <c r="C7" s="8">
        <v>100</v>
      </c>
      <c r="F7" s="1" t="s">
        <v>13</v>
      </c>
      <c r="G7" s="7">
        <f>C8/(C8+((1/G6)*(1-C8)))</f>
        <v>2.7168234064785794E-2</v>
      </c>
    </row>
    <row r="8" spans="2:8" ht="24" customHeight="1" x14ac:dyDescent="0.2">
      <c r="B8" s="1" t="s">
        <v>26</v>
      </c>
      <c r="C8" s="8">
        <v>0.02</v>
      </c>
      <c r="F8" s="1" t="s">
        <v>89</v>
      </c>
      <c r="G8" s="8">
        <f>ROUNDUP(C7*C12,0)</f>
        <v>80</v>
      </c>
    </row>
    <row r="9" spans="2:8" ht="24" customHeight="1" x14ac:dyDescent="0.2"/>
    <row r="10" spans="2:8" ht="24" customHeight="1" x14ac:dyDescent="0.2">
      <c r="B10" s="5" t="s">
        <v>10</v>
      </c>
      <c r="C10" s="6"/>
      <c r="D10" s="6"/>
      <c r="E10" s="2"/>
      <c r="F10" s="9" t="s">
        <v>90</v>
      </c>
      <c r="G10" s="28">
        <f>1-(1-G7)^G8</f>
        <v>0.88958719163513256</v>
      </c>
      <c r="H10" s="2"/>
    </row>
    <row r="11" spans="2:8" ht="24" customHeight="1" x14ac:dyDescent="0.2">
      <c r="B11" s="1" t="s">
        <v>7</v>
      </c>
      <c r="C11" s="8">
        <v>30</v>
      </c>
      <c r="F11" s="11" t="s">
        <v>107</v>
      </c>
    </row>
    <row r="12" spans="2:8" ht="24" customHeight="1" x14ac:dyDescent="0.2">
      <c r="B12" s="1" t="s">
        <v>8</v>
      </c>
      <c r="C12" s="8">
        <v>0.8</v>
      </c>
      <c r="F12" s="1" t="s">
        <v>114</v>
      </c>
    </row>
    <row r="13" spans="2:8" ht="24" customHeight="1" x14ac:dyDescent="0.2"/>
    <row r="14" spans="2:8" ht="24" customHeight="1" x14ac:dyDescent="0.2">
      <c r="B14" s="5" t="s">
        <v>17</v>
      </c>
      <c r="C14" s="6"/>
      <c r="D14" s="6"/>
    </row>
    <row r="15" spans="2:8" ht="24" customHeight="1" x14ac:dyDescent="0.2">
      <c r="B15" s="12" t="s">
        <v>39</v>
      </c>
      <c r="D15" s="2"/>
    </row>
    <row r="16" spans="2:8" ht="24" customHeight="1" x14ac:dyDescent="0.2">
      <c r="B16" s="1" t="s">
        <v>2</v>
      </c>
      <c r="C16" s="8">
        <v>1</v>
      </c>
    </row>
    <row r="17" spans="2:8" ht="24" customHeight="1" x14ac:dyDescent="0.2">
      <c r="B17" s="1" t="s">
        <v>3</v>
      </c>
      <c r="C17" s="8">
        <v>1</v>
      </c>
    </row>
    <row r="18" spans="2:8" ht="24" customHeight="1" x14ac:dyDescent="0.2"/>
    <row r="19" spans="2:8" ht="24" customHeight="1" x14ac:dyDescent="0.2">
      <c r="B19" s="5" t="s">
        <v>6</v>
      </c>
      <c r="C19" s="6"/>
      <c r="D19" s="6"/>
      <c r="E19" s="2"/>
      <c r="H19" s="2"/>
    </row>
    <row r="20" spans="2:8" ht="24" customHeight="1" x14ac:dyDescent="0.2">
      <c r="B20" s="12" t="s">
        <v>40</v>
      </c>
    </row>
    <row r="21" spans="2:8" ht="24" customHeight="1" x14ac:dyDescent="0.2">
      <c r="B21" s="1" t="s">
        <v>1</v>
      </c>
      <c r="C21" s="8">
        <v>1</v>
      </c>
    </row>
    <row r="22" spans="2:8" ht="24" customHeight="1" x14ac:dyDescent="0.2">
      <c r="B22" s="1" t="s">
        <v>4</v>
      </c>
      <c r="C22" s="8">
        <v>0.97499999999999998</v>
      </c>
    </row>
    <row r="23" spans="2:8" ht="24" customHeight="1" x14ac:dyDescent="0.2">
      <c r="B23" s="1" t="s">
        <v>9</v>
      </c>
      <c r="C23" s="8">
        <v>0.8</v>
      </c>
    </row>
    <row r="24" spans="2:8" ht="24" customHeight="1" x14ac:dyDescent="0.2"/>
    <row r="25" spans="2:8" ht="24" customHeight="1" x14ac:dyDescent="0.2">
      <c r="B25" s="5" t="s">
        <v>11</v>
      </c>
      <c r="C25" s="6"/>
      <c r="D25" s="6"/>
      <c r="E25" s="2"/>
      <c r="H25" s="2"/>
    </row>
    <row r="26" spans="2:8" ht="24" customHeight="1" x14ac:dyDescent="0.2">
      <c r="B26" s="12" t="s">
        <v>40</v>
      </c>
    </row>
    <row r="27" spans="2:8" ht="24" customHeight="1" x14ac:dyDescent="0.2">
      <c r="B27" s="1" t="s">
        <v>1</v>
      </c>
      <c r="C27" s="8">
        <v>1</v>
      </c>
    </row>
    <row r="28" spans="2:8" ht="24" customHeight="1" x14ac:dyDescent="0.2">
      <c r="B28" s="1" t="s">
        <v>4</v>
      </c>
      <c r="C28" s="8">
        <v>0.95</v>
      </c>
    </row>
    <row r="29" spans="2:8" ht="24" customHeight="1" x14ac:dyDescent="0.2">
      <c r="B29" s="1" t="s">
        <v>9</v>
      </c>
      <c r="C29" s="8">
        <v>0.6</v>
      </c>
    </row>
    <row r="33" spans="2:2" x14ac:dyDescent="0.2">
      <c r="B33" s="25" t="s">
        <v>105</v>
      </c>
    </row>
  </sheetData>
  <mergeCells count="2">
    <mergeCell ref="B4:D4"/>
    <mergeCell ref="F4:H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55D9-7C1B-D042-B731-7236AA1E11FA}">
  <dimension ref="B1:H34"/>
  <sheetViews>
    <sheetView showGridLines="0" topLeftCell="A3" workbookViewId="0">
      <selection activeCell="G11" sqref="G11"/>
    </sheetView>
  </sheetViews>
  <sheetFormatPr baseColWidth="10" defaultRowHeight="16" x14ac:dyDescent="0.2"/>
  <cols>
    <col min="1" max="1" width="10.83203125" style="1"/>
    <col min="2" max="2" width="48.33203125" style="1" customWidth="1"/>
    <col min="3" max="3" width="12.6640625" style="2" customWidth="1"/>
    <col min="4" max="4" width="18.83203125" style="1" customWidth="1"/>
    <col min="5" max="5" width="13.5" style="1" customWidth="1"/>
    <col min="6" max="6" width="5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117</v>
      </c>
    </row>
    <row r="3" spans="2:8" ht="24" customHeight="1" x14ac:dyDescent="0.2">
      <c r="B3" s="4"/>
    </row>
    <row r="4" spans="2:8" ht="24" customHeight="1" x14ac:dyDescent="0.2">
      <c r="B4" s="30" t="s">
        <v>12</v>
      </c>
      <c r="C4" s="30"/>
      <c r="D4" s="30"/>
      <c r="F4" s="30" t="s">
        <v>38</v>
      </c>
      <c r="G4" s="30"/>
      <c r="H4" s="30"/>
    </row>
    <row r="5" spans="2:8" ht="24" customHeight="1" x14ac:dyDescent="0.2"/>
    <row r="6" spans="2:8" ht="24" customHeight="1" x14ac:dyDescent="0.2">
      <c r="B6" s="5" t="s">
        <v>5</v>
      </c>
      <c r="C6" s="6"/>
      <c r="D6" s="6"/>
      <c r="E6" s="2"/>
      <c r="F6" s="1" t="s">
        <v>20</v>
      </c>
      <c r="G6" s="13">
        <f>_xlfn.NORM.S.INV(((1-C7)/2)+C7)</f>
        <v>1.9599639845400536</v>
      </c>
      <c r="H6" s="2"/>
    </row>
    <row r="7" spans="2:8" ht="24" customHeight="1" x14ac:dyDescent="0.2">
      <c r="B7" s="1" t="s">
        <v>19</v>
      </c>
      <c r="C7" s="8">
        <v>0.95</v>
      </c>
      <c r="F7" s="1" t="s">
        <v>130</v>
      </c>
      <c r="G7" s="7">
        <f>(C23*C24*((C22*C17)+((1-C22)*C18)))/(C29*C30*((C28*C17)+((1-C28)*C18)))</f>
        <v>1.1874999999999998</v>
      </c>
    </row>
    <row r="8" spans="2:8" ht="24" customHeight="1" x14ac:dyDescent="0.2">
      <c r="B8" s="1" t="s">
        <v>26</v>
      </c>
      <c r="C8" s="8">
        <v>0.1</v>
      </c>
      <c r="F8" s="1" t="s">
        <v>13</v>
      </c>
      <c r="G8" s="7">
        <f>C8/(C8+((1/G7)*(1-C8)))</f>
        <v>0.1165644171779141</v>
      </c>
    </row>
    <row r="9" spans="2:8" ht="24" customHeight="1" x14ac:dyDescent="0.2">
      <c r="B9" s="1" t="s">
        <v>18</v>
      </c>
      <c r="C9" s="8">
        <v>0.25</v>
      </c>
      <c r="F9" s="1" t="s">
        <v>21</v>
      </c>
      <c r="G9" s="8">
        <f>ROUNDUP(((G6^2)*G8*(1-G8))/((G8*C9)^2),0)</f>
        <v>466</v>
      </c>
    </row>
    <row r="10" spans="2:8" ht="24" customHeight="1" x14ac:dyDescent="0.2"/>
    <row r="11" spans="2:8" ht="24" customHeight="1" x14ac:dyDescent="0.2">
      <c r="B11" s="5" t="s">
        <v>10</v>
      </c>
      <c r="C11" s="6"/>
      <c r="D11" s="6"/>
      <c r="E11" s="2"/>
      <c r="F11" s="9" t="s">
        <v>15</v>
      </c>
      <c r="G11" s="10">
        <f>ROUNDUP(G9/C13,0)</f>
        <v>583</v>
      </c>
      <c r="H11" s="2"/>
    </row>
    <row r="12" spans="2:8" ht="24" customHeight="1" x14ac:dyDescent="0.2">
      <c r="B12" s="1" t="s">
        <v>7</v>
      </c>
      <c r="C12" s="8">
        <v>30</v>
      </c>
      <c r="F12" s="11" t="s">
        <v>34</v>
      </c>
    </row>
    <row r="13" spans="2:8" ht="24" customHeight="1" x14ac:dyDescent="0.2">
      <c r="B13" s="1" t="s">
        <v>8</v>
      </c>
      <c r="C13" s="8">
        <v>0.8</v>
      </c>
      <c r="F13" s="1" t="s">
        <v>113</v>
      </c>
    </row>
    <row r="14" spans="2:8" ht="24" customHeight="1" x14ac:dyDescent="0.2"/>
    <row r="15" spans="2:8" ht="24" customHeight="1" x14ac:dyDescent="0.2">
      <c r="B15" s="5" t="s">
        <v>17</v>
      </c>
      <c r="C15" s="6"/>
      <c r="D15" s="6"/>
    </row>
    <row r="16" spans="2:8" ht="24" customHeight="1" x14ac:dyDescent="0.2">
      <c r="B16" s="12" t="s">
        <v>42</v>
      </c>
      <c r="D16" s="2"/>
    </row>
    <row r="17" spans="2:8" ht="24" customHeight="1" x14ac:dyDescent="0.2">
      <c r="B17" s="1" t="s">
        <v>2</v>
      </c>
      <c r="C17" s="8">
        <v>0.05</v>
      </c>
    </row>
    <row r="18" spans="2:8" ht="24" customHeight="1" x14ac:dyDescent="0.2">
      <c r="B18" s="1" t="s">
        <v>3</v>
      </c>
      <c r="C18" s="8">
        <v>0.3</v>
      </c>
    </row>
    <row r="19" spans="2:8" ht="24" customHeight="1" x14ac:dyDescent="0.2"/>
    <row r="20" spans="2:8" ht="24" customHeight="1" x14ac:dyDescent="0.2">
      <c r="B20" s="5" t="s">
        <v>6</v>
      </c>
      <c r="C20" s="6"/>
      <c r="D20" s="6"/>
      <c r="E20" s="2"/>
      <c r="H20" s="2"/>
    </row>
    <row r="21" spans="2:8" ht="24" customHeight="1" x14ac:dyDescent="0.2">
      <c r="B21" s="12" t="s">
        <v>40</v>
      </c>
    </row>
    <row r="22" spans="2:8" ht="24" customHeight="1" x14ac:dyDescent="0.2">
      <c r="B22" s="1" t="s">
        <v>1</v>
      </c>
      <c r="C22" s="8">
        <v>0.25</v>
      </c>
    </row>
    <row r="23" spans="2:8" ht="24" customHeight="1" x14ac:dyDescent="0.2">
      <c r="B23" s="1" t="s">
        <v>4</v>
      </c>
      <c r="C23" s="8">
        <v>1</v>
      </c>
    </row>
    <row r="24" spans="2:8" ht="24" customHeight="1" x14ac:dyDescent="0.2">
      <c r="B24" s="1" t="s">
        <v>9</v>
      </c>
      <c r="C24" s="8">
        <v>1</v>
      </c>
    </row>
    <row r="25" spans="2:8" ht="24" customHeight="1" x14ac:dyDescent="0.2"/>
    <row r="26" spans="2:8" ht="24" customHeight="1" x14ac:dyDescent="0.2">
      <c r="B26" s="5" t="s">
        <v>11</v>
      </c>
      <c r="C26" s="6"/>
      <c r="D26" s="6"/>
      <c r="E26" s="2"/>
      <c r="H26" s="2"/>
    </row>
    <row r="27" spans="2:8" ht="24" customHeight="1" x14ac:dyDescent="0.2">
      <c r="B27" s="12" t="s">
        <v>40</v>
      </c>
    </row>
    <row r="28" spans="2:8" ht="24" customHeight="1" x14ac:dyDescent="0.2">
      <c r="B28" s="1" t="s">
        <v>1</v>
      </c>
      <c r="C28" s="8">
        <v>0.4</v>
      </c>
    </row>
    <row r="29" spans="2:8" ht="24" customHeight="1" x14ac:dyDescent="0.2">
      <c r="B29" s="1" t="s">
        <v>4</v>
      </c>
      <c r="C29" s="8">
        <v>1</v>
      </c>
    </row>
    <row r="30" spans="2:8" ht="24" customHeight="1" x14ac:dyDescent="0.2">
      <c r="B30" s="1" t="s">
        <v>9</v>
      </c>
      <c r="C30" s="8">
        <v>1</v>
      </c>
    </row>
    <row r="34" spans="2:8" s="2" customFormat="1" x14ac:dyDescent="0.2">
      <c r="B34" s="25" t="s">
        <v>105</v>
      </c>
      <c r="D34" s="1"/>
      <c r="E34" s="1"/>
      <c r="F34" s="1"/>
      <c r="G34" s="1"/>
      <c r="H34" s="1"/>
    </row>
  </sheetData>
  <mergeCells count="2">
    <mergeCell ref="B4:D4"/>
    <mergeCell ref="F4:H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84C4-3956-154F-83B2-84D86ED38F7E}">
  <dimension ref="B1:H34"/>
  <sheetViews>
    <sheetView showGridLines="0" topLeftCell="A3" workbookViewId="0">
      <selection activeCell="G7" sqref="G7"/>
    </sheetView>
  </sheetViews>
  <sheetFormatPr baseColWidth="10" defaultRowHeight="16" x14ac:dyDescent="0.2"/>
  <cols>
    <col min="1" max="1" width="10.83203125" style="1"/>
    <col min="2" max="2" width="48.33203125" style="1" customWidth="1"/>
    <col min="3" max="3" width="12.6640625" style="2" customWidth="1"/>
    <col min="4" max="4" width="18.83203125" style="1" customWidth="1"/>
    <col min="5" max="5" width="13.5" style="1" customWidth="1"/>
    <col min="6" max="6" width="83.66406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118</v>
      </c>
    </row>
    <row r="3" spans="2:8" ht="24" customHeight="1" x14ac:dyDescent="0.2">
      <c r="B3" s="4"/>
    </row>
    <row r="4" spans="2:8" ht="24" customHeight="1" x14ac:dyDescent="0.2">
      <c r="B4" s="30" t="s">
        <v>12</v>
      </c>
      <c r="C4" s="30"/>
      <c r="D4" s="30"/>
      <c r="F4" s="30" t="s">
        <v>38</v>
      </c>
      <c r="G4" s="30"/>
      <c r="H4" s="30"/>
    </row>
    <row r="5" spans="2:8" ht="24" customHeight="1" x14ac:dyDescent="0.2"/>
    <row r="6" spans="2:8" ht="24" customHeight="1" x14ac:dyDescent="0.2">
      <c r="B6" s="5" t="s">
        <v>5</v>
      </c>
      <c r="C6" s="6"/>
      <c r="D6" s="6"/>
      <c r="E6" s="2"/>
      <c r="F6" s="1" t="s">
        <v>130</v>
      </c>
      <c r="G6" s="7">
        <f>(C23*C24*((C22*C17)+((1-C22)*C18)))/(C29*C30*((C28*C17)+((1-C28)*C18)))</f>
        <v>1.1874999999999998</v>
      </c>
      <c r="H6" s="2"/>
    </row>
    <row r="7" spans="2:8" ht="24" customHeight="1" x14ac:dyDescent="0.2">
      <c r="B7" s="1" t="s">
        <v>88</v>
      </c>
      <c r="C7" s="8">
        <v>200</v>
      </c>
      <c r="F7" s="1" t="s">
        <v>13</v>
      </c>
      <c r="G7" s="7">
        <f>C8/(C8+((1/G6)*(1-C8)))</f>
        <v>0.1165644171779141</v>
      </c>
    </row>
    <row r="8" spans="2:8" ht="24" customHeight="1" x14ac:dyDescent="0.2">
      <c r="B8" s="1" t="s">
        <v>26</v>
      </c>
      <c r="C8" s="8">
        <v>0.1</v>
      </c>
      <c r="F8" s="1" t="s">
        <v>89</v>
      </c>
      <c r="G8" s="8">
        <f>C7*C13</f>
        <v>160</v>
      </c>
    </row>
    <row r="9" spans="2:8" ht="24" customHeight="1" x14ac:dyDescent="0.2">
      <c r="B9" s="1" t="s">
        <v>18</v>
      </c>
      <c r="C9" s="8">
        <v>0.25</v>
      </c>
      <c r="F9" s="1" t="s">
        <v>108</v>
      </c>
      <c r="G9" s="8">
        <f>ROUND(SQRT((G8*((G7*C9)^2))/(G7*(1-G7))),2)</f>
        <v>1.1499999999999999</v>
      </c>
    </row>
    <row r="10" spans="2:8" ht="24" customHeight="1" x14ac:dyDescent="0.2"/>
    <row r="11" spans="2:8" ht="24" customHeight="1" x14ac:dyDescent="0.2">
      <c r="B11" s="5" t="s">
        <v>10</v>
      </c>
      <c r="C11" s="6"/>
      <c r="D11" s="6"/>
      <c r="E11" s="2"/>
      <c r="F11" s="9" t="s">
        <v>106</v>
      </c>
      <c r="G11" s="28">
        <f>1-(2*(1-_xlfn.NORM.S.DIST(G9,TRUE)))</f>
        <v>0.74985612872569951</v>
      </c>
      <c r="H11" s="2"/>
    </row>
    <row r="12" spans="2:8" ht="24" customHeight="1" x14ac:dyDescent="0.2">
      <c r="B12" s="1" t="s">
        <v>7</v>
      </c>
      <c r="C12" s="8">
        <v>30</v>
      </c>
      <c r="F12" s="11" t="s">
        <v>107</v>
      </c>
    </row>
    <row r="13" spans="2:8" ht="24" customHeight="1" x14ac:dyDescent="0.2">
      <c r="B13" s="1" t="s">
        <v>8</v>
      </c>
      <c r="C13" s="8">
        <v>0.8</v>
      </c>
      <c r="F13" s="1" t="s">
        <v>114</v>
      </c>
    </row>
    <row r="14" spans="2:8" ht="24" customHeight="1" x14ac:dyDescent="0.2"/>
    <row r="15" spans="2:8" ht="24" customHeight="1" x14ac:dyDescent="0.2">
      <c r="B15" s="5" t="s">
        <v>17</v>
      </c>
      <c r="C15" s="6"/>
      <c r="D15" s="6"/>
    </row>
    <row r="16" spans="2:8" ht="24" customHeight="1" x14ac:dyDescent="0.2">
      <c r="B16" s="12" t="s">
        <v>42</v>
      </c>
      <c r="D16" s="2"/>
    </row>
    <row r="17" spans="2:8" ht="24" customHeight="1" x14ac:dyDescent="0.2">
      <c r="B17" s="1" t="s">
        <v>2</v>
      </c>
      <c r="C17" s="8">
        <v>0.05</v>
      </c>
    </row>
    <row r="18" spans="2:8" ht="24" customHeight="1" x14ac:dyDescent="0.2">
      <c r="B18" s="1" t="s">
        <v>3</v>
      </c>
      <c r="C18" s="8">
        <v>0.3</v>
      </c>
    </row>
    <row r="19" spans="2:8" ht="24" customHeight="1" x14ac:dyDescent="0.2"/>
    <row r="20" spans="2:8" ht="24" customHeight="1" x14ac:dyDescent="0.2">
      <c r="B20" s="5" t="s">
        <v>6</v>
      </c>
      <c r="C20" s="6"/>
      <c r="D20" s="6"/>
      <c r="E20" s="2"/>
      <c r="H20" s="2"/>
    </row>
    <row r="21" spans="2:8" ht="24" customHeight="1" x14ac:dyDescent="0.2">
      <c r="B21" s="12" t="s">
        <v>40</v>
      </c>
    </row>
    <row r="22" spans="2:8" ht="24" customHeight="1" x14ac:dyDescent="0.2">
      <c r="B22" s="1" t="s">
        <v>1</v>
      </c>
      <c r="C22" s="8">
        <v>0.25</v>
      </c>
    </row>
    <row r="23" spans="2:8" ht="24" customHeight="1" x14ac:dyDescent="0.2">
      <c r="B23" s="1" t="s">
        <v>4</v>
      </c>
      <c r="C23" s="8">
        <v>1</v>
      </c>
    </row>
    <row r="24" spans="2:8" ht="24" customHeight="1" x14ac:dyDescent="0.2">
      <c r="B24" s="1" t="s">
        <v>9</v>
      </c>
      <c r="C24" s="8">
        <v>1</v>
      </c>
    </row>
    <row r="25" spans="2:8" ht="24" customHeight="1" x14ac:dyDescent="0.2"/>
    <row r="26" spans="2:8" ht="24" customHeight="1" x14ac:dyDescent="0.2">
      <c r="B26" s="5" t="s">
        <v>11</v>
      </c>
      <c r="C26" s="6"/>
      <c r="D26" s="6"/>
      <c r="E26" s="2"/>
      <c r="H26" s="2"/>
    </row>
    <row r="27" spans="2:8" ht="24" customHeight="1" x14ac:dyDescent="0.2">
      <c r="B27" s="12" t="s">
        <v>40</v>
      </c>
    </row>
    <row r="28" spans="2:8" ht="24" customHeight="1" x14ac:dyDescent="0.2">
      <c r="B28" s="1" t="s">
        <v>1</v>
      </c>
      <c r="C28" s="8">
        <v>0.4</v>
      </c>
    </row>
    <row r="29" spans="2:8" ht="24" customHeight="1" x14ac:dyDescent="0.2">
      <c r="B29" s="1" t="s">
        <v>4</v>
      </c>
      <c r="C29" s="8">
        <v>1</v>
      </c>
    </row>
    <row r="30" spans="2:8" ht="24" customHeight="1" x14ac:dyDescent="0.2">
      <c r="B30" s="1" t="s">
        <v>9</v>
      </c>
      <c r="C30" s="8">
        <v>1</v>
      </c>
    </row>
    <row r="34" spans="2:8" s="2" customFormat="1" x14ac:dyDescent="0.2">
      <c r="B34" s="25" t="s">
        <v>105</v>
      </c>
      <c r="D34" s="1"/>
      <c r="E34" s="1"/>
      <c r="F34" s="1"/>
      <c r="G34" s="1"/>
      <c r="H34" s="1"/>
    </row>
  </sheetData>
  <mergeCells count="2">
    <mergeCell ref="B4:D4"/>
    <mergeCell ref="F4:H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8EFDD-813E-BD4C-9CAA-EE77C2EA4E46}">
  <dimension ref="B1:H40"/>
  <sheetViews>
    <sheetView showGridLines="0" tabSelected="1" workbookViewId="0">
      <selection activeCell="G6" sqref="G6"/>
    </sheetView>
  </sheetViews>
  <sheetFormatPr baseColWidth="10" defaultRowHeight="16" x14ac:dyDescent="0.2"/>
  <cols>
    <col min="1" max="1" width="10.83203125" style="1"/>
    <col min="2" max="2" width="49" style="1" customWidth="1"/>
    <col min="3" max="3" width="12.6640625" style="2" customWidth="1"/>
    <col min="4" max="4" width="18.83203125" style="1" customWidth="1"/>
    <col min="5" max="5" width="14.1640625" style="1" customWidth="1"/>
    <col min="6" max="6" width="63.832031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115</v>
      </c>
    </row>
    <row r="3" spans="2:8" ht="24" customHeight="1" x14ac:dyDescent="0.2">
      <c r="B3" s="4"/>
    </row>
    <row r="4" spans="2:8" ht="24" customHeight="1" x14ac:dyDescent="0.2">
      <c r="B4" s="30" t="s">
        <v>12</v>
      </c>
      <c r="C4" s="30"/>
      <c r="D4" s="30"/>
      <c r="F4" s="30" t="s">
        <v>38</v>
      </c>
      <c r="G4" s="30"/>
      <c r="H4" s="30"/>
    </row>
    <row r="5" spans="2:8" ht="24" customHeight="1" x14ac:dyDescent="0.2"/>
    <row r="6" spans="2:8" ht="24" customHeight="1" x14ac:dyDescent="0.2">
      <c r="B6" s="5" t="s">
        <v>5</v>
      </c>
      <c r="C6" s="6"/>
      <c r="D6" s="6"/>
      <c r="E6" s="2"/>
      <c r="F6" s="1" t="s">
        <v>130</v>
      </c>
      <c r="G6" s="7">
        <f>(C29*C30*((C28*C23)+((1-C28)*C24)))/(C35*C36*((C34*C23)+((1-C34)*C24)))</f>
        <v>1.3684210526315792</v>
      </c>
      <c r="H6" s="2"/>
    </row>
    <row r="7" spans="2:8" ht="24" customHeight="1" x14ac:dyDescent="0.2">
      <c r="B7" s="12" t="s">
        <v>82</v>
      </c>
    </row>
    <row r="8" spans="2:8" ht="24" customHeight="1" x14ac:dyDescent="0.2">
      <c r="B8" s="1" t="s">
        <v>0</v>
      </c>
      <c r="C8" s="8">
        <v>0.95</v>
      </c>
      <c r="F8" s="1" t="s">
        <v>28</v>
      </c>
      <c r="G8" s="8">
        <f>C13/C14</f>
        <v>1E-4</v>
      </c>
    </row>
    <row r="9" spans="2:8" ht="24" customHeight="1" x14ac:dyDescent="0.2">
      <c r="B9" s="1" t="s">
        <v>26</v>
      </c>
      <c r="C9" s="8">
        <v>0.01</v>
      </c>
      <c r="F9" s="1" t="s">
        <v>30</v>
      </c>
      <c r="G9" s="7">
        <f>(1/G8)-1</f>
        <v>9999</v>
      </c>
    </row>
    <row r="10" spans="2:8" ht="24" customHeight="1" x14ac:dyDescent="0.2">
      <c r="B10" s="1" t="s">
        <v>79</v>
      </c>
      <c r="C10" s="8" t="s">
        <v>80</v>
      </c>
      <c r="F10" s="1" t="s">
        <v>29</v>
      </c>
      <c r="G10" s="7">
        <f>(1/G6)*((1/G8)-1)</f>
        <v>7306.9615384615372</v>
      </c>
    </row>
    <row r="11" spans="2:8" ht="24" customHeight="1" x14ac:dyDescent="0.2">
      <c r="F11" s="1" t="s">
        <v>27</v>
      </c>
      <c r="G11" s="8">
        <f>IF(C9&lt;&gt;"NA",ROUNDUP(-(1/C15)*LN((1/G9)*((1/C9)-1)),0),"NA")</f>
        <v>47</v>
      </c>
    </row>
    <row r="12" spans="2:8" ht="24" customHeight="1" x14ac:dyDescent="0.2">
      <c r="B12" s="5" t="s">
        <v>22</v>
      </c>
      <c r="C12" s="6"/>
      <c r="D12" s="6"/>
      <c r="F12" s="1" t="s">
        <v>81</v>
      </c>
      <c r="G12" s="8">
        <f>IF(C10&lt;&gt;"NA",ROUND(1/(1+(G10*EXP(-C15*C10))),3),ROUND(C9/(C9+((1/G6)*(1-C9))),3))</f>
        <v>1.4E-2</v>
      </c>
    </row>
    <row r="13" spans="2:8" ht="24" customHeight="1" x14ac:dyDescent="0.2">
      <c r="B13" s="1" t="s">
        <v>23</v>
      </c>
      <c r="C13" s="8">
        <v>1</v>
      </c>
    </row>
    <row r="14" spans="2:8" ht="24" customHeight="1" x14ac:dyDescent="0.2">
      <c r="B14" s="1" t="s">
        <v>121</v>
      </c>
      <c r="C14" s="8">
        <v>10000</v>
      </c>
      <c r="F14" s="1" t="s">
        <v>31</v>
      </c>
      <c r="G14" s="7">
        <f>IF(C9&lt;&gt;"NA",(1/C15)*LN(G10+EXP(C15*G11)),(1/C15)*LN(G10+EXP(C15*C10)))</f>
        <v>89.115176335731292</v>
      </c>
    </row>
    <row r="15" spans="2:8" ht="24" customHeight="1" x14ac:dyDescent="0.2">
      <c r="B15" s="1" t="s">
        <v>25</v>
      </c>
      <c r="C15" s="8">
        <v>0.1</v>
      </c>
      <c r="F15" s="1" t="s">
        <v>32</v>
      </c>
      <c r="G15" s="7">
        <f>(1/C15)*LN(G10+EXP(C15*0))</f>
        <v>88.967196545477506</v>
      </c>
    </row>
    <row r="16" spans="2:8" ht="24" customHeight="1" x14ac:dyDescent="0.2">
      <c r="F16" s="1" t="s">
        <v>33</v>
      </c>
      <c r="G16" s="7">
        <f>G14-G15</f>
        <v>0.14797979025378538</v>
      </c>
    </row>
    <row r="17" spans="2:8" ht="24" customHeight="1" x14ac:dyDescent="0.2">
      <c r="B17" s="5" t="s">
        <v>10</v>
      </c>
      <c r="C17" s="6"/>
      <c r="D17" s="6"/>
      <c r="E17" s="2"/>
    </row>
    <row r="18" spans="2:8" ht="24" customHeight="1" x14ac:dyDescent="0.2">
      <c r="B18" s="1" t="s">
        <v>7</v>
      </c>
      <c r="C18" s="8">
        <v>30</v>
      </c>
      <c r="F18" s="1" t="s">
        <v>36</v>
      </c>
      <c r="G18" s="29">
        <f>(-LN(1-C8)/G16)</f>
        <v>20.244198673456072</v>
      </c>
    </row>
    <row r="19" spans="2:8" ht="24" customHeight="1" x14ac:dyDescent="0.2">
      <c r="B19" s="1" t="s">
        <v>8</v>
      </c>
      <c r="C19" s="8">
        <v>0.8</v>
      </c>
      <c r="F19" s="9" t="s">
        <v>35</v>
      </c>
      <c r="G19" s="10">
        <f>ROUNDUP(G18/C19,0)</f>
        <v>26</v>
      </c>
    </row>
    <row r="20" spans="2:8" ht="24" customHeight="1" x14ac:dyDescent="0.2">
      <c r="F20" s="11" t="s">
        <v>85</v>
      </c>
      <c r="H20" s="2"/>
    </row>
    <row r="21" spans="2:8" ht="24" customHeight="1" x14ac:dyDescent="0.2">
      <c r="B21" s="5" t="s">
        <v>17</v>
      </c>
      <c r="C21" s="6"/>
      <c r="D21" s="6"/>
      <c r="F21" s="1" t="s">
        <v>113</v>
      </c>
    </row>
    <row r="22" spans="2:8" ht="24" customHeight="1" x14ac:dyDescent="0.2">
      <c r="B22" s="12" t="s">
        <v>43</v>
      </c>
      <c r="D22" s="2"/>
    </row>
    <row r="23" spans="2:8" ht="24" customHeight="1" x14ac:dyDescent="0.2">
      <c r="B23" s="1" t="s">
        <v>2</v>
      </c>
      <c r="C23" s="8">
        <v>1</v>
      </c>
    </row>
    <row r="24" spans="2:8" ht="24" customHeight="1" x14ac:dyDescent="0.2">
      <c r="B24" s="1" t="s">
        <v>3</v>
      </c>
      <c r="C24" s="8">
        <v>1</v>
      </c>
      <c r="H24" s="2"/>
    </row>
    <row r="25" spans="2:8" ht="24" customHeight="1" x14ac:dyDescent="0.2"/>
    <row r="26" spans="2:8" ht="24" customHeight="1" x14ac:dyDescent="0.2">
      <c r="B26" s="5" t="s">
        <v>6</v>
      </c>
      <c r="C26" s="6"/>
      <c r="D26" s="6"/>
      <c r="E26" s="2"/>
    </row>
    <row r="27" spans="2:8" ht="24" customHeight="1" x14ac:dyDescent="0.2">
      <c r="B27" s="12" t="s">
        <v>40</v>
      </c>
    </row>
    <row r="28" spans="2:8" ht="24" customHeight="1" x14ac:dyDescent="0.2">
      <c r="B28" s="1" t="s">
        <v>1</v>
      </c>
      <c r="C28" s="8">
        <v>1</v>
      </c>
    </row>
    <row r="29" spans="2:8" ht="24" customHeight="1" x14ac:dyDescent="0.2">
      <c r="B29" s="1" t="s">
        <v>4</v>
      </c>
      <c r="C29" s="8">
        <v>0.97499999999999998</v>
      </c>
    </row>
    <row r="30" spans="2:8" ht="24" customHeight="1" x14ac:dyDescent="0.2">
      <c r="B30" s="1" t="s">
        <v>9</v>
      </c>
      <c r="C30" s="8">
        <v>0.8</v>
      </c>
      <c r="H30" s="2"/>
    </row>
    <row r="31" spans="2:8" ht="24" customHeight="1" x14ac:dyDescent="0.2"/>
    <row r="32" spans="2:8" ht="24" customHeight="1" x14ac:dyDescent="0.2">
      <c r="B32" s="5" t="s">
        <v>11</v>
      </c>
      <c r="C32" s="6"/>
      <c r="D32" s="6"/>
      <c r="E32" s="2"/>
    </row>
    <row r="33" spans="2:8" ht="24" customHeight="1" x14ac:dyDescent="0.2">
      <c r="B33" s="12" t="s">
        <v>40</v>
      </c>
    </row>
    <row r="34" spans="2:8" ht="24" customHeight="1" x14ac:dyDescent="0.2">
      <c r="B34" s="1" t="s">
        <v>1</v>
      </c>
      <c r="C34" s="8">
        <v>1</v>
      </c>
    </row>
    <row r="35" spans="2:8" ht="24" customHeight="1" x14ac:dyDescent="0.2">
      <c r="B35" s="1" t="s">
        <v>4</v>
      </c>
      <c r="C35" s="8">
        <v>0.95</v>
      </c>
    </row>
    <row r="36" spans="2:8" ht="24" customHeight="1" x14ac:dyDescent="0.2">
      <c r="B36" s="1" t="s">
        <v>9</v>
      </c>
      <c r="C36" s="8">
        <v>0.6</v>
      </c>
    </row>
    <row r="38" spans="2:8" s="2" customFormat="1" x14ac:dyDescent="0.2">
      <c r="B38" s="1"/>
      <c r="D38" s="1"/>
      <c r="E38" s="1"/>
      <c r="F38" s="1"/>
      <c r="G38" s="1"/>
      <c r="H38" s="1"/>
    </row>
    <row r="40" spans="2:8" x14ac:dyDescent="0.2">
      <c r="B40" s="25" t="s">
        <v>105</v>
      </c>
    </row>
  </sheetData>
  <mergeCells count="2">
    <mergeCell ref="B4:D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16BB-866B-484F-BE41-3A710858129B}">
  <dimension ref="B1:H40"/>
  <sheetViews>
    <sheetView showGridLines="0" workbookViewId="0">
      <selection activeCell="B38" sqref="B38"/>
    </sheetView>
  </sheetViews>
  <sheetFormatPr baseColWidth="10" defaultRowHeight="16" x14ac:dyDescent="0.2"/>
  <cols>
    <col min="1" max="1" width="10.83203125" style="1"/>
    <col min="2" max="2" width="49" style="1" customWidth="1"/>
    <col min="3" max="3" width="12.6640625" style="2" customWidth="1"/>
    <col min="4" max="4" width="18.83203125" style="1" customWidth="1"/>
    <col min="5" max="5" width="14.1640625" style="1" customWidth="1"/>
    <col min="6" max="6" width="71.6640625" style="1" customWidth="1"/>
    <col min="7" max="7" width="12.6640625" style="1" customWidth="1"/>
    <col min="8" max="8" width="17.6640625" style="1" customWidth="1"/>
    <col min="9" max="16384" width="10.83203125" style="1"/>
  </cols>
  <sheetData>
    <row r="1" spans="2:8" ht="24" customHeight="1" x14ac:dyDescent="0.2"/>
    <row r="2" spans="2:8" ht="24" customHeight="1" x14ac:dyDescent="0.2">
      <c r="B2" s="3" t="s">
        <v>116</v>
      </c>
    </row>
    <row r="3" spans="2:8" ht="24" customHeight="1" x14ac:dyDescent="0.2">
      <c r="B3" s="4"/>
    </row>
    <row r="4" spans="2:8" ht="24" customHeight="1" x14ac:dyDescent="0.2">
      <c r="B4" s="30" t="s">
        <v>12</v>
      </c>
      <c r="C4" s="30"/>
      <c r="D4" s="30"/>
      <c r="F4" s="30" t="s">
        <v>38</v>
      </c>
      <c r="G4" s="30"/>
      <c r="H4" s="30"/>
    </row>
    <row r="5" spans="2:8" ht="24" customHeight="1" x14ac:dyDescent="0.2"/>
    <row r="6" spans="2:8" ht="24" customHeight="1" x14ac:dyDescent="0.2">
      <c r="B6" s="5" t="s">
        <v>5</v>
      </c>
      <c r="C6" s="6"/>
      <c r="D6" s="6"/>
      <c r="E6" s="2"/>
      <c r="F6" s="1" t="s">
        <v>130</v>
      </c>
      <c r="G6" s="7">
        <f>(C29*C30*((C28*C23)+((1-C28)*C24)))/(C35*C36*((C34*C23)+((1-C34)*C24)))</f>
        <v>1.3684210526315792</v>
      </c>
      <c r="H6" s="2"/>
    </row>
    <row r="7" spans="2:8" ht="24" customHeight="1" x14ac:dyDescent="0.2">
      <c r="B7" s="12" t="s">
        <v>82</v>
      </c>
    </row>
    <row r="8" spans="2:8" ht="24" customHeight="1" x14ac:dyDescent="0.2">
      <c r="B8" s="1" t="s">
        <v>111</v>
      </c>
      <c r="C8" s="8">
        <v>20</v>
      </c>
      <c r="F8" s="1" t="s">
        <v>28</v>
      </c>
      <c r="G8" s="8">
        <f>C13/C14</f>
        <v>2.9999999999999997E-4</v>
      </c>
    </row>
    <row r="9" spans="2:8" ht="24" customHeight="1" x14ac:dyDescent="0.2">
      <c r="B9" s="1" t="s">
        <v>26</v>
      </c>
      <c r="C9" s="8">
        <v>0.01</v>
      </c>
      <c r="F9" s="1" t="s">
        <v>30</v>
      </c>
      <c r="G9" s="7">
        <f>(1/G8)-1</f>
        <v>3332.3333333333335</v>
      </c>
    </row>
    <row r="10" spans="2:8" ht="24" customHeight="1" x14ac:dyDescent="0.2">
      <c r="B10" s="1" t="s">
        <v>79</v>
      </c>
      <c r="C10" s="8" t="s">
        <v>80</v>
      </c>
      <c r="F10" s="1" t="s">
        <v>29</v>
      </c>
      <c r="G10" s="7">
        <f>(1/G6)*((1/G8)-1)</f>
        <v>2435.1666666666661</v>
      </c>
    </row>
    <row r="11" spans="2:8" ht="24" customHeight="1" x14ac:dyDescent="0.2">
      <c r="F11" s="1" t="s">
        <v>27</v>
      </c>
      <c r="G11" s="8">
        <f>IF(C9&lt;&gt;"NA",ROUNDUP(-(1/C15)*LN((1/G9)*((1/C9)-1)),0),"NA")</f>
        <v>36</v>
      </c>
    </row>
    <row r="12" spans="2:8" ht="24" customHeight="1" x14ac:dyDescent="0.2">
      <c r="B12" s="5" t="s">
        <v>22</v>
      </c>
      <c r="C12" s="6"/>
      <c r="D12" s="6"/>
      <c r="F12" s="1" t="s">
        <v>81</v>
      </c>
      <c r="G12" s="8">
        <f>IF(C10&lt;&gt;"NA",ROUND(1/(1+(G10*EXP(-C15*C10))),3),ROUND(C9/(C9+((1/G6)*(1-C9))),3))</f>
        <v>1.4E-2</v>
      </c>
    </row>
    <row r="13" spans="2:8" ht="24" customHeight="1" x14ac:dyDescent="0.2">
      <c r="B13" s="1" t="s">
        <v>23</v>
      </c>
      <c r="C13" s="8">
        <v>3</v>
      </c>
    </row>
    <row r="14" spans="2:8" ht="24" customHeight="1" x14ac:dyDescent="0.2">
      <c r="B14" s="1" t="s">
        <v>24</v>
      </c>
      <c r="C14" s="8">
        <v>10000</v>
      </c>
      <c r="F14" s="1" t="s">
        <v>31</v>
      </c>
      <c r="G14" s="7">
        <f>IF(C9&lt;&gt;"NA",(1/C15)*LN(G10+EXP(C15*G11)),(1/C15)*LN(G10+EXP(C15*C10)))</f>
        <v>78.126877093260148</v>
      </c>
    </row>
    <row r="15" spans="2:8" ht="24" customHeight="1" x14ac:dyDescent="0.2">
      <c r="B15" s="1" t="s">
        <v>25</v>
      </c>
      <c r="C15" s="8">
        <v>0.1</v>
      </c>
      <c r="F15" s="1" t="s">
        <v>32</v>
      </c>
      <c r="G15" s="7">
        <f>(1/C15)*LN(G10+EXP(C15*0))</f>
        <v>77.981810446612371</v>
      </c>
    </row>
    <row r="16" spans="2:8" ht="24" customHeight="1" x14ac:dyDescent="0.2">
      <c r="F16" s="1" t="s">
        <v>33</v>
      </c>
      <c r="G16" s="7">
        <f>G14-G15</f>
        <v>0.14506664664777702</v>
      </c>
    </row>
    <row r="17" spans="2:8" ht="24" customHeight="1" x14ac:dyDescent="0.2">
      <c r="B17" s="5" t="s">
        <v>10</v>
      </c>
      <c r="C17" s="6"/>
      <c r="D17" s="6"/>
      <c r="E17" s="2"/>
    </row>
    <row r="18" spans="2:8" ht="24" customHeight="1" x14ac:dyDescent="0.2">
      <c r="B18" s="1" t="s">
        <v>7</v>
      </c>
      <c r="C18" s="8">
        <v>30</v>
      </c>
      <c r="F18" s="1" t="s">
        <v>112</v>
      </c>
      <c r="G18" s="8">
        <f>ROUNDDOWN(C8*C19,0)</f>
        <v>16</v>
      </c>
    </row>
    <row r="19" spans="2:8" ht="24" customHeight="1" x14ac:dyDescent="0.2">
      <c r="B19" s="1" t="s">
        <v>8</v>
      </c>
      <c r="C19" s="8">
        <v>0.8</v>
      </c>
    </row>
    <row r="20" spans="2:8" ht="24" customHeight="1" x14ac:dyDescent="0.2">
      <c r="F20" s="9" t="s">
        <v>90</v>
      </c>
      <c r="G20" s="28">
        <f>1-EXP(-1*G18*G16)</f>
        <v>0.901831152223042</v>
      </c>
      <c r="H20" s="2"/>
    </row>
    <row r="21" spans="2:8" ht="24" customHeight="1" x14ac:dyDescent="0.2">
      <c r="B21" s="5" t="s">
        <v>17</v>
      </c>
      <c r="C21" s="6"/>
      <c r="D21" s="6"/>
      <c r="F21" s="11" t="s">
        <v>107</v>
      </c>
    </row>
    <row r="22" spans="2:8" ht="24" customHeight="1" x14ac:dyDescent="0.2">
      <c r="B22" s="12" t="s">
        <v>43</v>
      </c>
      <c r="D22" s="2"/>
      <c r="F22" s="1" t="s">
        <v>114</v>
      </c>
    </row>
    <row r="23" spans="2:8" ht="24" customHeight="1" x14ac:dyDescent="0.2">
      <c r="B23" s="1" t="s">
        <v>2</v>
      </c>
      <c r="C23" s="8">
        <v>1</v>
      </c>
    </row>
    <row r="24" spans="2:8" ht="24" customHeight="1" x14ac:dyDescent="0.2">
      <c r="B24" s="1" t="s">
        <v>3</v>
      </c>
      <c r="C24" s="8">
        <v>1</v>
      </c>
      <c r="H24" s="2"/>
    </row>
    <row r="25" spans="2:8" ht="24" customHeight="1" x14ac:dyDescent="0.2"/>
    <row r="26" spans="2:8" ht="24" customHeight="1" x14ac:dyDescent="0.2">
      <c r="B26" s="5" t="s">
        <v>6</v>
      </c>
      <c r="C26" s="6"/>
      <c r="D26" s="6"/>
      <c r="E26" s="2"/>
    </row>
    <row r="27" spans="2:8" ht="24" customHeight="1" x14ac:dyDescent="0.2">
      <c r="B27" s="12" t="s">
        <v>40</v>
      </c>
    </row>
    <row r="28" spans="2:8" ht="24" customHeight="1" x14ac:dyDescent="0.2">
      <c r="B28" s="1" t="s">
        <v>1</v>
      </c>
      <c r="C28" s="8">
        <v>1</v>
      </c>
    </row>
    <row r="29" spans="2:8" ht="24" customHeight="1" x14ac:dyDescent="0.2">
      <c r="B29" s="1" t="s">
        <v>4</v>
      </c>
      <c r="C29" s="8">
        <v>0.97499999999999998</v>
      </c>
    </row>
    <row r="30" spans="2:8" ht="24" customHeight="1" x14ac:dyDescent="0.2">
      <c r="B30" s="1" t="s">
        <v>9</v>
      </c>
      <c r="C30" s="8">
        <v>0.8</v>
      </c>
      <c r="H30" s="2"/>
    </row>
    <row r="31" spans="2:8" ht="24" customHeight="1" x14ac:dyDescent="0.2"/>
    <row r="32" spans="2:8" ht="24" customHeight="1" x14ac:dyDescent="0.2">
      <c r="B32" s="5" t="s">
        <v>11</v>
      </c>
      <c r="C32" s="6"/>
      <c r="D32" s="6"/>
      <c r="E32" s="2"/>
    </row>
    <row r="33" spans="2:8" ht="24" customHeight="1" x14ac:dyDescent="0.2">
      <c r="B33" s="12" t="s">
        <v>40</v>
      </c>
    </row>
    <row r="34" spans="2:8" ht="24" customHeight="1" x14ac:dyDescent="0.2">
      <c r="B34" s="1" t="s">
        <v>1</v>
      </c>
      <c r="C34" s="8">
        <v>1</v>
      </c>
    </row>
    <row r="35" spans="2:8" ht="24" customHeight="1" x14ac:dyDescent="0.2">
      <c r="B35" s="1" t="s">
        <v>4</v>
      </c>
      <c r="C35" s="8">
        <v>0.95</v>
      </c>
    </row>
    <row r="36" spans="2:8" ht="24" customHeight="1" x14ac:dyDescent="0.2">
      <c r="B36" s="1" t="s">
        <v>9</v>
      </c>
      <c r="C36" s="8">
        <v>0.6</v>
      </c>
    </row>
    <row r="38" spans="2:8" s="2" customFormat="1" x14ac:dyDescent="0.2">
      <c r="B38" s="1"/>
      <c r="D38" s="1"/>
      <c r="E38" s="1"/>
      <c r="F38" s="1"/>
      <c r="G38" s="1"/>
      <c r="H38" s="1"/>
    </row>
    <row r="40" spans="2:8" x14ac:dyDescent="0.2">
      <c r="B40" s="25" t="s">
        <v>105</v>
      </c>
    </row>
  </sheetData>
  <mergeCells count="2">
    <mergeCell ref="B4:D4"/>
    <mergeCell ref="F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Detection - Sample Size</vt:lpstr>
      <vt:lpstr>Detection - Confidence</vt:lpstr>
      <vt:lpstr>Prevalence - Sample Size</vt:lpstr>
      <vt:lpstr>Prevalence - Confidence</vt:lpstr>
      <vt:lpstr>Detect (Periodic) - Sample Size</vt:lpstr>
      <vt:lpstr>Detect (Periodic) - Confidence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Shirlee Wohl</dc:creator>
  <cp:lastModifiedBy>Microsoft Office User</cp:lastModifiedBy>
  <dcterms:created xsi:type="dcterms:W3CDTF">2021-11-18T23:44:55Z</dcterms:created>
  <dcterms:modified xsi:type="dcterms:W3CDTF">2023-01-19T01:27:24Z</dcterms:modified>
</cp:coreProperties>
</file>