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opelka\Google Диск\Study\Bio\"/>
    </mc:Choice>
  </mc:AlternateContent>
  <xr:revisionPtr revIDLastSave="0" documentId="13_ncr:1_{464B24BD-7F07-4FC2-A1F6-91C7B9CEF58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ОБщий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2" i="1" l="1"/>
  <c r="O42" i="1"/>
  <c r="N42" i="1"/>
  <c r="M42" i="1"/>
  <c r="L42" i="1"/>
  <c r="K42" i="1"/>
  <c r="J42" i="1"/>
  <c r="I42" i="1"/>
  <c r="H42" i="1"/>
  <c r="V41" i="1"/>
  <c r="S41" i="1"/>
  <c r="R41" i="1"/>
  <c r="Q41" i="1"/>
  <c r="P41" i="1"/>
  <c r="N41" i="1"/>
  <c r="L41" i="1"/>
  <c r="J41" i="1"/>
  <c r="P40" i="1"/>
  <c r="N40" i="1"/>
  <c r="L40" i="1"/>
  <c r="J40" i="1"/>
  <c r="V39" i="1"/>
  <c r="S39" i="1"/>
  <c r="R39" i="1"/>
  <c r="P39" i="1"/>
  <c r="N39" i="1"/>
  <c r="L39" i="1"/>
  <c r="J39" i="1"/>
  <c r="H39" i="1"/>
  <c r="V38" i="1"/>
  <c r="S38" i="1"/>
  <c r="R38" i="1"/>
  <c r="Q38" i="1"/>
  <c r="P38" i="1"/>
  <c r="N38" i="1"/>
  <c r="L38" i="1"/>
  <c r="J38" i="1"/>
  <c r="P37" i="1"/>
  <c r="N37" i="1"/>
  <c r="L37" i="1"/>
  <c r="J37" i="1"/>
  <c r="P36" i="1"/>
  <c r="N36" i="1"/>
  <c r="L36" i="1"/>
  <c r="J36" i="1"/>
  <c r="H36" i="1"/>
  <c r="V35" i="1"/>
  <c r="S35" i="1"/>
  <c r="R35" i="1"/>
  <c r="Q35" i="1"/>
  <c r="P35" i="1"/>
  <c r="N35" i="1"/>
  <c r="L35" i="1"/>
  <c r="J35" i="1"/>
  <c r="V34" i="1"/>
  <c r="S34" i="1"/>
  <c r="R34" i="1"/>
  <c r="Q34" i="1"/>
  <c r="P34" i="1"/>
  <c r="N34" i="1"/>
  <c r="L34" i="1"/>
  <c r="J34" i="1"/>
  <c r="H34" i="1"/>
  <c r="V33" i="1"/>
  <c r="S33" i="1"/>
  <c r="R33" i="1"/>
  <c r="Q33" i="1"/>
  <c r="P33" i="1"/>
  <c r="N33" i="1"/>
  <c r="L33" i="1"/>
  <c r="J33" i="1"/>
  <c r="H33" i="1"/>
  <c r="V32" i="1"/>
  <c r="S32" i="1"/>
  <c r="R32" i="1"/>
  <c r="P32" i="1"/>
  <c r="N32" i="1"/>
  <c r="L32" i="1"/>
  <c r="J32" i="1"/>
  <c r="H32" i="1"/>
  <c r="V31" i="1"/>
  <c r="S31" i="1"/>
  <c r="R31" i="1"/>
  <c r="P31" i="1"/>
  <c r="N31" i="1"/>
  <c r="L31" i="1"/>
  <c r="J31" i="1"/>
  <c r="H31" i="1"/>
  <c r="V30" i="1"/>
  <c r="P30" i="1"/>
  <c r="N30" i="1"/>
  <c r="L30" i="1"/>
  <c r="J30" i="1"/>
  <c r="H30" i="1"/>
  <c r="P29" i="1"/>
  <c r="N29" i="1"/>
  <c r="L29" i="1"/>
  <c r="J29" i="1"/>
  <c r="H29" i="1"/>
  <c r="P28" i="1"/>
  <c r="N28" i="1"/>
  <c r="L28" i="1"/>
  <c r="J28" i="1"/>
  <c r="H28" i="1"/>
  <c r="P27" i="1"/>
  <c r="N27" i="1"/>
  <c r="L27" i="1"/>
  <c r="J27" i="1"/>
  <c r="H27" i="1"/>
  <c r="P26" i="1"/>
  <c r="N26" i="1"/>
  <c r="L26" i="1"/>
  <c r="J26" i="1"/>
  <c r="H26" i="1"/>
  <c r="P25" i="1"/>
  <c r="N25" i="1"/>
  <c r="L25" i="1"/>
  <c r="J25" i="1"/>
  <c r="H25" i="1"/>
  <c r="P24" i="1"/>
  <c r="O24" i="1"/>
  <c r="N24" i="1"/>
  <c r="M24" i="1"/>
  <c r="L24" i="1"/>
  <c r="K24" i="1"/>
  <c r="J24" i="1"/>
  <c r="H24" i="1"/>
  <c r="P23" i="1"/>
  <c r="O23" i="1"/>
  <c r="N23" i="1"/>
  <c r="M23" i="1"/>
  <c r="L23" i="1"/>
  <c r="K23" i="1"/>
  <c r="J23" i="1"/>
  <c r="I23" i="1"/>
  <c r="H23" i="1"/>
  <c r="P22" i="1"/>
  <c r="O22" i="1"/>
  <c r="N22" i="1"/>
  <c r="L22" i="1"/>
  <c r="K22" i="1"/>
  <c r="J22" i="1"/>
  <c r="I22" i="1"/>
  <c r="H22" i="1"/>
  <c r="P21" i="1"/>
  <c r="N21" i="1"/>
  <c r="L21" i="1"/>
  <c r="J21" i="1"/>
  <c r="H21" i="1"/>
  <c r="P20" i="1"/>
  <c r="O20" i="1"/>
  <c r="N20" i="1"/>
  <c r="M20" i="1"/>
  <c r="L20" i="1"/>
  <c r="K20" i="1"/>
  <c r="J20" i="1"/>
  <c r="I20" i="1"/>
  <c r="P19" i="1"/>
  <c r="O19" i="1"/>
  <c r="N19" i="1"/>
  <c r="M19" i="1"/>
  <c r="L19" i="1"/>
  <c r="K19" i="1"/>
  <c r="J19" i="1"/>
  <c r="I19" i="1"/>
  <c r="P18" i="1"/>
  <c r="O18" i="1"/>
  <c r="N18" i="1"/>
  <c r="M18" i="1"/>
  <c r="L18" i="1"/>
  <c r="K18" i="1"/>
  <c r="J18" i="1"/>
  <c r="I18" i="1"/>
  <c r="H18" i="1"/>
  <c r="G18" i="1"/>
  <c r="P17" i="1"/>
  <c r="O17" i="1"/>
  <c r="N17" i="1"/>
  <c r="M17" i="1"/>
  <c r="L17" i="1"/>
  <c r="K17" i="1"/>
  <c r="J17" i="1"/>
  <c r="I17" i="1"/>
  <c r="H17" i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L15" i="1"/>
  <c r="K15" i="1"/>
  <c r="J15" i="1"/>
  <c r="I15" i="1"/>
  <c r="P14" i="1"/>
  <c r="N14" i="1"/>
  <c r="L14" i="1"/>
  <c r="J14" i="1"/>
  <c r="H14" i="1"/>
  <c r="P13" i="1"/>
  <c r="O13" i="1"/>
  <c r="N13" i="1"/>
  <c r="M13" i="1"/>
  <c r="L13" i="1"/>
  <c r="K13" i="1"/>
  <c r="J13" i="1"/>
  <c r="I13" i="1"/>
  <c r="H13" i="1"/>
  <c r="P12" i="1"/>
  <c r="O12" i="1"/>
  <c r="N12" i="1"/>
  <c r="M12" i="1"/>
  <c r="L12" i="1"/>
  <c r="K12" i="1"/>
  <c r="J12" i="1"/>
  <c r="H12" i="1"/>
  <c r="V11" i="1"/>
  <c r="S11" i="1"/>
  <c r="R11" i="1"/>
  <c r="P11" i="1"/>
  <c r="N11" i="1"/>
  <c r="L11" i="1"/>
  <c r="J11" i="1"/>
  <c r="H11" i="1"/>
  <c r="V10" i="1"/>
  <c r="S10" i="1"/>
  <c r="R10" i="1"/>
  <c r="P10" i="1"/>
  <c r="N10" i="1"/>
  <c r="L10" i="1"/>
  <c r="J10" i="1"/>
  <c r="H10" i="1"/>
  <c r="V9" i="1"/>
  <c r="S9" i="1"/>
  <c r="R9" i="1"/>
  <c r="P9" i="1"/>
  <c r="N9" i="1"/>
  <c r="L9" i="1"/>
  <c r="J9" i="1"/>
  <c r="P8" i="1"/>
  <c r="N8" i="1"/>
  <c r="L8" i="1"/>
  <c r="J8" i="1"/>
  <c r="P7" i="1"/>
  <c r="N7" i="1"/>
  <c r="L7" i="1"/>
  <c r="J7" i="1"/>
  <c r="H7" i="1"/>
  <c r="V6" i="1"/>
  <c r="S6" i="1"/>
  <c r="R6" i="1"/>
  <c r="P6" i="1"/>
  <c r="N6" i="1"/>
  <c r="L6" i="1"/>
  <c r="J6" i="1"/>
  <c r="H6" i="1"/>
  <c r="V5" i="1"/>
  <c r="S5" i="1"/>
  <c r="R5" i="1"/>
  <c r="P5" i="1"/>
  <c r="N5" i="1"/>
  <c r="L5" i="1"/>
  <c r="J5" i="1"/>
  <c r="H5" i="1"/>
  <c r="V4" i="1"/>
  <c r="S4" i="1"/>
  <c r="R4" i="1"/>
  <c r="P4" i="1"/>
  <c r="N4" i="1"/>
  <c r="L4" i="1"/>
  <c r="J4" i="1"/>
  <c r="H4" i="1"/>
  <c r="V3" i="1"/>
  <c r="P3" i="1"/>
  <c r="N3" i="1"/>
  <c r="L3" i="1"/>
  <c r="J3" i="1"/>
  <c r="H3" i="1"/>
  <c r="P2" i="1"/>
  <c r="N2" i="1"/>
  <c r="L2" i="1"/>
  <c r="J2" i="1"/>
  <c r="H2" i="1"/>
</calcChain>
</file>

<file path=xl/sharedStrings.xml><?xml version="1.0" encoding="utf-8"?>
<sst xmlns="http://schemas.openxmlformats.org/spreadsheetml/2006/main" count="2025" uniqueCount="1200">
  <si>
    <t>Шифр</t>
  </si>
  <si>
    <t>Hyper</t>
  </si>
  <si>
    <t>группа</t>
  </si>
  <si>
    <t>Фолл</t>
  </si>
  <si>
    <t>Кол-во лейк.</t>
  </si>
  <si>
    <t>Эоз.%</t>
  </si>
  <si>
    <t>Эоз.абс</t>
  </si>
  <si>
    <t>П.нейт %</t>
  </si>
  <si>
    <t>П.нейт абс</t>
  </si>
  <si>
    <t>С.нейт %</t>
  </si>
  <si>
    <t>С.нейт абс</t>
  </si>
  <si>
    <t>Мон.%</t>
  </si>
  <si>
    <t>Мон. абс</t>
  </si>
  <si>
    <t>Л/ф%</t>
  </si>
  <si>
    <t>Л/ф. Абс</t>
  </si>
  <si>
    <t>ЦМ КЛ≤6.0. %</t>
  </si>
  <si>
    <t>ЦМ КЛ 7─9. %</t>
  </si>
  <si>
    <t>ЦМ КЛ ≥10 %</t>
  </si>
  <si>
    <t>ЦМ КЛ ср.</t>
  </si>
  <si>
    <t>ЦМ Ірв</t>
  </si>
  <si>
    <t>ЦМ Іра</t>
  </si>
  <si>
    <t>ФИ</t>
  </si>
  <si>
    <t>ФЧ</t>
  </si>
  <si>
    <t>ИШ</t>
  </si>
  <si>
    <t>РОН</t>
  </si>
  <si>
    <t>ИСЛК</t>
  </si>
  <si>
    <t>ЛИ</t>
  </si>
  <si>
    <t>ИСНЛ</t>
  </si>
  <si>
    <t>ИСНМ</t>
  </si>
  <si>
    <t>ИСЛМ</t>
  </si>
  <si>
    <t>ИСЛЭ</t>
  </si>
  <si>
    <t>Пролактин.сыв. мкМЕ/мл</t>
  </si>
  <si>
    <t>ФСГ.сыв МЕ/л</t>
  </si>
  <si>
    <t>ЛГ.сыв МЕ/л</t>
  </si>
  <si>
    <t>Прогестерон.сыв нмоль/л</t>
  </si>
  <si>
    <t>Эстрадиол.сыв пмоль/л</t>
  </si>
  <si>
    <t>Тестостерон сыв нмоль/л</t>
  </si>
  <si>
    <t>Кортизол.сыв м</t>
  </si>
  <si>
    <t>DHEA-S.сыв мкмоль/л</t>
  </si>
  <si>
    <t>Пролактин. ФЖ мкМЕ/мл</t>
  </si>
  <si>
    <t>ФСГ.ФЖ МЕ/л</t>
  </si>
  <si>
    <t>ЛГ.ФЖ МЕ/л</t>
  </si>
  <si>
    <t>Тестостерон ФЖ нмоль/л</t>
  </si>
  <si>
    <t>Кортизол.ФЖ нмоль/л</t>
  </si>
  <si>
    <t>DHEA-S. ФЖ мкмоль/л</t>
  </si>
  <si>
    <t>Глюкоза.сыв мкмоль/л</t>
  </si>
  <si>
    <t>АЛТ.сыв Е/л</t>
  </si>
  <si>
    <t>Альбумин.сыв г/л</t>
  </si>
  <si>
    <t>АСТ.сыв Е/л</t>
  </si>
  <si>
    <t>Билирубин общий. сыв  мкмоль/л</t>
  </si>
  <si>
    <t>Билирубин прямой. Сыв мкмоль/л</t>
  </si>
  <si>
    <t>Билирубин непрямой. Сыв мкмоль/л</t>
  </si>
  <si>
    <t>Гамма-глутамилтрансфераза.сыв Е/л</t>
  </si>
  <si>
    <t>Лактат-дегидрогеназа.сыв Е/л</t>
  </si>
  <si>
    <t>Щелосная фосфатаза. Сыв Е/л</t>
  </si>
  <si>
    <t>Калий.сыв ммоль/л</t>
  </si>
  <si>
    <t>креатинин.сыв мкмоль/л</t>
  </si>
  <si>
    <t>Мочевина.сыв ммоль/л</t>
  </si>
  <si>
    <t>Натрий.сыв ммоль/л</t>
  </si>
  <si>
    <t>Общий белок.сыв г/л</t>
  </si>
  <si>
    <t>Глюкоза.ФЖ ммоль/л</t>
  </si>
  <si>
    <t>АЛТ.ФЖ Е/л</t>
  </si>
  <si>
    <t>Альбумин.ФЖ г/л</t>
  </si>
  <si>
    <t>АСТ.ФЖ Е/л</t>
  </si>
  <si>
    <t>Билирубин общий.ФЖ  мкмоль/л</t>
  </si>
  <si>
    <t>Билирубин прямой.ФЖ мкмоль/л</t>
  </si>
  <si>
    <t>Билирубин непрямой.ФЖ мкмоль/л</t>
  </si>
  <si>
    <t>Гамма-глутамилтрансфераза.ФЖ Е/л</t>
  </si>
  <si>
    <t>Лактат-дегидрогеназа.ФЖ Е/л</t>
  </si>
  <si>
    <t>Щелосная фосфатаза.ФЖ Е/л</t>
  </si>
  <si>
    <t>Калий.ФЖ ммоль/л</t>
  </si>
  <si>
    <t>креатинин.ФЖ мкмоль/л</t>
  </si>
  <si>
    <t>Мочевина.ФЖ ммоль/л</t>
  </si>
  <si>
    <t>Натрий.ФЖ ммоль/л</t>
  </si>
  <si>
    <t>Общий белок.ФЖ г/л</t>
  </si>
  <si>
    <t>ГЯК1</t>
  </si>
  <si>
    <t>9.5</t>
  </si>
  <si>
    <t>0.5</t>
  </si>
  <si>
    <t>6.8</t>
  </si>
  <si>
    <t>57.5</t>
  </si>
  <si>
    <t>8.7</t>
  </si>
  <si>
    <t>26.5</t>
  </si>
  <si>
    <t>7.31</t>
  </si>
  <si>
    <t>1.34</t>
  </si>
  <si>
    <t>8.375</t>
  </si>
  <si>
    <t>4.4</t>
  </si>
  <si>
    <t>1.09</t>
  </si>
  <si>
    <t>8.61</t>
  </si>
  <si>
    <t>1.73</t>
  </si>
  <si>
    <t>0.51</t>
  </si>
  <si>
    <t>1.98</t>
  </si>
  <si>
    <t>11.7</t>
  </si>
  <si>
    <t>5.9</t>
  </si>
  <si>
    <t>22.36</t>
  </si>
  <si>
    <t>ГЯК2</t>
  </si>
  <si>
    <t>6.25</t>
  </si>
  <si>
    <t>2.5</t>
  </si>
  <si>
    <t>6.1</t>
  </si>
  <si>
    <t>65.6</t>
  </si>
  <si>
    <t>5.3</t>
  </si>
  <si>
    <t>20.5</t>
  </si>
  <si>
    <t>47.5</t>
  </si>
  <si>
    <t>10.7</t>
  </si>
  <si>
    <t>2.475</t>
  </si>
  <si>
    <t>11.3</t>
  </si>
  <si>
    <t>1.02</t>
  </si>
  <si>
    <t>1.6</t>
  </si>
  <si>
    <t>3.44</t>
  </si>
  <si>
    <t>0.21</t>
  </si>
  <si>
    <t>4.83</t>
  </si>
  <si>
    <t>10.26</t>
  </si>
  <si>
    <t>2.13</t>
  </si>
  <si>
    <t>4.25</t>
  </si>
  <si>
    <t>326.5</t>
  </si>
  <si>
    <t>7.26</t>
  </si>
  <si>
    <t>24.4</t>
  </si>
  <si>
    <t>16.73</t>
  </si>
  <si>
    <t>401.9</t>
  </si>
  <si>
    <t>10.2</t>
  </si>
  <si>
    <t>894.7</t>
  </si>
  <si>
    <t>4.53</t>
  </si>
  <si>
    <t>17.1</t>
  </si>
  <si>
    <t>2.9</t>
  </si>
  <si>
    <t>2.1</t>
  </si>
  <si>
    <t>33.9</t>
  </si>
  <si>
    <t>4.6</t>
  </si>
  <si>
    <t>3.1</t>
  </si>
  <si>
    <t>0.2</t>
  </si>
  <si>
    <t>260.6</t>
  </si>
  <si>
    <t>28.3</t>
  </si>
  <si>
    <t>2.88</t>
  </si>
  <si>
    <t>2.52</t>
  </si>
  <si>
    <t>151.2</t>
  </si>
  <si>
    <t>51.1</t>
  </si>
  <si>
    <t>1.2</t>
  </si>
  <si>
    <t>19.5</t>
  </si>
  <si>
    <t>39.3</t>
  </si>
  <si>
    <t>11.6</t>
  </si>
  <si>
    <t>6.3</t>
  </si>
  <si>
    <t>14.5</t>
  </si>
  <si>
    <t>249.2</t>
  </si>
  <si>
    <t>30.3</t>
  </si>
  <si>
    <t>3.55</t>
  </si>
  <si>
    <t>150.2</t>
  </si>
  <si>
    <t>ГЯК3</t>
  </si>
  <si>
    <t>8.15</t>
  </si>
  <si>
    <t>0.4</t>
  </si>
  <si>
    <t>11.5</t>
  </si>
  <si>
    <t>59.8</t>
  </si>
  <si>
    <t>8.8</t>
  </si>
  <si>
    <t>10.63</t>
  </si>
  <si>
    <t>98.5</t>
  </si>
  <si>
    <t>3.46</t>
  </si>
  <si>
    <t>1.11</t>
  </si>
  <si>
    <t>9.83</t>
  </si>
  <si>
    <t>2.23</t>
  </si>
  <si>
    <t>0.36</t>
  </si>
  <si>
    <t>2.8</t>
  </si>
  <si>
    <t>10.16</t>
  </si>
  <si>
    <t>3.63</t>
  </si>
  <si>
    <t>1032.5</t>
  </si>
  <si>
    <t>6.43</t>
  </si>
  <si>
    <t>0.56</t>
  </si>
  <si>
    <t>23.9</t>
  </si>
  <si>
    <t>2623.5</t>
  </si>
  <si>
    <t>497.7</t>
  </si>
  <si>
    <t>13.3</t>
  </si>
  <si>
    <t>1662.4</t>
  </si>
  <si>
    <t>5.34</t>
  </si>
  <si>
    <t>0.7</t>
  </si>
  <si>
    <t>500.8</t>
  </si>
  <si>
    <t>13.1</t>
  </si>
  <si>
    <t>4.1</t>
  </si>
  <si>
    <t>0.3</t>
  </si>
  <si>
    <t>3.8</t>
  </si>
  <si>
    <t>7.6</t>
  </si>
  <si>
    <t>216.3</t>
  </si>
  <si>
    <t>27.6</t>
  </si>
  <si>
    <t>3.14</t>
  </si>
  <si>
    <t>3.09</t>
  </si>
  <si>
    <t>149.5</t>
  </si>
  <si>
    <t>56.4</t>
  </si>
  <si>
    <t>2.4</t>
  </si>
  <si>
    <t>2.6</t>
  </si>
  <si>
    <t>33.6</t>
  </si>
  <si>
    <t>12.3</t>
  </si>
  <si>
    <t>5.6</t>
  </si>
  <si>
    <t>8.5</t>
  </si>
  <si>
    <t>139.4</t>
  </si>
  <si>
    <t>23.3</t>
  </si>
  <si>
    <t>3.38</t>
  </si>
  <si>
    <t>148.8</t>
  </si>
  <si>
    <t>41.5</t>
  </si>
  <si>
    <t>ГЯК4</t>
  </si>
  <si>
    <t>9.95</t>
  </si>
  <si>
    <t>42.7</t>
  </si>
  <si>
    <t>44.3</t>
  </si>
  <si>
    <t>11.55</t>
  </si>
  <si>
    <t>2.94</t>
  </si>
  <si>
    <t>6.53</t>
  </si>
  <si>
    <t>1.07</t>
  </si>
  <si>
    <t>3.81</t>
  </si>
  <si>
    <t>1.77</t>
  </si>
  <si>
    <t>0.47</t>
  </si>
  <si>
    <t>9.75</t>
  </si>
  <si>
    <t>4.64</t>
  </si>
  <si>
    <t>19.8</t>
  </si>
  <si>
    <t>191.6</t>
  </si>
  <si>
    <t>3.45</t>
  </si>
  <si>
    <t>1.55</t>
  </si>
  <si>
    <t>15.6</t>
  </si>
  <si>
    <t>2.01</t>
  </si>
  <si>
    <t>601.8</t>
  </si>
  <si>
    <t>7.8</t>
  </si>
  <si>
    <t>576.9</t>
  </si>
  <si>
    <t>4.31</t>
  </si>
  <si>
    <t>2.97</t>
  </si>
  <si>
    <t>1.12</t>
  </si>
  <si>
    <t>648.2</t>
  </si>
  <si>
    <t>16.9</t>
  </si>
  <si>
    <t>36.8</t>
  </si>
  <si>
    <t>13.8</t>
  </si>
  <si>
    <t>7.2</t>
  </si>
  <si>
    <t>676.5</t>
  </si>
  <si>
    <t>13.7</t>
  </si>
  <si>
    <t>3.68</t>
  </si>
  <si>
    <t>43.9</t>
  </si>
  <si>
    <t>4.77</t>
  </si>
  <si>
    <t>130.3</t>
  </si>
  <si>
    <t>62.7</t>
  </si>
  <si>
    <t>0.8</t>
  </si>
  <si>
    <t>1.9</t>
  </si>
  <si>
    <t>34.9</t>
  </si>
  <si>
    <t>59.1</t>
  </si>
  <si>
    <t>1.8</t>
  </si>
  <si>
    <t>6.5</t>
  </si>
  <si>
    <t>566.4</t>
  </si>
  <si>
    <t>25.8</t>
  </si>
  <si>
    <t>2.82</t>
  </si>
  <si>
    <t>4.45</t>
  </si>
  <si>
    <t>131.9</t>
  </si>
  <si>
    <t>ГЯК5</t>
  </si>
  <si>
    <t>6.2</t>
  </si>
  <si>
    <t>3.7</t>
  </si>
  <si>
    <t>70.8</t>
  </si>
  <si>
    <t>7.9</t>
  </si>
  <si>
    <t>12.03</t>
  </si>
  <si>
    <t>2.86</t>
  </si>
  <si>
    <t>4.05</t>
  </si>
  <si>
    <t>0.97</t>
  </si>
  <si>
    <t>2.83</t>
  </si>
  <si>
    <t>2.33</t>
  </si>
  <si>
    <t>0.29</t>
  </si>
  <si>
    <t>3.42</t>
  </si>
  <si>
    <t>1.91</t>
  </si>
  <si>
    <t>7.29</t>
  </si>
  <si>
    <t>325.1</t>
  </si>
  <si>
    <t>0.91</t>
  </si>
  <si>
    <t>377.1</t>
  </si>
  <si>
    <t>7.3</t>
  </si>
  <si>
    <t>781.1</t>
  </si>
  <si>
    <t>2.99</t>
  </si>
  <si>
    <t>9.1</t>
  </si>
  <si>
    <t>1.1</t>
  </si>
  <si>
    <t>35.6</t>
  </si>
  <si>
    <t>3.5</t>
  </si>
  <si>
    <t>313.4</t>
  </si>
  <si>
    <t>29.3</t>
  </si>
  <si>
    <t>3.02</t>
  </si>
  <si>
    <t>59.6</t>
  </si>
  <si>
    <t>3.12</t>
  </si>
  <si>
    <t>144.3</t>
  </si>
  <si>
    <t>59.5</t>
  </si>
  <si>
    <t>1.5</t>
  </si>
  <si>
    <t>11.4</t>
  </si>
  <si>
    <t>0.1</t>
  </si>
  <si>
    <t>46.1</t>
  </si>
  <si>
    <t>2.03</t>
  </si>
  <si>
    <t>37.5</t>
  </si>
  <si>
    <t>ГЯК6</t>
  </si>
  <si>
    <t>4.9</t>
  </si>
  <si>
    <t>1.4</t>
  </si>
  <si>
    <t>3.3</t>
  </si>
  <si>
    <t>42.9</t>
  </si>
  <si>
    <t>30.5</t>
  </si>
  <si>
    <t>10.81</t>
  </si>
  <si>
    <t>2.68</t>
  </si>
  <si>
    <t>13.13</t>
  </si>
  <si>
    <t>9.05</t>
  </si>
  <si>
    <t>1.85</t>
  </si>
  <si>
    <t>1.16</t>
  </si>
  <si>
    <t>0.85</t>
  </si>
  <si>
    <t>1.22</t>
  </si>
  <si>
    <t>15.87</t>
  </si>
  <si>
    <t>30.6</t>
  </si>
  <si>
    <t>2190.7</t>
  </si>
  <si>
    <t>4.98</t>
  </si>
  <si>
    <t>11.2</t>
  </si>
  <si>
    <t>2095.6</t>
  </si>
  <si>
    <t>302.4</t>
  </si>
  <si>
    <t>3.6</t>
  </si>
  <si>
    <t>1.74</t>
  </si>
  <si>
    <t>29.4</t>
  </si>
  <si>
    <t>323.7</t>
  </si>
  <si>
    <t>29.7</t>
  </si>
  <si>
    <t>3.24</t>
  </si>
  <si>
    <t>50.8</t>
  </si>
  <si>
    <t>2.53</t>
  </si>
  <si>
    <t>147.3</t>
  </si>
  <si>
    <t>48.2</t>
  </si>
  <si>
    <t>3.18</t>
  </si>
  <si>
    <t>32.7</t>
  </si>
  <si>
    <t>12.6</t>
  </si>
  <si>
    <t>163.9</t>
  </si>
  <si>
    <t>25.7</t>
  </si>
  <si>
    <t>49.2</t>
  </si>
  <si>
    <t>147.5</t>
  </si>
  <si>
    <t>44.6</t>
  </si>
  <si>
    <t>ГЯК8</t>
  </si>
  <si>
    <t>10.75</t>
  </si>
  <si>
    <t>4.3</t>
  </si>
  <si>
    <t>73.9</t>
  </si>
  <si>
    <t>5.1</t>
  </si>
  <si>
    <t>16.7</t>
  </si>
  <si>
    <t>65.5</t>
  </si>
  <si>
    <t>33.5</t>
  </si>
  <si>
    <t>9.511</t>
  </si>
  <si>
    <t>2.325</t>
  </si>
  <si>
    <t>24.99</t>
  </si>
  <si>
    <t>94.5</t>
  </si>
  <si>
    <t>11.87</t>
  </si>
  <si>
    <t>3.58</t>
  </si>
  <si>
    <t>0.22</t>
  </si>
  <si>
    <t>4.68</t>
  </si>
  <si>
    <t>15.33</t>
  </si>
  <si>
    <t>3.27</t>
  </si>
  <si>
    <t>803.4</t>
  </si>
  <si>
    <t>6.61</t>
  </si>
  <si>
    <t>0.42</t>
  </si>
  <si>
    <t>41.8</t>
  </si>
  <si>
    <t>3003.7</t>
  </si>
  <si>
    <t>771.2</t>
  </si>
  <si>
    <t>1.3</t>
  </si>
  <si>
    <t>0.99</t>
  </si>
  <si>
    <t>411.8</t>
  </si>
  <si>
    <t>35.7</t>
  </si>
  <si>
    <t>3.2</t>
  </si>
  <si>
    <t>343.2</t>
  </si>
  <si>
    <t>28.5</t>
  </si>
  <si>
    <t>2.71</t>
  </si>
  <si>
    <t>56.7</t>
  </si>
  <si>
    <t>140.8</t>
  </si>
  <si>
    <t>57.6</t>
  </si>
  <si>
    <t>9.8</t>
  </si>
  <si>
    <t>195.8</t>
  </si>
  <si>
    <t>28.9</t>
  </si>
  <si>
    <t>3.48</t>
  </si>
  <si>
    <t>55.4</t>
  </si>
  <si>
    <t>3.33</t>
  </si>
  <si>
    <t>148.5</t>
  </si>
  <si>
    <t>ГЯК9</t>
  </si>
  <si>
    <t>64.5</t>
  </si>
  <si>
    <t>8.1</t>
  </si>
  <si>
    <t>25.4</t>
  </si>
  <si>
    <t>10.86</t>
  </si>
  <si>
    <t>2.29</t>
  </si>
  <si>
    <t>6.12</t>
  </si>
  <si>
    <t>0.24</t>
  </si>
  <si>
    <t>1.51</t>
  </si>
  <si>
    <t>0.58</t>
  </si>
  <si>
    <t>1.71</t>
  </si>
  <si>
    <t>7.18</t>
  </si>
  <si>
    <t>4.21</t>
  </si>
  <si>
    <t>6.27</t>
  </si>
  <si>
    <t>1412.5</t>
  </si>
  <si>
    <t>5.38</t>
  </si>
  <si>
    <t>3.82</t>
  </si>
  <si>
    <t>15.1</t>
  </si>
  <si>
    <t>1.04</t>
  </si>
  <si>
    <t>297.7</t>
  </si>
  <si>
    <t>6.7</t>
  </si>
  <si>
    <t>1345.1</t>
  </si>
  <si>
    <t>3.31</t>
  </si>
  <si>
    <t>2.98</t>
  </si>
  <si>
    <t>194.4</t>
  </si>
  <si>
    <t>14.9</t>
  </si>
  <si>
    <t>38.8</t>
  </si>
  <si>
    <t>8.4</t>
  </si>
  <si>
    <t>1223.4</t>
  </si>
  <si>
    <t>3.59</t>
  </si>
  <si>
    <t>37.9</t>
  </si>
  <si>
    <t>4.18</t>
  </si>
  <si>
    <t>139.7</t>
  </si>
  <si>
    <t>74.6</t>
  </si>
  <si>
    <t>33.3</t>
  </si>
  <si>
    <t>1.7</t>
  </si>
  <si>
    <t>5.8</t>
  </si>
  <si>
    <t>217.5</t>
  </si>
  <si>
    <t>27.5</t>
  </si>
  <si>
    <t>2.87</t>
  </si>
  <si>
    <t>47.7</t>
  </si>
  <si>
    <t>3.72</t>
  </si>
  <si>
    <t>139.3</t>
  </si>
  <si>
    <t>ГЯК10</t>
  </si>
  <si>
    <t>7.35</t>
  </si>
  <si>
    <t>68.4</t>
  </si>
  <si>
    <t>10.44</t>
  </si>
  <si>
    <t>2.48</t>
  </si>
  <si>
    <t>97.5</t>
  </si>
  <si>
    <t>10.13</t>
  </si>
  <si>
    <t>0.88</t>
  </si>
  <si>
    <t>0.39</t>
  </si>
  <si>
    <t>2.51</t>
  </si>
  <si>
    <t>12.48</t>
  </si>
  <si>
    <t>4.96</t>
  </si>
  <si>
    <t>1035.9</t>
  </si>
  <si>
    <t>2.91</t>
  </si>
  <si>
    <t>0.77</t>
  </si>
  <si>
    <t>9.2</t>
  </si>
  <si>
    <t>1292.6</t>
  </si>
  <si>
    <t>911.7</t>
  </si>
  <si>
    <t>1.14</t>
  </si>
  <si>
    <t>0.66</t>
  </si>
  <si>
    <t>418.3</t>
  </si>
  <si>
    <t>0.9</t>
  </si>
  <si>
    <t>40.9</t>
  </si>
  <si>
    <t>20.3</t>
  </si>
  <si>
    <t>4.2</t>
  </si>
  <si>
    <t>14.1</t>
  </si>
  <si>
    <t>609.1</t>
  </si>
  <si>
    <t>2.7</t>
  </si>
  <si>
    <t>56.9</t>
  </si>
  <si>
    <t>150.1</t>
  </si>
  <si>
    <t>65.2</t>
  </si>
  <si>
    <t>2.2</t>
  </si>
  <si>
    <t>30.7</t>
  </si>
  <si>
    <t>24.9</t>
  </si>
  <si>
    <t>1.97</t>
  </si>
  <si>
    <t>152.1</t>
  </si>
  <si>
    <t>40.6</t>
  </si>
  <si>
    <t>ГЯК12</t>
  </si>
  <si>
    <t>63.7</t>
  </si>
  <si>
    <t>6.6</t>
  </si>
  <si>
    <t>26.6</t>
  </si>
  <si>
    <t>10.25</t>
  </si>
  <si>
    <t>0.95</t>
  </si>
  <si>
    <t>3.06</t>
  </si>
  <si>
    <t>0.26</t>
  </si>
  <si>
    <t>3.83</t>
  </si>
  <si>
    <t>15.38</t>
  </si>
  <si>
    <t>4.02</t>
  </si>
  <si>
    <t>599.9</t>
  </si>
  <si>
    <t>10.47</t>
  </si>
  <si>
    <t>3.19</t>
  </si>
  <si>
    <t>4.32</t>
  </si>
  <si>
    <t>225.3</t>
  </si>
  <si>
    <t>348.9</t>
  </si>
  <si>
    <t>5.51</t>
  </si>
  <si>
    <t>1.39</t>
  </si>
  <si>
    <t>301.8</t>
  </si>
  <si>
    <t>7.7</t>
  </si>
  <si>
    <t>8.2</t>
  </si>
  <si>
    <t>19.1</t>
  </si>
  <si>
    <t>677.5</t>
  </si>
  <si>
    <t>35.3</t>
  </si>
  <si>
    <t>4.7</t>
  </si>
  <si>
    <t>141.9</t>
  </si>
  <si>
    <t>107.4</t>
  </si>
  <si>
    <t>2.3</t>
  </si>
  <si>
    <t>10.6</t>
  </si>
  <si>
    <t>3.4</t>
  </si>
  <si>
    <t>3.9</t>
  </si>
  <si>
    <t>202.3</t>
  </si>
  <si>
    <t>29.2</t>
  </si>
  <si>
    <t>155.5</t>
  </si>
  <si>
    <t>139.9</t>
  </si>
  <si>
    <t>120.3</t>
  </si>
  <si>
    <t>ГЯК14</t>
  </si>
  <si>
    <t>10.54</t>
  </si>
  <si>
    <t>2.58</t>
  </si>
  <si>
    <t>16.25</t>
  </si>
  <si>
    <t>2.39</t>
  </si>
  <si>
    <t>1.26</t>
  </si>
  <si>
    <t>0.73</t>
  </si>
  <si>
    <t>1.41</t>
  </si>
  <si>
    <t>0.78</t>
  </si>
  <si>
    <t>6.23</t>
  </si>
  <si>
    <t>7.92</t>
  </si>
  <si>
    <t>25.75</t>
  </si>
  <si>
    <t>8.28</t>
  </si>
  <si>
    <t>1.08</t>
  </si>
  <si>
    <t>1.94</t>
  </si>
  <si>
    <t>293.1</t>
  </si>
  <si>
    <t>6.4</t>
  </si>
  <si>
    <t>5.47</t>
  </si>
  <si>
    <t>4.78</t>
  </si>
  <si>
    <t>2.93</t>
  </si>
  <si>
    <t>319.4</t>
  </si>
  <si>
    <t>11.8</t>
  </si>
  <si>
    <t>11.1</t>
  </si>
  <si>
    <t>34.5</t>
  </si>
  <si>
    <t>37.3</t>
  </si>
  <si>
    <t>33.4</t>
  </si>
  <si>
    <t>1036.3</t>
  </si>
  <si>
    <t>37.7</t>
  </si>
  <si>
    <t>3.43</t>
  </si>
  <si>
    <t>89.9</t>
  </si>
  <si>
    <t>137.3</t>
  </si>
  <si>
    <t>105.3</t>
  </si>
  <si>
    <t>31.7</t>
  </si>
  <si>
    <t>12.1</t>
  </si>
  <si>
    <t>17.2</t>
  </si>
  <si>
    <t>176.3</t>
  </si>
  <si>
    <t>2.78</t>
  </si>
  <si>
    <t>75.4</t>
  </si>
  <si>
    <t>138.8</t>
  </si>
  <si>
    <t>ГЯК15</t>
  </si>
  <si>
    <t>5.15</t>
  </si>
  <si>
    <t>2.62</t>
  </si>
  <si>
    <t>13.49</t>
  </si>
  <si>
    <t>3.66</t>
  </si>
  <si>
    <t>1.05</t>
  </si>
  <si>
    <t>5.07</t>
  </si>
  <si>
    <t>1.56</t>
  </si>
  <si>
    <t>0.55</t>
  </si>
  <si>
    <t>1.93</t>
  </si>
  <si>
    <t>7.5</t>
  </si>
  <si>
    <t>3.87</t>
  </si>
  <si>
    <t>531.1</t>
  </si>
  <si>
    <t>5.72</t>
  </si>
  <si>
    <t>8.11</t>
  </si>
  <si>
    <t>218.1</t>
  </si>
  <si>
    <t>4.39</t>
  </si>
  <si>
    <t>2.73</t>
  </si>
  <si>
    <t>2.08</t>
  </si>
  <si>
    <t>391.7</t>
  </si>
  <si>
    <t>5.2</t>
  </si>
  <si>
    <t>4.5</t>
  </si>
  <si>
    <t>325.8</t>
  </si>
  <si>
    <t>2.74</t>
  </si>
  <si>
    <t>72.9</t>
  </si>
  <si>
    <t>137.4</t>
  </si>
  <si>
    <t>96.5</t>
  </si>
  <si>
    <t>29.1</t>
  </si>
  <si>
    <t>9.6</t>
  </si>
  <si>
    <t>146.9</t>
  </si>
  <si>
    <t>29.9</t>
  </si>
  <si>
    <t>83.8</t>
  </si>
  <si>
    <t>95.2</t>
  </si>
  <si>
    <t>ГЯК16</t>
  </si>
  <si>
    <t>72.3</t>
  </si>
  <si>
    <t>15.8</t>
  </si>
  <si>
    <t>62.5</t>
  </si>
  <si>
    <t>10.78</t>
  </si>
  <si>
    <t>2.59</t>
  </si>
  <si>
    <t>27.73</t>
  </si>
  <si>
    <t>0.89</t>
  </si>
  <si>
    <t>10.09</t>
  </si>
  <si>
    <t>3.54</t>
  </si>
  <si>
    <t>4.85</t>
  </si>
  <si>
    <t>12.35</t>
  </si>
  <si>
    <t>2.55</t>
  </si>
  <si>
    <t>11.28</t>
  </si>
  <si>
    <t>120.8</t>
  </si>
  <si>
    <t>10.29</t>
  </si>
  <si>
    <t>2.42</t>
  </si>
  <si>
    <t>31.3</t>
  </si>
  <si>
    <t>854.4</t>
  </si>
  <si>
    <t>211.7</t>
  </si>
  <si>
    <t>6.11</t>
  </si>
  <si>
    <t>1.03</t>
  </si>
  <si>
    <t>198.7</t>
  </si>
  <si>
    <t>ГЯК17</t>
  </si>
  <si>
    <t>10.15</t>
  </si>
  <si>
    <t>79.5</t>
  </si>
  <si>
    <t>17.5</t>
  </si>
  <si>
    <t>8.75</t>
  </si>
  <si>
    <t>2.145</t>
  </si>
  <si>
    <t>21.77</t>
  </si>
  <si>
    <t>60.5</t>
  </si>
  <si>
    <t>2.84</t>
  </si>
  <si>
    <t>0.79</t>
  </si>
  <si>
    <t>44.33</t>
  </si>
  <si>
    <t>215.9</t>
  </si>
  <si>
    <t>10.83</t>
  </si>
  <si>
    <t>20.47</t>
  </si>
  <si>
    <t>311.1</t>
  </si>
  <si>
    <t>6.01</t>
  </si>
  <si>
    <t>21.81</t>
  </si>
  <si>
    <t>ГЯК18</t>
  </si>
  <si>
    <t>7.1</t>
  </si>
  <si>
    <t>13.5</t>
  </si>
  <si>
    <t>8.12</t>
  </si>
  <si>
    <t>1.96</t>
  </si>
  <si>
    <t>13.95</t>
  </si>
  <si>
    <t>1.44</t>
  </si>
  <si>
    <t>0.74</t>
  </si>
  <si>
    <t>1.46</t>
  </si>
  <si>
    <t>38.33</t>
  </si>
  <si>
    <t>26.26</t>
  </si>
  <si>
    <t>ГЯК19</t>
  </si>
  <si>
    <t>31.5</t>
  </si>
  <si>
    <t>10.92</t>
  </si>
  <si>
    <t>2.67</t>
  </si>
  <si>
    <t>20.025</t>
  </si>
  <si>
    <t>25.84</t>
  </si>
  <si>
    <t>0.59</t>
  </si>
  <si>
    <t>6.09</t>
  </si>
  <si>
    <t>5.08</t>
  </si>
  <si>
    <t>8.99</t>
  </si>
  <si>
    <t>0.438</t>
  </si>
  <si>
    <t>618.7</t>
  </si>
  <si>
    <t>0.98</t>
  </si>
  <si>
    <t>8.9</t>
  </si>
  <si>
    <t>35.9</t>
  </si>
  <si>
    <t>9.4</t>
  </si>
  <si>
    <t>20.1</t>
  </si>
  <si>
    <t>425.6</t>
  </si>
  <si>
    <t>68.8</t>
  </si>
  <si>
    <t>135.5</t>
  </si>
  <si>
    <t>94.3</t>
  </si>
  <si>
    <t>0.6</t>
  </si>
  <si>
    <t>38.7</t>
  </si>
  <si>
    <t>185.1</t>
  </si>
  <si>
    <t>137.9</t>
  </si>
  <si>
    <t>ГЯК20</t>
  </si>
  <si>
    <t>15.5</t>
  </si>
  <si>
    <t>28.16</t>
  </si>
  <si>
    <t>5.87</t>
  </si>
  <si>
    <t>3.35</t>
  </si>
  <si>
    <t>1.43</t>
  </si>
  <si>
    <t>6.76</t>
  </si>
  <si>
    <t>32.5</t>
  </si>
  <si>
    <t>931.7</t>
  </si>
  <si>
    <t>7.53</t>
  </si>
  <si>
    <t>11.85</t>
  </si>
  <si>
    <t>288.7</t>
  </si>
  <si>
    <t>891.8</t>
  </si>
  <si>
    <t>5.61</t>
  </si>
  <si>
    <t>1.83</t>
  </si>
  <si>
    <t>38.9</t>
  </si>
  <si>
    <t>13.4</t>
  </si>
  <si>
    <t>563.2</t>
  </si>
  <si>
    <t>34.2</t>
  </si>
  <si>
    <t>3.16</t>
  </si>
  <si>
    <t>57.8</t>
  </si>
  <si>
    <t>138.9</t>
  </si>
  <si>
    <t>101.9</t>
  </si>
  <si>
    <t>32.1</t>
  </si>
  <si>
    <t>23.6</t>
  </si>
  <si>
    <t>60.7</t>
  </si>
  <si>
    <t>3.03</t>
  </si>
  <si>
    <t>69.3</t>
  </si>
  <si>
    <t>140.7</t>
  </si>
  <si>
    <t>77.2</t>
  </si>
  <si>
    <t>ГЯК21</t>
  </si>
  <si>
    <t>7.65</t>
  </si>
  <si>
    <t>9.89</t>
  </si>
  <si>
    <t>2.425</t>
  </si>
  <si>
    <t>18.55</t>
  </si>
  <si>
    <t>0.83</t>
  </si>
  <si>
    <t>0.28</t>
  </si>
  <si>
    <t>3150.2</t>
  </si>
  <si>
    <t>31.8</t>
  </si>
  <si>
    <t>3.11</t>
  </si>
  <si>
    <t>14.4</t>
  </si>
  <si>
    <t>ГЯК22</t>
  </si>
  <si>
    <t>10.3</t>
  </si>
  <si>
    <t>11.33</t>
  </si>
  <si>
    <t>2.79</t>
  </si>
  <si>
    <t>28.74</t>
  </si>
  <si>
    <t>5.4</t>
  </si>
  <si>
    <t>1.33</t>
  </si>
  <si>
    <t>170.6</t>
  </si>
  <si>
    <t>15.32</t>
  </si>
  <si>
    <t>0.471</t>
  </si>
  <si>
    <t>437.1</t>
  </si>
  <si>
    <t>269.8</t>
  </si>
  <si>
    <t>5.5</t>
  </si>
  <si>
    <t>143.3</t>
  </si>
  <si>
    <t>7.94</t>
  </si>
  <si>
    <t>0.508</t>
  </si>
  <si>
    <t>421.4</t>
  </si>
  <si>
    <t>12.4</t>
  </si>
  <si>
    <t>12.5</t>
  </si>
  <si>
    <t>35.4</t>
  </si>
  <si>
    <t>27.8</t>
  </si>
  <si>
    <t>13.2</t>
  </si>
  <si>
    <t>886.8</t>
  </si>
  <si>
    <t>30.9</t>
  </si>
  <si>
    <t>3.25</t>
  </si>
  <si>
    <t>135.6</t>
  </si>
  <si>
    <t>28.6</t>
  </si>
  <si>
    <t>28.4</t>
  </si>
  <si>
    <t>2.85</t>
  </si>
  <si>
    <t>87.8</t>
  </si>
  <si>
    <t>70.4</t>
  </si>
  <si>
    <t>ГЯК23</t>
  </si>
  <si>
    <t>7.4</t>
  </si>
  <si>
    <t>46.8</t>
  </si>
  <si>
    <t>4.8</t>
  </si>
  <si>
    <t>41.7</t>
  </si>
  <si>
    <t>88.5</t>
  </si>
  <si>
    <t>21.31</t>
  </si>
  <si>
    <t>6.48</t>
  </si>
  <si>
    <t>1.15</t>
  </si>
  <si>
    <t>10.95</t>
  </si>
  <si>
    <t>8.68</t>
  </si>
  <si>
    <t>46.33</t>
  </si>
  <si>
    <t>114.9</t>
  </si>
  <si>
    <t>1.53</t>
  </si>
  <si>
    <t>4.36</t>
  </si>
  <si>
    <t>125.6</t>
  </si>
  <si>
    <t>281.2</t>
  </si>
  <si>
    <t>6.31</t>
  </si>
  <si>
    <t>212.7</t>
  </si>
  <si>
    <t>9.98</t>
  </si>
  <si>
    <t>32.6</t>
  </si>
  <si>
    <t>11.9</t>
  </si>
  <si>
    <t>424.9</t>
  </si>
  <si>
    <t>32.2</t>
  </si>
  <si>
    <t>135.1</t>
  </si>
  <si>
    <t>99.8</t>
  </si>
  <si>
    <t>26.9</t>
  </si>
  <si>
    <t>2.92</t>
  </si>
  <si>
    <t>75.1</t>
  </si>
  <si>
    <t>123.5</t>
  </si>
  <si>
    <t>ГЯК24</t>
  </si>
  <si>
    <t>8.89</t>
  </si>
  <si>
    <t>2.16</t>
  </si>
  <si>
    <t>14.67</t>
  </si>
  <si>
    <t>86.5</t>
  </si>
  <si>
    <t>2.14</t>
  </si>
  <si>
    <t>1.38</t>
  </si>
  <si>
    <t>0.76</t>
  </si>
  <si>
    <t>56.5</t>
  </si>
  <si>
    <t>27.33</t>
  </si>
  <si>
    <t>76.35</t>
  </si>
  <si>
    <t>106.3</t>
  </si>
  <si>
    <t>1.92</t>
  </si>
  <si>
    <t>315.8</t>
  </si>
  <si>
    <t>37.1</t>
  </si>
  <si>
    <t>12.2</t>
  </si>
  <si>
    <t>1124.9</t>
  </si>
  <si>
    <t>3.65</t>
  </si>
  <si>
    <t>ГЯК25</t>
  </si>
  <si>
    <t>7.15</t>
  </si>
  <si>
    <t>44.5</t>
  </si>
  <si>
    <t>52.5</t>
  </si>
  <si>
    <t>10.28</t>
  </si>
  <si>
    <t>2.49</t>
  </si>
  <si>
    <t>5.74</t>
  </si>
  <si>
    <t>2.18</t>
  </si>
  <si>
    <t>0.67</t>
  </si>
  <si>
    <t>24.33</t>
  </si>
  <si>
    <t>428.8</t>
  </si>
  <si>
    <t>13.02</t>
  </si>
  <si>
    <t>3.04</t>
  </si>
  <si>
    <t>5.37</t>
  </si>
  <si>
    <t>8.42</t>
  </si>
  <si>
    <t>1.13</t>
  </si>
  <si>
    <t>441.4</t>
  </si>
  <si>
    <t>610.3</t>
  </si>
  <si>
    <t>112.9</t>
  </si>
  <si>
    <t>28.2</t>
  </si>
  <si>
    <t>239.1</t>
  </si>
  <si>
    <t>24.2</t>
  </si>
  <si>
    <t>2.63</t>
  </si>
  <si>
    <t>76.7</t>
  </si>
  <si>
    <t>123.4</t>
  </si>
  <si>
    <t>63.5</t>
  </si>
  <si>
    <t>ГЯК26</t>
  </si>
  <si>
    <t>6.15</t>
  </si>
  <si>
    <t>68.5</t>
  </si>
  <si>
    <t>8.95</t>
  </si>
  <si>
    <t>2.215</t>
  </si>
  <si>
    <t>13.62</t>
  </si>
  <si>
    <t>8.23</t>
  </si>
  <si>
    <t>0.94</t>
  </si>
  <si>
    <t>1.59</t>
  </si>
  <si>
    <t>0.54</t>
  </si>
  <si>
    <t>9.38</t>
  </si>
  <si>
    <t>4.92</t>
  </si>
  <si>
    <t>496.4</t>
  </si>
  <si>
    <t>9.49</t>
  </si>
  <si>
    <t>33.13</t>
  </si>
  <si>
    <t>311.4</t>
  </si>
  <si>
    <t>16.55</t>
  </si>
  <si>
    <t>0.93</t>
  </si>
  <si>
    <t>318.8</t>
  </si>
  <si>
    <t>39.6</t>
  </si>
  <si>
    <t>18.5</t>
  </si>
  <si>
    <t>763.4</t>
  </si>
  <si>
    <t>21.1</t>
  </si>
  <si>
    <t>3.29</t>
  </si>
  <si>
    <t>46.2</t>
  </si>
  <si>
    <t>133.8</t>
  </si>
  <si>
    <t>63.3</t>
  </si>
  <si>
    <t>30.2</t>
  </si>
  <si>
    <t>179.6</t>
  </si>
  <si>
    <t>2.41</t>
  </si>
  <si>
    <t>48.3</t>
  </si>
  <si>
    <t>2.43</t>
  </si>
  <si>
    <t>138.1</t>
  </si>
  <si>
    <t>ГЯК27</t>
  </si>
  <si>
    <t>7.85</t>
  </si>
  <si>
    <t>11.88</t>
  </si>
  <si>
    <t>22.9</t>
  </si>
  <si>
    <t>4.13</t>
  </si>
  <si>
    <t>1.86</t>
  </si>
  <si>
    <t>0.96</t>
  </si>
  <si>
    <t>29.66</t>
  </si>
  <si>
    <t>860.4</t>
  </si>
  <si>
    <t>4.07</t>
  </si>
  <si>
    <t>0.574</t>
  </si>
  <si>
    <t>1531.6</t>
  </si>
  <si>
    <t>3.61</t>
  </si>
  <si>
    <t>431.8</t>
  </si>
  <si>
    <t>14.8</t>
  </si>
  <si>
    <t>35.2</t>
  </si>
  <si>
    <t>18.4</t>
  </si>
  <si>
    <t>6.9</t>
  </si>
  <si>
    <t>508.6</t>
  </si>
  <si>
    <t>18.6</t>
  </si>
  <si>
    <t>49.9</t>
  </si>
  <si>
    <t>138.2</t>
  </si>
  <si>
    <t>57.4</t>
  </si>
  <si>
    <t>155.7</t>
  </si>
  <si>
    <t>51.5</t>
  </si>
  <si>
    <t>2.65</t>
  </si>
  <si>
    <t>134.8</t>
  </si>
  <si>
    <t>40.1</t>
  </si>
  <si>
    <t>ГЯК28</t>
  </si>
  <si>
    <t>12.65</t>
  </si>
  <si>
    <t>54.5</t>
  </si>
  <si>
    <t>29.5</t>
  </si>
  <si>
    <t>70.5</t>
  </si>
  <si>
    <t>11.16</t>
  </si>
  <si>
    <t>34.15</t>
  </si>
  <si>
    <t>81.5</t>
  </si>
  <si>
    <t>4.018</t>
  </si>
  <si>
    <t>1.06</t>
  </si>
  <si>
    <t>1.64</t>
  </si>
  <si>
    <t>10.27</t>
  </si>
  <si>
    <t>9.85</t>
  </si>
  <si>
    <t>1214.7</t>
  </si>
  <si>
    <t>1.35</t>
  </si>
  <si>
    <t>8.32</t>
  </si>
  <si>
    <t>301.1</t>
  </si>
  <si>
    <t>1654.2</t>
  </si>
  <si>
    <t>1.18</t>
  </si>
  <si>
    <t>0.81</t>
  </si>
  <si>
    <t>297.9</t>
  </si>
  <si>
    <t>15.2</t>
  </si>
  <si>
    <t>36.9</t>
  </si>
  <si>
    <t>18.7</t>
  </si>
  <si>
    <t>717.9</t>
  </si>
  <si>
    <t>21.4</t>
  </si>
  <si>
    <t>2.66</t>
  </si>
  <si>
    <t>126.2</t>
  </si>
  <si>
    <t>60.4</t>
  </si>
  <si>
    <t>25.2</t>
  </si>
  <si>
    <t>113.7</t>
  </si>
  <si>
    <t>44.7</t>
  </si>
  <si>
    <t>141.4</t>
  </si>
  <si>
    <t>34.4</t>
  </si>
  <si>
    <t>ГЯ1</t>
  </si>
  <si>
    <t>53.8</t>
  </si>
  <si>
    <t>50.5</t>
  </si>
  <si>
    <t>1.575</t>
  </si>
  <si>
    <t>18.2</t>
  </si>
  <si>
    <t>8.34</t>
  </si>
  <si>
    <t>19.87</t>
  </si>
  <si>
    <t>1.84</t>
  </si>
  <si>
    <t>0.41</t>
  </si>
  <si>
    <t>47.42</t>
  </si>
  <si>
    <t>717.4</t>
  </si>
  <si>
    <t>4.41</t>
  </si>
  <si>
    <t>5.22</t>
  </si>
  <si>
    <t>923.5</t>
  </si>
  <si>
    <t>3.67</t>
  </si>
  <si>
    <t>0.673</t>
  </si>
  <si>
    <t>452.5</t>
  </si>
  <si>
    <t>58.6</t>
  </si>
  <si>
    <t>4.27</t>
  </si>
  <si>
    <t>149.8</t>
  </si>
  <si>
    <t>56.8</t>
  </si>
  <si>
    <t>42.2</t>
  </si>
  <si>
    <t>580.3</t>
  </si>
  <si>
    <t>27.2</t>
  </si>
  <si>
    <t>4.08</t>
  </si>
  <si>
    <t>64.2</t>
  </si>
  <si>
    <t>52.8</t>
  </si>
  <si>
    <t>ГЯ2</t>
  </si>
  <si>
    <t>72.1</t>
  </si>
  <si>
    <t>15.3</t>
  </si>
  <si>
    <t>73.5</t>
  </si>
  <si>
    <t>2.775</t>
  </si>
  <si>
    <t>26.64</t>
  </si>
  <si>
    <t>92.5</t>
  </si>
  <si>
    <t>7.91</t>
  </si>
  <si>
    <t>13.53</t>
  </si>
  <si>
    <t>1138.7</t>
  </si>
  <si>
    <t>6.92</t>
  </si>
  <si>
    <t>34.1</t>
  </si>
  <si>
    <t>1150.4</t>
  </si>
  <si>
    <t>6.32</t>
  </si>
  <si>
    <t>7.17</t>
  </si>
  <si>
    <t>39.2</t>
  </si>
  <si>
    <t>19.3</t>
  </si>
  <si>
    <t>601.7</t>
  </si>
  <si>
    <t>3.86</t>
  </si>
  <si>
    <t>65.9</t>
  </si>
  <si>
    <t>147.1</t>
  </si>
  <si>
    <t>63.4</t>
  </si>
  <si>
    <t>36.3</t>
  </si>
  <si>
    <t>206.5</t>
  </si>
  <si>
    <t>59.4</t>
  </si>
  <si>
    <t>ГЯ3</t>
  </si>
  <si>
    <t>63.8</t>
  </si>
  <si>
    <t>24.3</t>
  </si>
  <si>
    <t>67.5</t>
  </si>
  <si>
    <t>10.12</t>
  </si>
  <si>
    <t>29.37</t>
  </si>
  <si>
    <t>7.61</t>
  </si>
  <si>
    <t>60.75</t>
  </si>
  <si>
    <t>0.27</t>
  </si>
  <si>
    <t>2.22</t>
  </si>
  <si>
    <t>48.75</t>
  </si>
  <si>
    <t>1104.5</t>
  </si>
  <si>
    <t>0.793</t>
  </si>
  <si>
    <t>1045.3</t>
  </si>
  <si>
    <t>1.72</t>
  </si>
  <si>
    <t>1.01</t>
  </si>
  <si>
    <t>13.6</t>
  </si>
  <si>
    <t>468.6</t>
  </si>
  <si>
    <t>34.8</t>
  </si>
  <si>
    <t>148.3</t>
  </si>
  <si>
    <t>68.9</t>
  </si>
  <si>
    <t>267.7</t>
  </si>
  <si>
    <t>2.44</t>
  </si>
  <si>
    <t>43.3</t>
  </si>
  <si>
    <t>2.04</t>
  </si>
  <si>
    <t>38.5</t>
  </si>
  <si>
    <t>ГЯ4</t>
  </si>
  <si>
    <t>58.9</t>
  </si>
  <si>
    <t>87.5</t>
  </si>
  <si>
    <t>11.61</t>
  </si>
  <si>
    <t>2.875</t>
  </si>
  <si>
    <t>4.89</t>
  </si>
  <si>
    <t>0.84</t>
  </si>
  <si>
    <t>4.47</t>
  </si>
  <si>
    <t>4.43</t>
  </si>
  <si>
    <t>1182.9</t>
  </si>
  <si>
    <t>0.63</t>
  </si>
  <si>
    <t>60.8</t>
  </si>
  <si>
    <t>794.2</t>
  </si>
  <si>
    <t>1010.1</t>
  </si>
  <si>
    <t>1.68</t>
  </si>
  <si>
    <t>39.5</t>
  </si>
  <si>
    <t>495.5</t>
  </si>
  <si>
    <t>17.7</t>
  </si>
  <si>
    <t>48.7</t>
  </si>
  <si>
    <t>145.6</t>
  </si>
  <si>
    <t>60.2</t>
  </si>
  <si>
    <t>ГЯ5</t>
  </si>
  <si>
    <t>10.5</t>
  </si>
  <si>
    <t>19.7</t>
  </si>
  <si>
    <t>11.57</t>
  </si>
  <si>
    <t>3.78</t>
  </si>
  <si>
    <t>0.17</t>
  </si>
  <si>
    <t>1.65</t>
  </si>
  <si>
    <t>3.51</t>
  </si>
  <si>
    <t>1589.8</t>
  </si>
  <si>
    <t>57.7</t>
  </si>
  <si>
    <t>1975.8</t>
  </si>
  <si>
    <t>1089.8</t>
  </si>
  <si>
    <t>11.53</t>
  </si>
  <si>
    <t>3.69</t>
  </si>
  <si>
    <t>143.5</t>
  </si>
  <si>
    <t>ГЯ6</t>
  </si>
  <si>
    <t>20.4</t>
  </si>
  <si>
    <t>0.43</t>
  </si>
  <si>
    <t>0.87</t>
  </si>
  <si>
    <t>52.6</t>
  </si>
  <si>
    <t>11.35</t>
  </si>
  <si>
    <t>2.905</t>
  </si>
  <si>
    <t>2.45</t>
  </si>
  <si>
    <t>1.23</t>
  </si>
  <si>
    <t>1036.9</t>
  </si>
  <si>
    <t>55.9</t>
  </si>
  <si>
    <t>5.7</t>
  </si>
  <si>
    <t>6.93</t>
  </si>
  <si>
    <t>6.96</t>
  </si>
  <si>
    <t>421.3</t>
  </si>
  <si>
    <t>17.6</t>
  </si>
  <si>
    <t>391.6</t>
  </si>
  <si>
    <t>49.6</t>
  </si>
  <si>
    <t>3.21</t>
  </si>
  <si>
    <t>148.1</t>
  </si>
  <si>
    <t>25.5</t>
  </si>
  <si>
    <t>207.2</t>
  </si>
  <si>
    <t>3.39</t>
  </si>
  <si>
    <t>146.1</t>
  </si>
  <si>
    <t>46.7</t>
  </si>
  <si>
    <t>ГЯ7</t>
  </si>
  <si>
    <t>10.55</t>
  </si>
  <si>
    <t>53.7</t>
  </si>
  <si>
    <t>32.4</t>
  </si>
  <si>
    <t>9.25</t>
  </si>
  <si>
    <t>0.38</t>
  </si>
  <si>
    <t>8.21</t>
  </si>
  <si>
    <t>1026.5</t>
  </si>
  <si>
    <t>22.8</t>
  </si>
  <si>
    <t>2802.6</t>
  </si>
  <si>
    <t>361.9</t>
  </si>
  <si>
    <t>988.3</t>
  </si>
  <si>
    <t>1.75</t>
  </si>
  <si>
    <t>453.7</t>
  </si>
  <si>
    <t>ГЯ8</t>
  </si>
  <si>
    <t>12.45</t>
  </si>
  <si>
    <t>26.8</t>
  </si>
  <si>
    <t>9.88</t>
  </si>
  <si>
    <t>2.36</t>
  </si>
  <si>
    <t>0.33</t>
  </si>
  <si>
    <t>4.19</t>
  </si>
  <si>
    <t>65.8</t>
  </si>
  <si>
    <t>102.1</t>
  </si>
  <si>
    <t>8.96</t>
  </si>
  <si>
    <t>535.3</t>
  </si>
  <si>
    <t>20.8</t>
  </si>
  <si>
    <t>41.1</t>
  </si>
  <si>
    <t>21.6</t>
  </si>
  <si>
    <t>593.7</t>
  </si>
  <si>
    <t>45.5</t>
  </si>
  <si>
    <t>2.95</t>
  </si>
  <si>
    <t>45.8</t>
  </si>
  <si>
    <t>348.6</t>
  </si>
  <si>
    <t>30.8</t>
  </si>
  <si>
    <t>145.9</t>
  </si>
  <si>
    <t>55.6</t>
  </si>
  <si>
    <t>ГЯ9</t>
  </si>
  <si>
    <t>60.9</t>
  </si>
  <si>
    <t>32.8</t>
  </si>
  <si>
    <t>11.24</t>
  </si>
  <si>
    <t>5.64</t>
  </si>
  <si>
    <t>18.24</t>
  </si>
  <si>
    <t>300.4</t>
  </si>
  <si>
    <t>3.85</t>
  </si>
  <si>
    <t>1.24</t>
  </si>
  <si>
    <t>37.4</t>
  </si>
  <si>
    <t>318.4</t>
  </si>
  <si>
    <t>6.49</t>
  </si>
  <si>
    <t>10.48</t>
  </si>
  <si>
    <t>371.7</t>
  </si>
  <si>
    <t>9.3</t>
  </si>
  <si>
    <t>39.1</t>
  </si>
  <si>
    <t>848.4</t>
  </si>
  <si>
    <t>3.15</t>
  </si>
  <si>
    <t>3.74</t>
  </si>
  <si>
    <t>146.8</t>
  </si>
  <si>
    <t>70.2</t>
  </si>
  <si>
    <t>36.7</t>
  </si>
  <si>
    <t>24.6</t>
  </si>
  <si>
    <t>201.8</t>
  </si>
  <si>
    <t>145.8</t>
  </si>
  <si>
    <t>58.4</t>
  </si>
  <si>
    <t>ГЯ10</t>
  </si>
  <si>
    <t>67.6</t>
  </si>
  <si>
    <t>22.7</t>
  </si>
  <si>
    <t>8.46</t>
  </si>
  <si>
    <t>2.05</t>
  </si>
  <si>
    <t>14.96</t>
  </si>
  <si>
    <t>0.92</t>
  </si>
  <si>
    <t>13.72</t>
  </si>
  <si>
    <t>21.44</t>
  </si>
  <si>
    <t>6.67</t>
  </si>
  <si>
    <t>5.53</t>
  </si>
  <si>
    <t>4.82</t>
  </si>
  <si>
    <t>3.99</t>
  </si>
  <si>
    <t>6.44</t>
  </si>
  <si>
    <t>2.02</t>
  </si>
  <si>
    <t>391.1</t>
  </si>
  <si>
    <t>20.7</t>
  </si>
  <si>
    <t>670.9</t>
  </si>
  <si>
    <t>72.7</t>
  </si>
  <si>
    <t>145.5</t>
  </si>
  <si>
    <t>62.6</t>
  </si>
  <si>
    <t>179.1</t>
  </si>
  <si>
    <t>26.2</t>
  </si>
  <si>
    <t>43.6</t>
  </si>
  <si>
    <t>ГЯ13</t>
  </si>
  <si>
    <t>4.75</t>
  </si>
  <si>
    <t>0.071</t>
  </si>
  <si>
    <t>11.01</t>
  </si>
  <si>
    <t>12.68</t>
  </si>
  <si>
    <t>6.91</t>
  </si>
  <si>
    <t>2.28</t>
  </si>
  <si>
    <t>17.06</t>
  </si>
  <si>
    <t>ГЯК7</t>
  </si>
  <si>
    <t>49.5</t>
  </si>
  <si>
    <t>11.66</t>
  </si>
  <si>
    <t>2.31</t>
  </si>
  <si>
    <t>1.17</t>
  </si>
  <si>
    <t>92.09</t>
  </si>
  <si>
    <t>1383.8</t>
  </si>
  <si>
    <t>25.1</t>
  </si>
  <si>
    <t>2014.7</t>
  </si>
  <si>
    <t>1193.1</t>
  </si>
  <si>
    <t>0.69</t>
  </si>
  <si>
    <t>511.9</t>
  </si>
  <si>
    <t>10.1</t>
  </si>
  <si>
    <t>38.3</t>
  </si>
  <si>
    <t>619.3</t>
  </si>
  <si>
    <t>27.7</t>
  </si>
  <si>
    <t>95.3</t>
  </si>
  <si>
    <t>1.48</t>
  </si>
  <si>
    <t>149.6</t>
  </si>
  <si>
    <t>36.4</t>
  </si>
  <si>
    <t>ГЯК11</t>
  </si>
  <si>
    <t>0.52</t>
  </si>
  <si>
    <t>16.23</t>
  </si>
  <si>
    <t>8.41</t>
  </si>
  <si>
    <t>563.5</t>
  </si>
  <si>
    <t>57.2</t>
  </si>
  <si>
    <t>65.1</t>
  </si>
  <si>
    <t>133.1</t>
  </si>
  <si>
    <t>20.9</t>
  </si>
  <si>
    <t>ГЯК13</t>
  </si>
  <si>
    <t>8.45</t>
  </si>
  <si>
    <t>75.9</t>
  </si>
  <si>
    <t>2.19</t>
  </si>
  <si>
    <t>84.5</t>
  </si>
  <si>
    <t>4.29</t>
  </si>
  <si>
    <t>0.25</t>
  </si>
  <si>
    <t>32.62</t>
  </si>
  <si>
    <t>8.04</t>
  </si>
  <si>
    <t>5.39</t>
  </si>
  <si>
    <t>11.42</t>
  </si>
  <si>
    <t>418.8</t>
  </si>
  <si>
    <t>407.3</t>
  </si>
  <si>
    <t>3.93</t>
  </si>
  <si>
    <t>2.21</t>
  </si>
  <si>
    <t>515.7</t>
  </si>
  <si>
    <t>41.6</t>
  </si>
  <si>
    <t>16.1</t>
  </si>
  <si>
    <t>787.6</t>
  </si>
  <si>
    <t>81.1</t>
  </si>
  <si>
    <t>134.9</t>
  </si>
  <si>
    <t>108.4</t>
  </si>
  <si>
    <t>258.1</t>
  </si>
  <si>
    <t>3.23</t>
  </si>
  <si>
    <t>89.8</t>
  </si>
  <si>
    <t>103.7</t>
  </si>
  <si>
    <t>ГЯ11</t>
  </si>
  <si>
    <t>74.4</t>
  </si>
  <si>
    <t>11.97</t>
  </si>
  <si>
    <t>2.57</t>
  </si>
  <si>
    <t>3.26</t>
  </si>
  <si>
    <t>2.46</t>
  </si>
  <si>
    <t>9.92</t>
  </si>
  <si>
    <t>26.46</t>
  </si>
  <si>
    <t>14.08</t>
  </si>
  <si>
    <t>1.88</t>
  </si>
  <si>
    <t>89.4</t>
  </si>
  <si>
    <t>8.03</t>
  </si>
  <si>
    <t>33.72</t>
  </si>
  <si>
    <t>491.9</t>
  </si>
  <si>
    <t>16.4</t>
  </si>
  <si>
    <t>14.6</t>
  </si>
  <si>
    <t>430.1</t>
  </si>
  <si>
    <t>3.22</t>
  </si>
  <si>
    <t>76.2</t>
  </si>
  <si>
    <t>146.3</t>
  </si>
  <si>
    <t>71.6</t>
  </si>
  <si>
    <t>31.9</t>
  </si>
  <si>
    <t>27.4</t>
  </si>
  <si>
    <t>257.1</t>
  </si>
  <si>
    <t>42.5</t>
  </si>
  <si>
    <t>79.7</t>
  </si>
  <si>
    <t>ГЯ12</t>
  </si>
  <si>
    <t>1.58</t>
  </si>
  <si>
    <t>15.01</t>
  </si>
  <si>
    <t>8.85</t>
  </si>
  <si>
    <t>1.66</t>
  </si>
  <si>
    <t>0.233</t>
  </si>
  <si>
    <t>1285.1</t>
  </si>
  <si>
    <t>0.62</t>
  </si>
  <si>
    <t>509.8</t>
  </si>
  <si>
    <t>19.4</t>
  </si>
  <si>
    <t>43.7</t>
  </si>
  <si>
    <t>25.6</t>
  </si>
  <si>
    <t>692.1</t>
  </si>
  <si>
    <t>4.12</t>
  </si>
  <si>
    <t>4.16</t>
  </si>
  <si>
    <t>79.3</t>
  </si>
  <si>
    <t>30.4</t>
  </si>
  <si>
    <t>63.9</t>
  </si>
  <si>
    <t>50.2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</si>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</sst>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2" fontId="0" fillId="0" borderId="1" xfId="0" applyNumberFormat="1" applyFont="1" applyBorder="1"/>
    <xf numFmtId="0" fontId="0" fillId="0" borderId="3" xfId="0" applyFont="1" applyBorder="1"/>
    <xf numFmtId="2" fontId="0" fillId="0" borderId="3" xfId="0" applyNumberFormat="1" applyBorder="1"/>
    <xf numFmtId="0" fontId="0" fillId="0" borderId="4" xfId="0" applyFont="1" applyBorder="1"/>
    <xf numFmtId="0" fontId="1" fillId="0" borderId="1" xfId="0" applyFont="1" applyBorder="1"/>
    <xf numFmtId="2" fontId="0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42"/>
  <sheetViews>
    <sheetView tabSelected="1" topLeftCell="A10" zoomScaleNormal="100" workbookViewId="0">
      <selection activeCell="E29" sqref="E29"/>
    </sheetView>
  </sheetViews>
  <sheetFormatPr defaultColWidth="8.7109375" defaultRowHeight="15" x14ac:dyDescent="0.25"/>
  <cols>
    <col min="8" max="8" width="12" customWidth="1"/>
    <col min="9" max="10" width="9.28515625" customWidth="1"/>
    <col min="11" max="11" width="9.5703125" customWidth="1"/>
    <col min="12" max="14" width="9.28515625" customWidth="1"/>
    <col min="15" max="15" width="9.5703125" customWidth="1"/>
    <col min="16" max="16" width="9.28515625" customWidth="1"/>
    <col min="33" max="33" width="11.7109375" customWidth="1"/>
    <col min="35" max="35" width="8" customWidth="1"/>
    <col min="36" max="36" width="13.42578125" customWidth="1"/>
    <col min="37" max="37" width="11" customWidth="1"/>
    <col min="38" max="38" width="13" customWidth="1"/>
    <col min="39" max="39" width="10.140625" customWidth="1"/>
    <col min="40" max="40" width="11.5703125" customWidth="1"/>
    <col min="41" max="41" width="14.140625" customWidth="1"/>
    <col min="42" max="42" width="8.5703125" customWidth="1"/>
    <col min="43" max="43" width="7.42578125" customWidth="1"/>
    <col min="44" max="44" width="12.85546875" customWidth="1"/>
    <col min="45" max="45" width="10.5703125" customWidth="1"/>
    <col min="46" max="46" width="12.42578125" customWidth="1"/>
    <col min="47" max="47" width="9.42578125" customWidth="1"/>
    <col min="48" max="48" width="8.140625" customWidth="1"/>
    <col min="49" max="49" width="11" customWidth="1"/>
    <col min="51" max="51" width="11.5703125" customWidth="1"/>
    <col min="52" max="52" width="13" customWidth="1"/>
    <col min="53" max="53" width="21.42578125" customWidth="1"/>
    <col min="54" max="54" width="25.5703125" customWidth="1"/>
    <col min="55" max="55" width="18.5703125" customWidth="1"/>
    <col min="56" max="56" width="15.5703125" customWidth="1"/>
    <col min="57" max="57" width="7.42578125" customWidth="1"/>
    <col min="58" max="58" width="11.140625" customWidth="1"/>
    <col min="59" max="59" width="11" customWidth="1"/>
    <col min="60" max="60" width="8" customWidth="1"/>
    <col min="61" max="61" width="11.28515625" customWidth="1"/>
    <col min="62" max="62" width="10" customWidth="1"/>
    <col min="63" max="63" width="8.28515625" customWidth="1"/>
    <col min="64" max="64" width="11.28515625" customWidth="1"/>
    <col min="65" max="65" width="8" customWidth="1"/>
    <col min="66" max="66" width="11.140625" customWidth="1"/>
    <col min="67" max="67" width="12.28515625" customWidth="1"/>
    <col min="68" max="68" width="14.5703125" customWidth="1"/>
    <col min="69" max="69" width="25" customWidth="1"/>
    <col min="70" max="70" width="24.7109375" customWidth="1"/>
    <col min="71" max="71" width="13.85546875" customWidth="1"/>
    <col min="72" max="72" width="10.28515625" customWidth="1"/>
    <col min="73" max="73" width="11.85546875" customWidth="1"/>
    <col min="74" max="74" width="11.140625" customWidth="1"/>
    <col min="75" max="75" width="8.140625" customWidth="1"/>
    <col min="76" max="76" width="13.85546875" customWidth="1"/>
    <col min="77" max="77" width="17.28515625" customWidth="1"/>
  </cols>
  <sheetData>
    <row r="1" spans="1:76" ht="34.5" customHeight="1" x14ac:dyDescent="0.25">
      <c r="A1" s="1" t="s">
        <v>0</v>
      </c>
      <c r="B1" s="1" t="s">
        <v>1199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</row>
    <row r="2" spans="1:76" x14ac:dyDescent="0.25">
      <c r="A2" s="4" t="s">
        <v>75</v>
      </c>
      <c r="B2" s="4">
        <v>42</v>
      </c>
      <c r="C2" s="4">
        <v>0</v>
      </c>
      <c r="D2" s="4">
        <v>1</v>
      </c>
      <c r="E2" s="4"/>
      <c r="F2" s="4" t="s">
        <v>76</v>
      </c>
      <c r="G2" s="5" t="s">
        <v>77</v>
      </c>
      <c r="H2" s="5">
        <f>9.5*0.5/100</f>
        <v>4.7500000000000001E-2</v>
      </c>
      <c r="I2" s="5" t="s">
        <v>78</v>
      </c>
      <c r="J2" s="5">
        <f>6.8*8.5/100</f>
        <v>0.57799999999999996</v>
      </c>
      <c r="K2" s="5" t="s">
        <v>79</v>
      </c>
      <c r="L2" s="5">
        <f>8.5*57.5/100</f>
        <v>4.8875000000000002</v>
      </c>
      <c r="M2" s="5" t="s">
        <v>80</v>
      </c>
      <c r="N2" s="5">
        <f>8.7*8.5/100</f>
        <v>0.73949999999999994</v>
      </c>
      <c r="O2" s="5" t="s">
        <v>81</v>
      </c>
      <c r="P2" s="5">
        <f>26.5*8.5/100</f>
        <v>2.2524999999999999</v>
      </c>
      <c r="Q2" s="4">
        <v>8</v>
      </c>
      <c r="R2" s="4">
        <v>75</v>
      </c>
      <c r="S2" s="4">
        <v>17</v>
      </c>
      <c r="T2" s="4" t="s">
        <v>82</v>
      </c>
      <c r="U2" s="4" t="s">
        <v>83</v>
      </c>
      <c r="V2" s="4" t="s">
        <v>84</v>
      </c>
      <c r="W2" s="4">
        <v>99</v>
      </c>
      <c r="X2" s="4" t="s">
        <v>85</v>
      </c>
      <c r="Y2" s="5" t="s">
        <v>86</v>
      </c>
      <c r="Z2" s="4" t="s">
        <v>87</v>
      </c>
      <c r="AA2" s="4" t="s">
        <v>88</v>
      </c>
      <c r="AB2" s="4" t="s">
        <v>89</v>
      </c>
      <c r="AC2" s="4" t="s">
        <v>90</v>
      </c>
      <c r="AD2" s="4" t="s">
        <v>91</v>
      </c>
      <c r="AE2" s="4" t="s">
        <v>92</v>
      </c>
      <c r="AF2" s="4" t="s">
        <v>93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</row>
    <row r="3" spans="1:76" x14ac:dyDescent="0.25">
      <c r="A3" s="4" t="s">
        <v>94</v>
      </c>
      <c r="B3" s="4">
        <v>36</v>
      </c>
      <c r="C3" s="4">
        <v>0</v>
      </c>
      <c r="D3" s="4">
        <v>1</v>
      </c>
      <c r="E3" s="4">
        <v>4</v>
      </c>
      <c r="F3" s="4" t="s">
        <v>95</v>
      </c>
      <c r="G3" s="5" t="s">
        <v>96</v>
      </c>
      <c r="H3" s="5">
        <f>2.5*6.25/100</f>
        <v>0.15625</v>
      </c>
      <c r="I3" s="5" t="s">
        <v>97</v>
      </c>
      <c r="J3" s="5">
        <f>6.1*6.25/100</f>
        <v>0.38124999999999998</v>
      </c>
      <c r="K3" s="5" t="s">
        <v>98</v>
      </c>
      <c r="L3" s="5">
        <f>65.6*6.25/100</f>
        <v>4.0999999999999996</v>
      </c>
      <c r="M3" s="5" t="s">
        <v>99</v>
      </c>
      <c r="N3" s="5">
        <f>5.3*6.25/100</f>
        <v>0.33124999999999999</v>
      </c>
      <c r="O3" s="5" t="s">
        <v>100</v>
      </c>
      <c r="P3" s="5">
        <f>20.5*6.25/100</f>
        <v>1.28125</v>
      </c>
      <c r="Q3" s="4" t="s">
        <v>96</v>
      </c>
      <c r="R3" s="4" t="s">
        <v>101</v>
      </c>
      <c r="S3" s="4">
        <v>50</v>
      </c>
      <c r="T3" s="4" t="s">
        <v>102</v>
      </c>
      <c r="U3" s="4" t="s">
        <v>103</v>
      </c>
      <c r="V3" s="4">
        <f>2.475*6.25</f>
        <v>15.46875</v>
      </c>
      <c r="W3" s="4">
        <v>94</v>
      </c>
      <c r="X3" s="4" t="s">
        <v>104</v>
      </c>
      <c r="Y3" s="5" t="s">
        <v>105</v>
      </c>
      <c r="Z3" s="4" t="s">
        <v>106</v>
      </c>
      <c r="AA3" s="4" t="s">
        <v>107</v>
      </c>
      <c r="AB3" s="4" t="s">
        <v>108</v>
      </c>
      <c r="AC3" s="4" t="s">
        <v>109</v>
      </c>
      <c r="AD3" s="4" t="s">
        <v>110</v>
      </c>
      <c r="AE3" s="4" t="s">
        <v>111</v>
      </c>
      <c r="AF3" s="4" t="s">
        <v>112</v>
      </c>
      <c r="AG3" s="4" t="s">
        <v>113</v>
      </c>
      <c r="AH3" s="4" t="s">
        <v>114</v>
      </c>
      <c r="AI3" s="4" t="s">
        <v>108</v>
      </c>
      <c r="AJ3" s="4" t="s">
        <v>115</v>
      </c>
      <c r="AK3" s="4" t="s">
        <v>116</v>
      </c>
      <c r="AL3" s="4"/>
      <c r="AM3" s="4" t="s">
        <v>117</v>
      </c>
      <c r="AN3" s="4" t="s">
        <v>118</v>
      </c>
      <c r="AO3" s="4" t="s">
        <v>119</v>
      </c>
      <c r="AP3" s="4" t="s">
        <v>120</v>
      </c>
      <c r="AQ3" s="4" t="s">
        <v>108</v>
      </c>
      <c r="AR3" s="4"/>
      <c r="AS3" s="4">
        <v>581</v>
      </c>
      <c r="AT3" s="4" t="s">
        <v>121</v>
      </c>
      <c r="AU3" s="4" t="s">
        <v>122</v>
      </c>
      <c r="AV3" s="4" t="s">
        <v>123</v>
      </c>
      <c r="AW3" s="4" t="s">
        <v>124</v>
      </c>
      <c r="AX3" s="4" t="s">
        <v>125</v>
      </c>
      <c r="AY3" s="4" t="s">
        <v>126</v>
      </c>
      <c r="AZ3" s="4" t="s">
        <v>127</v>
      </c>
      <c r="BA3" s="4" t="s">
        <v>122</v>
      </c>
      <c r="BB3" s="4">
        <v>17</v>
      </c>
      <c r="BC3" s="4" t="s">
        <v>128</v>
      </c>
      <c r="BD3" s="4" t="s">
        <v>129</v>
      </c>
      <c r="BE3" s="4" t="s">
        <v>130</v>
      </c>
      <c r="BF3" s="4">
        <v>61</v>
      </c>
      <c r="BG3" s="4" t="s">
        <v>131</v>
      </c>
      <c r="BH3" s="4" t="s">
        <v>132</v>
      </c>
      <c r="BI3" s="4" t="s">
        <v>133</v>
      </c>
      <c r="BJ3" s="4" t="s">
        <v>134</v>
      </c>
      <c r="BK3" s="4" t="s">
        <v>135</v>
      </c>
      <c r="BL3" s="4" t="s">
        <v>136</v>
      </c>
      <c r="BM3" s="4" t="s">
        <v>137</v>
      </c>
      <c r="BN3" s="4" t="s">
        <v>138</v>
      </c>
      <c r="BO3" s="4">
        <v>1</v>
      </c>
      <c r="BP3" s="4" t="s">
        <v>99</v>
      </c>
      <c r="BQ3" s="4" t="s">
        <v>139</v>
      </c>
      <c r="BR3" s="4" t="s">
        <v>140</v>
      </c>
      <c r="BS3" s="4" t="s">
        <v>141</v>
      </c>
      <c r="BT3" s="4" t="s">
        <v>142</v>
      </c>
      <c r="BU3" s="4"/>
      <c r="BV3" s="4"/>
      <c r="BW3" s="4" t="s">
        <v>143</v>
      </c>
      <c r="BX3" s="4"/>
    </row>
    <row r="4" spans="1:76" x14ac:dyDescent="0.25">
      <c r="A4" s="4" t="s">
        <v>144</v>
      </c>
      <c r="B4" s="4">
        <v>27</v>
      </c>
      <c r="C4" s="4">
        <v>0</v>
      </c>
      <c r="D4" s="4">
        <v>1</v>
      </c>
      <c r="E4" s="4">
        <v>4</v>
      </c>
      <c r="F4" s="4" t="s">
        <v>145</v>
      </c>
      <c r="G4" s="5" t="s">
        <v>146</v>
      </c>
      <c r="H4" s="5">
        <f>8.15*0.4/100</f>
        <v>3.2600000000000004E-2</v>
      </c>
      <c r="I4" s="5" t="s">
        <v>147</v>
      </c>
      <c r="J4" s="5">
        <f>8.15*11.5/100</f>
        <v>0.93725000000000014</v>
      </c>
      <c r="K4" s="5" t="s">
        <v>148</v>
      </c>
      <c r="L4" s="5">
        <f>8.15*59.8/100</f>
        <v>4.8737000000000004</v>
      </c>
      <c r="M4" s="5" t="s">
        <v>149</v>
      </c>
      <c r="N4" s="5">
        <f>8.15*8.8/100</f>
        <v>0.71720000000000017</v>
      </c>
      <c r="O4" s="5" t="s">
        <v>135</v>
      </c>
      <c r="P4" s="5">
        <f>8.15*19.5/100</f>
        <v>1.5892500000000001</v>
      </c>
      <c r="Q4" s="4">
        <v>0</v>
      </c>
      <c r="R4" s="4">
        <f>9600/200</f>
        <v>48</v>
      </c>
      <c r="S4" s="4">
        <f>10400/200</f>
        <v>52</v>
      </c>
      <c r="T4" s="4" t="s">
        <v>150</v>
      </c>
      <c r="U4" s="4" t="s">
        <v>131</v>
      </c>
      <c r="V4" s="4">
        <f>2.52*8.15</f>
        <v>20.538</v>
      </c>
      <c r="W4" s="4" t="s">
        <v>151</v>
      </c>
      <c r="X4" s="4" t="s">
        <v>152</v>
      </c>
      <c r="Y4" s="5" t="s">
        <v>153</v>
      </c>
      <c r="Z4" s="4" t="s">
        <v>154</v>
      </c>
      <c r="AA4" s="4" t="s">
        <v>155</v>
      </c>
      <c r="AB4" s="4" t="s">
        <v>156</v>
      </c>
      <c r="AC4" s="4" t="s">
        <v>157</v>
      </c>
      <c r="AD4" s="4" t="s">
        <v>158</v>
      </c>
      <c r="AE4" s="4" t="s">
        <v>159</v>
      </c>
      <c r="AF4" s="4">
        <v>27</v>
      </c>
      <c r="AG4" s="4" t="s">
        <v>160</v>
      </c>
      <c r="AH4" s="4" t="s">
        <v>161</v>
      </c>
      <c r="AI4" s="4" t="s">
        <v>162</v>
      </c>
      <c r="AJ4" s="4" t="s">
        <v>163</v>
      </c>
      <c r="AK4" s="4" t="s">
        <v>164</v>
      </c>
      <c r="AL4" s="4"/>
      <c r="AM4" s="4" t="s">
        <v>165</v>
      </c>
      <c r="AN4" s="4" t="s">
        <v>166</v>
      </c>
      <c r="AO4" s="4" t="s">
        <v>167</v>
      </c>
      <c r="AP4" s="4" t="s">
        <v>168</v>
      </c>
      <c r="AQ4" s="4" t="s">
        <v>169</v>
      </c>
      <c r="AR4" s="4"/>
      <c r="AS4" s="4" t="s">
        <v>170</v>
      </c>
      <c r="AT4" s="4" t="s">
        <v>171</v>
      </c>
      <c r="AU4" s="4" t="s">
        <v>96</v>
      </c>
      <c r="AV4" s="4" t="s">
        <v>99</v>
      </c>
      <c r="AW4" s="4">
        <v>37</v>
      </c>
      <c r="AX4" s="4">
        <v>9</v>
      </c>
      <c r="AY4" s="4" t="s">
        <v>172</v>
      </c>
      <c r="AZ4" s="4" t="s">
        <v>173</v>
      </c>
      <c r="BA4" s="4" t="s">
        <v>174</v>
      </c>
      <c r="BB4" s="4" t="s">
        <v>175</v>
      </c>
      <c r="BC4" s="4" t="s">
        <v>176</v>
      </c>
      <c r="BD4" s="4" t="s">
        <v>177</v>
      </c>
      <c r="BE4" s="4" t="s">
        <v>178</v>
      </c>
      <c r="BF4" s="4">
        <v>51</v>
      </c>
      <c r="BG4" s="4" t="s">
        <v>179</v>
      </c>
      <c r="BH4" s="4" t="s">
        <v>180</v>
      </c>
      <c r="BI4" s="4" t="s">
        <v>181</v>
      </c>
      <c r="BJ4" s="4" t="s">
        <v>182</v>
      </c>
      <c r="BK4" s="4" t="s">
        <v>183</v>
      </c>
      <c r="BL4" s="4" t="s">
        <v>184</v>
      </c>
      <c r="BM4" s="4" t="s">
        <v>185</v>
      </c>
      <c r="BN4" s="4" t="s">
        <v>97</v>
      </c>
      <c r="BO4" s="4" t="s">
        <v>77</v>
      </c>
      <c r="BP4" s="4" t="s">
        <v>186</v>
      </c>
      <c r="BQ4" s="4" t="s">
        <v>187</v>
      </c>
      <c r="BR4" s="4" t="s">
        <v>188</v>
      </c>
      <c r="BS4" s="4" t="s">
        <v>189</v>
      </c>
      <c r="BT4" s="4" t="s">
        <v>190</v>
      </c>
      <c r="BU4" s="4">
        <v>41</v>
      </c>
      <c r="BV4" s="4" t="s">
        <v>182</v>
      </c>
      <c r="BW4" s="4" t="s">
        <v>191</v>
      </c>
      <c r="BX4" s="4" t="s">
        <v>192</v>
      </c>
    </row>
    <row r="5" spans="1:76" x14ac:dyDescent="0.25">
      <c r="A5" s="4" t="s">
        <v>193</v>
      </c>
      <c r="B5" s="4">
        <v>23</v>
      </c>
      <c r="C5" s="4">
        <v>0</v>
      </c>
      <c r="D5" s="4">
        <v>1</v>
      </c>
      <c r="E5" s="4">
        <v>7</v>
      </c>
      <c r="F5" s="4" t="s">
        <v>194</v>
      </c>
      <c r="G5" s="5">
        <v>1</v>
      </c>
      <c r="H5" s="5">
        <f>1*9.95/100</f>
        <v>9.9499999999999991E-2</v>
      </c>
      <c r="I5" s="5">
        <v>2</v>
      </c>
      <c r="J5" s="5">
        <f>2*9.95/100</f>
        <v>0.19899999999999998</v>
      </c>
      <c r="K5" s="5" t="s">
        <v>195</v>
      </c>
      <c r="L5" s="5">
        <f>42.7*9.95/100</f>
        <v>4.2486500000000005</v>
      </c>
      <c r="M5" s="5">
        <v>10</v>
      </c>
      <c r="N5" s="5">
        <f>10*9.95/100</f>
        <v>0.995</v>
      </c>
      <c r="O5" s="5" t="s">
        <v>196</v>
      </c>
      <c r="P5" s="5">
        <f>44.3*9.95/100</f>
        <v>4.4078499999999998</v>
      </c>
      <c r="Q5" s="4">
        <v>0</v>
      </c>
      <c r="R5" s="4">
        <f>1200/200</f>
        <v>6</v>
      </c>
      <c r="S5" s="4">
        <f>18800/200</f>
        <v>94</v>
      </c>
      <c r="T5" s="4" t="s">
        <v>197</v>
      </c>
      <c r="U5" s="4" t="s">
        <v>198</v>
      </c>
      <c r="V5" s="4">
        <f>2.94*9.95</f>
        <v>29.252999999999997</v>
      </c>
      <c r="W5" s="4">
        <v>99</v>
      </c>
      <c r="X5" s="4" t="s">
        <v>199</v>
      </c>
      <c r="Y5" s="5" t="s">
        <v>200</v>
      </c>
      <c r="Z5" s="4" t="s">
        <v>201</v>
      </c>
      <c r="AA5" s="4" t="s">
        <v>202</v>
      </c>
      <c r="AB5" s="4" t="s">
        <v>203</v>
      </c>
      <c r="AC5" s="4" t="s">
        <v>123</v>
      </c>
      <c r="AD5" s="4" t="s">
        <v>204</v>
      </c>
      <c r="AE5" s="4" t="s">
        <v>205</v>
      </c>
      <c r="AF5" s="4" t="s">
        <v>206</v>
      </c>
      <c r="AG5" s="4" t="s">
        <v>207</v>
      </c>
      <c r="AH5" s="4" t="s">
        <v>208</v>
      </c>
      <c r="AI5" s="4" t="s">
        <v>209</v>
      </c>
      <c r="AJ5" s="4" t="s">
        <v>210</v>
      </c>
      <c r="AK5" s="4">
        <v>6827</v>
      </c>
      <c r="AL5" s="4" t="s">
        <v>211</v>
      </c>
      <c r="AM5" s="4" t="s">
        <v>212</v>
      </c>
      <c r="AN5" s="4" t="s">
        <v>213</v>
      </c>
      <c r="AO5" s="4" t="s">
        <v>214</v>
      </c>
      <c r="AP5" s="4" t="s">
        <v>215</v>
      </c>
      <c r="AQ5" s="4" t="s">
        <v>216</v>
      </c>
      <c r="AR5" s="4" t="s">
        <v>217</v>
      </c>
      <c r="AS5" s="4" t="s">
        <v>218</v>
      </c>
      <c r="AT5" s="4" t="s">
        <v>219</v>
      </c>
      <c r="AU5" s="4" t="s">
        <v>122</v>
      </c>
      <c r="AV5" s="4" t="s">
        <v>106</v>
      </c>
      <c r="AW5" s="4" t="s">
        <v>220</v>
      </c>
      <c r="AX5" s="4" t="s">
        <v>221</v>
      </c>
      <c r="AY5" s="4" t="s">
        <v>122</v>
      </c>
      <c r="AZ5" s="4" t="s">
        <v>146</v>
      </c>
      <c r="BA5" s="4" t="s">
        <v>96</v>
      </c>
      <c r="BB5" s="4" t="s">
        <v>222</v>
      </c>
      <c r="BC5" s="4" t="s">
        <v>223</v>
      </c>
      <c r="BD5" s="4" t="s">
        <v>224</v>
      </c>
      <c r="BE5" s="4" t="s">
        <v>225</v>
      </c>
      <c r="BF5" s="4" t="s">
        <v>226</v>
      </c>
      <c r="BG5" s="4" t="s">
        <v>227</v>
      </c>
      <c r="BH5" s="4" t="s">
        <v>228</v>
      </c>
      <c r="BI5" s="4" t="s">
        <v>229</v>
      </c>
      <c r="BJ5" s="4" t="s">
        <v>230</v>
      </c>
      <c r="BK5" s="4" t="s">
        <v>231</v>
      </c>
      <c r="BL5" s="4" t="s">
        <v>232</v>
      </c>
      <c r="BM5" s="4" t="s">
        <v>233</v>
      </c>
      <c r="BN5" s="4" t="s">
        <v>234</v>
      </c>
      <c r="BO5" s="4" t="s">
        <v>127</v>
      </c>
      <c r="BP5" s="4" t="s">
        <v>106</v>
      </c>
      <c r="BQ5" s="4" t="s">
        <v>235</v>
      </c>
      <c r="BR5" s="4" t="s">
        <v>236</v>
      </c>
      <c r="BS5" s="4" t="s">
        <v>237</v>
      </c>
      <c r="BT5" s="4" t="s">
        <v>238</v>
      </c>
      <c r="BU5" s="4">
        <v>48</v>
      </c>
      <c r="BV5" s="4" t="s">
        <v>239</v>
      </c>
      <c r="BW5" s="4" t="s">
        <v>240</v>
      </c>
      <c r="BX5" s="4">
        <v>47</v>
      </c>
    </row>
    <row r="6" spans="1:76" x14ac:dyDescent="0.25">
      <c r="A6" s="4" t="s">
        <v>241</v>
      </c>
      <c r="B6" s="4">
        <v>30</v>
      </c>
      <c r="C6" s="4">
        <v>0</v>
      </c>
      <c r="D6" s="4">
        <v>1</v>
      </c>
      <c r="E6" s="4">
        <v>7</v>
      </c>
      <c r="F6" s="4" t="s">
        <v>242</v>
      </c>
      <c r="G6" s="5" t="s">
        <v>243</v>
      </c>
      <c r="H6" s="5">
        <f>3.7*6.2/100</f>
        <v>0.22940000000000002</v>
      </c>
      <c r="I6" s="5" t="s">
        <v>125</v>
      </c>
      <c r="J6" s="5">
        <f>4.6*6.2/100</f>
        <v>0.28520000000000001</v>
      </c>
      <c r="K6" s="5" t="s">
        <v>244</v>
      </c>
      <c r="L6" s="5">
        <f>70.8*6.2/100</f>
        <v>4.3895999999999997</v>
      </c>
      <c r="M6" s="5" t="s">
        <v>245</v>
      </c>
      <c r="N6" s="5">
        <f>7.9*6.2/100</f>
        <v>0.48980000000000001</v>
      </c>
      <c r="O6" s="5">
        <v>13</v>
      </c>
      <c r="P6" s="5">
        <f>13*6.2/100</f>
        <v>0.80600000000000005</v>
      </c>
      <c r="Q6" s="4">
        <v>0</v>
      </c>
      <c r="R6" s="4">
        <f>2800/200</f>
        <v>14</v>
      </c>
      <c r="S6" s="4">
        <f>17200/200</f>
        <v>86</v>
      </c>
      <c r="T6" s="4" t="s">
        <v>246</v>
      </c>
      <c r="U6" s="4" t="s">
        <v>247</v>
      </c>
      <c r="V6" s="4">
        <f>2.86*6.2</f>
        <v>17.731999999999999</v>
      </c>
      <c r="W6" s="4">
        <v>82</v>
      </c>
      <c r="X6" s="4" t="s">
        <v>248</v>
      </c>
      <c r="Y6" s="5" t="s">
        <v>249</v>
      </c>
      <c r="Z6" s="4" t="s">
        <v>250</v>
      </c>
      <c r="AA6" s="4" t="s">
        <v>251</v>
      </c>
      <c r="AB6" s="4" t="s">
        <v>252</v>
      </c>
      <c r="AC6" s="4" t="s">
        <v>253</v>
      </c>
      <c r="AD6" s="4" t="s">
        <v>199</v>
      </c>
      <c r="AE6" s="4" t="s">
        <v>254</v>
      </c>
      <c r="AF6" s="4" t="s">
        <v>255</v>
      </c>
      <c r="AG6" s="4" t="s">
        <v>256</v>
      </c>
      <c r="AH6" s="4" t="s">
        <v>168</v>
      </c>
      <c r="AI6" s="4" t="s">
        <v>257</v>
      </c>
      <c r="AJ6" s="4">
        <v>58</v>
      </c>
      <c r="AK6" s="4">
        <v>1918</v>
      </c>
      <c r="AL6" s="4"/>
      <c r="AM6" s="4" t="s">
        <v>258</v>
      </c>
      <c r="AN6" s="4" t="s">
        <v>259</v>
      </c>
      <c r="AO6" s="4" t="s">
        <v>260</v>
      </c>
      <c r="AP6" s="4" t="s">
        <v>261</v>
      </c>
      <c r="AQ6" s="4" t="s">
        <v>169</v>
      </c>
      <c r="AR6" s="4"/>
      <c r="AS6" s="4">
        <v>461</v>
      </c>
      <c r="AT6" s="4" t="s">
        <v>262</v>
      </c>
      <c r="AU6" s="4" t="s">
        <v>123</v>
      </c>
      <c r="AV6" s="4" t="s">
        <v>263</v>
      </c>
      <c r="AW6" s="4" t="s">
        <v>264</v>
      </c>
      <c r="AX6" s="4" t="s">
        <v>137</v>
      </c>
      <c r="AY6" s="4" t="s">
        <v>123</v>
      </c>
      <c r="AZ6" s="4" t="s">
        <v>173</v>
      </c>
      <c r="BA6" s="4" t="s">
        <v>234</v>
      </c>
      <c r="BB6" s="4" t="s">
        <v>265</v>
      </c>
      <c r="BC6" s="4" t="s">
        <v>266</v>
      </c>
      <c r="BD6" s="4" t="s">
        <v>267</v>
      </c>
      <c r="BE6" s="4" t="s">
        <v>268</v>
      </c>
      <c r="BF6" s="4" t="s">
        <v>269</v>
      </c>
      <c r="BG6" s="4" t="s">
        <v>270</v>
      </c>
      <c r="BH6" s="4" t="s">
        <v>271</v>
      </c>
      <c r="BI6" s="4" t="s">
        <v>272</v>
      </c>
      <c r="BJ6" s="4">
        <v>1</v>
      </c>
      <c r="BK6" s="4" t="s">
        <v>273</v>
      </c>
      <c r="BL6" s="4" t="s">
        <v>81</v>
      </c>
      <c r="BM6" s="4" t="s">
        <v>274</v>
      </c>
      <c r="BN6" s="4" t="s">
        <v>77</v>
      </c>
      <c r="BO6" s="4" t="s">
        <v>275</v>
      </c>
      <c r="BP6" s="4" t="s">
        <v>146</v>
      </c>
      <c r="BQ6" s="4" t="s">
        <v>78</v>
      </c>
      <c r="BR6" s="4">
        <v>150</v>
      </c>
      <c r="BS6" s="4" t="s">
        <v>237</v>
      </c>
      <c r="BT6" s="4" t="s">
        <v>96</v>
      </c>
      <c r="BU6" s="4" t="s">
        <v>276</v>
      </c>
      <c r="BV6" s="4" t="s">
        <v>277</v>
      </c>
      <c r="BW6" s="4" t="s">
        <v>143</v>
      </c>
      <c r="BX6" s="4" t="s">
        <v>278</v>
      </c>
    </row>
    <row r="7" spans="1:76" x14ac:dyDescent="0.25">
      <c r="A7" s="4" t="s">
        <v>279</v>
      </c>
      <c r="B7" s="4">
        <v>35</v>
      </c>
      <c r="C7" s="4">
        <v>0</v>
      </c>
      <c r="D7" s="4">
        <v>1</v>
      </c>
      <c r="E7" s="4">
        <v>4</v>
      </c>
      <c r="F7" s="4" t="s">
        <v>280</v>
      </c>
      <c r="G7" s="6" t="s">
        <v>281</v>
      </c>
      <c r="H7" s="7">
        <f>4.9*1.4/100</f>
        <v>6.8600000000000008E-2</v>
      </c>
      <c r="I7" s="7" t="s">
        <v>182</v>
      </c>
      <c r="J7" s="7">
        <f>4.9*2.4/100</f>
        <v>0.1176</v>
      </c>
      <c r="K7" s="7">
        <v>50</v>
      </c>
      <c r="L7" s="7">
        <f>4.9*50/100</f>
        <v>2.4500000000000002</v>
      </c>
      <c r="M7" s="7" t="s">
        <v>282</v>
      </c>
      <c r="N7" s="7">
        <f>4.9*3.3/100</f>
        <v>0.16170000000000001</v>
      </c>
      <c r="O7" s="7" t="s">
        <v>283</v>
      </c>
      <c r="P7" s="7">
        <f>4.9*42.9/100</f>
        <v>2.1021000000000001</v>
      </c>
      <c r="Q7" s="4" t="s">
        <v>77</v>
      </c>
      <c r="R7" s="4" t="s">
        <v>284</v>
      </c>
      <c r="S7" s="4">
        <v>69</v>
      </c>
      <c r="T7" s="4" t="s">
        <v>285</v>
      </c>
      <c r="U7" s="4" t="s">
        <v>286</v>
      </c>
      <c r="V7" s="4" t="s">
        <v>287</v>
      </c>
      <c r="W7" s="4">
        <v>89</v>
      </c>
      <c r="X7" s="4" t="s">
        <v>288</v>
      </c>
      <c r="Y7" s="4" t="s">
        <v>249</v>
      </c>
      <c r="Z7" s="4" t="s">
        <v>289</v>
      </c>
      <c r="AA7" s="4" t="s">
        <v>290</v>
      </c>
      <c r="AB7" s="4" t="s">
        <v>291</v>
      </c>
      <c r="AC7" s="4" t="s">
        <v>292</v>
      </c>
      <c r="AD7" s="4" t="s">
        <v>293</v>
      </c>
      <c r="AE7" s="4">
        <v>13</v>
      </c>
      <c r="AF7" s="4" t="s">
        <v>294</v>
      </c>
      <c r="AG7" s="4" t="s">
        <v>295</v>
      </c>
      <c r="AH7" s="4" t="s">
        <v>296</v>
      </c>
      <c r="AI7" s="4" t="s">
        <v>106</v>
      </c>
      <c r="AJ7" s="4" t="s">
        <v>297</v>
      </c>
      <c r="AK7" s="4" t="s">
        <v>298</v>
      </c>
      <c r="AL7" s="4"/>
      <c r="AM7" s="4" t="s">
        <v>299</v>
      </c>
      <c r="AN7" s="4" t="s">
        <v>300</v>
      </c>
      <c r="AO7" s="4">
        <v>1938</v>
      </c>
      <c r="AP7" s="4" t="s">
        <v>261</v>
      </c>
      <c r="AQ7" s="4" t="s">
        <v>301</v>
      </c>
      <c r="AR7" s="4"/>
      <c r="AS7" s="4">
        <v>421</v>
      </c>
      <c r="AT7" s="4" t="s">
        <v>85</v>
      </c>
      <c r="AU7" s="8" t="s">
        <v>243</v>
      </c>
      <c r="AV7" s="8" t="s">
        <v>85</v>
      </c>
      <c r="AW7" s="8" t="s">
        <v>302</v>
      </c>
      <c r="AX7" s="8" t="s">
        <v>245</v>
      </c>
      <c r="AY7" s="8" t="s">
        <v>282</v>
      </c>
      <c r="AZ7" s="8" t="s">
        <v>146</v>
      </c>
      <c r="BA7" s="8" t="s">
        <v>122</v>
      </c>
      <c r="BB7" s="8" t="s">
        <v>106</v>
      </c>
      <c r="BC7" s="8" t="s">
        <v>303</v>
      </c>
      <c r="BD7" s="8" t="s">
        <v>304</v>
      </c>
      <c r="BE7" s="8" t="s">
        <v>305</v>
      </c>
      <c r="BF7" s="8" t="s">
        <v>306</v>
      </c>
      <c r="BG7" s="8" t="s">
        <v>307</v>
      </c>
      <c r="BH7" s="8" t="s">
        <v>308</v>
      </c>
      <c r="BI7" s="8" t="s">
        <v>309</v>
      </c>
      <c r="BJ7" s="4" t="s">
        <v>310</v>
      </c>
      <c r="BK7" s="4" t="s">
        <v>123</v>
      </c>
      <c r="BL7" s="4" t="s">
        <v>311</v>
      </c>
      <c r="BM7" s="4" t="s">
        <v>312</v>
      </c>
      <c r="BN7" s="4">
        <v>4</v>
      </c>
      <c r="BO7" s="4" t="s">
        <v>127</v>
      </c>
      <c r="BP7" s="4" t="s">
        <v>174</v>
      </c>
      <c r="BQ7" s="4">
        <v>8</v>
      </c>
      <c r="BR7" s="4" t="s">
        <v>313</v>
      </c>
      <c r="BS7" s="4" t="s">
        <v>314</v>
      </c>
      <c r="BT7" s="4" t="s">
        <v>310</v>
      </c>
      <c r="BU7" s="4" t="s">
        <v>315</v>
      </c>
      <c r="BV7" s="4" t="s">
        <v>251</v>
      </c>
      <c r="BW7" s="4" t="s">
        <v>316</v>
      </c>
      <c r="BX7" s="4" t="s">
        <v>317</v>
      </c>
    </row>
    <row r="8" spans="1:76" x14ac:dyDescent="0.25">
      <c r="A8" s="4" t="s">
        <v>318</v>
      </c>
      <c r="B8" s="4">
        <v>39</v>
      </c>
      <c r="C8" s="4">
        <v>0</v>
      </c>
      <c r="D8" s="4">
        <v>1</v>
      </c>
      <c r="E8" s="4">
        <v>7</v>
      </c>
      <c r="F8" s="4" t="s">
        <v>319</v>
      </c>
      <c r="G8" s="7">
        <v>0</v>
      </c>
      <c r="H8" s="7">
        <v>0</v>
      </c>
      <c r="I8" s="7" t="s">
        <v>320</v>
      </c>
      <c r="J8" s="7">
        <f>4.3*10.75/100</f>
        <v>0.46224999999999999</v>
      </c>
      <c r="K8" s="7" t="s">
        <v>321</v>
      </c>
      <c r="L8" s="7">
        <f>73.9*10.75/100</f>
        <v>7.9442500000000003</v>
      </c>
      <c r="M8" s="7" t="s">
        <v>322</v>
      </c>
      <c r="N8" s="7">
        <f>5.1*10.75/100</f>
        <v>0.5482499999999999</v>
      </c>
      <c r="O8" s="7" t="s">
        <v>323</v>
      </c>
      <c r="P8" s="7">
        <f>16.7*10.75/100</f>
        <v>1.79525</v>
      </c>
      <c r="Q8" s="4">
        <v>1</v>
      </c>
      <c r="R8" s="4" t="s">
        <v>324</v>
      </c>
      <c r="S8" s="4" t="s">
        <v>325</v>
      </c>
      <c r="T8" s="4" t="s">
        <v>326</v>
      </c>
      <c r="U8" s="4" t="s">
        <v>327</v>
      </c>
      <c r="V8" s="4" t="s">
        <v>328</v>
      </c>
      <c r="W8" s="4" t="s">
        <v>329</v>
      </c>
      <c r="X8" s="4" t="s">
        <v>330</v>
      </c>
      <c r="Y8" s="4" t="s">
        <v>230</v>
      </c>
      <c r="Z8" s="4">
        <v>0</v>
      </c>
      <c r="AA8" s="4" t="s">
        <v>331</v>
      </c>
      <c r="AB8" s="4" t="s">
        <v>332</v>
      </c>
      <c r="AC8" s="4" t="s">
        <v>333</v>
      </c>
      <c r="AD8" s="4" t="s">
        <v>334</v>
      </c>
      <c r="AE8" s="4" t="s">
        <v>335</v>
      </c>
      <c r="AF8" s="4">
        <v>0</v>
      </c>
      <c r="AG8" s="4" t="s">
        <v>336</v>
      </c>
      <c r="AH8" s="4" t="s">
        <v>337</v>
      </c>
      <c r="AI8" s="4" t="s">
        <v>338</v>
      </c>
      <c r="AJ8" s="4" t="s">
        <v>339</v>
      </c>
      <c r="AK8" s="4" t="s">
        <v>340</v>
      </c>
      <c r="AL8" s="4"/>
      <c r="AM8" s="4">
        <v>397</v>
      </c>
      <c r="AN8" s="4" t="s">
        <v>322</v>
      </c>
      <c r="AO8" s="4" t="s">
        <v>341</v>
      </c>
      <c r="AP8" s="4" t="s">
        <v>342</v>
      </c>
      <c r="AQ8" s="4" t="s">
        <v>343</v>
      </c>
      <c r="AR8" s="4"/>
      <c r="AS8" s="4" t="s">
        <v>344</v>
      </c>
      <c r="AT8" s="4" t="s">
        <v>262</v>
      </c>
      <c r="AU8" s="8" t="s">
        <v>122</v>
      </c>
      <c r="AV8" s="8">
        <v>5</v>
      </c>
      <c r="AW8" s="8" t="s">
        <v>345</v>
      </c>
      <c r="AX8" s="8" t="s">
        <v>118</v>
      </c>
      <c r="AY8" s="8" t="s">
        <v>346</v>
      </c>
      <c r="AZ8" s="8" t="s">
        <v>173</v>
      </c>
      <c r="BA8" s="8">
        <v>3</v>
      </c>
      <c r="BB8" s="8" t="s">
        <v>118</v>
      </c>
      <c r="BC8" s="8" t="s">
        <v>347</v>
      </c>
      <c r="BD8" s="8" t="s">
        <v>348</v>
      </c>
      <c r="BE8" s="8" t="s">
        <v>349</v>
      </c>
      <c r="BF8" s="8" t="s">
        <v>350</v>
      </c>
      <c r="BG8" s="8" t="s">
        <v>172</v>
      </c>
      <c r="BH8" s="8" t="s">
        <v>351</v>
      </c>
      <c r="BI8" s="8" t="s">
        <v>352</v>
      </c>
      <c r="BJ8" s="4" t="s">
        <v>183</v>
      </c>
      <c r="BK8" s="4" t="s">
        <v>282</v>
      </c>
      <c r="BL8" s="4" t="s">
        <v>124</v>
      </c>
      <c r="BM8" s="4" t="s">
        <v>163</v>
      </c>
      <c r="BN8" s="4">
        <v>1</v>
      </c>
      <c r="BO8" s="4" t="s">
        <v>127</v>
      </c>
      <c r="BP8" s="4" t="s">
        <v>230</v>
      </c>
      <c r="BQ8" s="4" t="s">
        <v>353</v>
      </c>
      <c r="BR8" s="4" t="s">
        <v>354</v>
      </c>
      <c r="BS8" s="4" t="s">
        <v>355</v>
      </c>
      <c r="BT8" s="4" t="s">
        <v>356</v>
      </c>
      <c r="BU8" s="4" t="s">
        <v>357</v>
      </c>
      <c r="BV8" s="4" t="s">
        <v>358</v>
      </c>
      <c r="BW8" s="4" t="s">
        <v>359</v>
      </c>
      <c r="BX8" s="4" t="s">
        <v>306</v>
      </c>
    </row>
    <row r="9" spans="1:76" x14ac:dyDescent="0.25">
      <c r="A9" s="4" t="s">
        <v>360</v>
      </c>
      <c r="B9" s="4">
        <v>31</v>
      </c>
      <c r="C9" s="4">
        <v>0</v>
      </c>
      <c r="D9" s="4">
        <v>1</v>
      </c>
      <c r="E9" s="4">
        <v>8</v>
      </c>
      <c r="F9" s="4">
        <v>8</v>
      </c>
      <c r="G9" s="5">
        <v>0</v>
      </c>
      <c r="H9" s="5">
        <v>0</v>
      </c>
      <c r="I9" s="5">
        <v>2</v>
      </c>
      <c r="J9" s="5">
        <f>2*8/100</f>
        <v>0.16</v>
      </c>
      <c r="K9" s="5" t="s">
        <v>361</v>
      </c>
      <c r="L9" s="5">
        <f>64.5*8/100</f>
        <v>5.16</v>
      </c>
      <c r="M9" s="5" t="s">
        <v>362</v>
      </c>
      <c r="N9" s="5">
        <f>8.1*8/100</f>
        <v>0.64800000000000002</v>
      </c>
      <c r="O9" s="5" t="s">
        <v>363</v>
      </c>
      <c r="P9" s="5">
        <f>25.4*8/100</f>
        <v>2.032</v>
      </c>
      <c r="Q9" s="4" t="s">
        <v>77</v>
      </c>
      <c r="R9" s="4">
        <f>14000/200</f>
        <v>70</v>
      </c>
      <c r="S9" s="4">
        <f>5900/200</f>
        <v>29.5</v>
      </c>
      <c r="T9" s="4" t="s">
        <v>364</v>
      </c>
      <c r="U9" s="4" t="s">
        <v>365</v>
      </c>
      <c r="V9" s="4">
        <f>2.29*8</f>
        <v>18.32</v>
      </c>
      <c r="W9" s="4">
        <v>59</v>
      </c>
      <c r="X9" s="4" t="s">
        <v>366</v>
      </c>
      <c r="Y9" s="5" t="s">
        <v>257</v>
      </c>
      <c r="Z9" s="4" t="s">
        <v>367</v>
      </c>
      <c r="AA9" s="4" t="s">
        <v>368</v>
      </c>
      <c r="AB9" s="4" t="s">
        <v>369</v>
      </c>
      <c r="AC9" s="4" t="s">
        <v>370</v>
      </c>
      <c r="AD9" s="4" t="s">
        <v>371</v>
      </c>
      <c r="AE9" s="4" t="s">
        <v>372</v>
      </c>
      <c r="AF9" s="4" t="s">
        <v>373</v>
      </c>
      <c r="AG9" s="4" t="s">
        <v>374</v>
      </c>
      <c r="AH9" s="4" t="s">
        <v>375</v>
      </c>
      <c r="AI9" s="4" t="s">
        <v>376</v>
      </c>
      <c r="AJ9" s="4" t="s">
        <v>377</v>
      </c>
      <c r="AK9" s="4">
        <v>6136</v>
      </c>
      <c r="AL9" s="4" t="s">
        <v>378</v>
      </c>
      <c r="AM9" s="4" t="s">
        <v>379</v>
      </c>
      <c r="AN9" s="4" t="s">
        <v>380</v>
      </c>
      <c r="AO9" s="4" t="s">
        <v>381</v>
      </c>
      <c r="AP9" s="4" t="s">
        <v>382</v>
      </c>
      <c r="AQ9" s="4" t="s">
        <v>383</v>
      </c>
      <c r="AR9" s="4" t="s">
        <v>343</v>
      </c>
      <c r="AS9" s="4" t="s">
        <v>384</v>
      </c>
      <c r="AT9" s="4" t="s">
        <v>385</v>
      </c>
      <c r="AU9" s="4" t="s">
        <v>122</v>
      </c>
      <c r="AV9" s="4" t="s">
        <v>322</v>
      </c>
      <c r="AW9" s="4" t="s">
        <v>386</v>
      </c>
      <c r="AX9" s="4" t="s">
        <v>348</v>
      </c>
      <c r="AY9" s="4" t="s">
        <v>300</v>
      </c>
      <c r="AZ9" s="4" t="s">
        <v>146</v>
      </c>
      <c r="BA9" s="4" t="s">
        <v>346</v>
      </c>
      <c r="BB9" s="4" t="s">
        <v>387</v>
      </c>
      <c r="BC9" s="4" t="s">
        <v>388</v>
      </c>
      <c r="BD9" s="4" t="s">
        <v>157</v>
      </c>
      <c r="BE9" s="4" t="s">
        <v>389</v>
      </c>
      <c r="BF9" s="4" t="s">
        <v>390</v>
      </c>
      <c r="BG9" s="4" t="s">
        <v>391</v>
      </c>
      <c r="BH9" s="4" t="s">
        <v>392</v>
      </c>
      <c r="BI9" s="4" t="s">
        <v>393</v>
      </c>
      <c r="BJ9" s="4" t="s">
        <v>342</v>
      </c>
      <c r="BK9" s="4" t="s">
        <v>106</v>
      </c>
      <c r="BL9" s="4" t="s">
        <v>394</v>
      </c>
      <c r="BM9" s="4" t="s">
        <v>219</v>
      </c>
      <c r="BN9" s="4" t="s">
        <v>231</v>
      </c>
      <c r="BO9" s="4" t="s">
        <v>127</v>
      </c>
      <c r="BP9" s="4" t="s">
        <v>395</v>
      </c>
      <c r="BQ9" s="4" t="s">
        <v>396</v>
      </c>
      <c r="BR9" s="4" t="s">
        <v>397</v>
      </c>
      <c r="BS9" s="4" t="s">
        <v>398</v>
      </c>
      <c r="BT9" s="4" t="s">
        <v>399</v>
      </c>
      <c r="BU9" s="4" t="s">
        <v>400</v>
      </c>
      <c r="BV9" s="4" t="s">
        <v>401</v>
      </c>
      <c r="BW9" s="4" t="s">
        <v>402</v>
      </c>
      <c r="BX9" s="4" t="s">
        <v>101</v>
      </c>
    </row>
    <row r="10" spans="1:76" x14ac:dyDescent="0.25">
      <c r="A10" s="4" t="s">
        <v>403</v>
      </c>
      <c r="B10" s="4">
        <v>38</v>
      </c>
      <c r="C10" s="4">
        <v>0</v>
      </c>
      <c r="D10" s="4">
        <v>1</v>
      </c>
      <c r="E10" s="4">
        <v>4</v>
      </c>
      <c r="F10" s="4" t="s">
        <v>404</v>
      </c>
      <c r="G10" s="5" t="s">
        <v>342</v>
      </c>
      <c r="H10" s="5">
        <f>1.3*7.35/100</f>
        <v>9.5549999999999996E-2</v>
      </c>
      <c r="I10" s="5" t="s">
        <v>342</v>
      </c>
      <c r="J10" s="5">
        <f>1.3*7.35/100</f>
        <v>9.5549999999999996E-2</v>
      </c>
      <c r="K10" s="5" t="s">
        <v>405</v>
      </c>
      <c r="L10" s="5">
        <f>68.4*7.35/100</f>
        <v>5.0274000000000001</v>
      </c>
      <c r="M10" s="5">
        <v>6</v>
      </c>
      <c r="N10" s="5">
        <f>6*7.35/100</f>
        <v>0.44099999999999995</v>
      </c>
      <c r="O10" s="5">
        <v>23</v>
      </c>
      <c r="P10" s="5">
        <f>23*7.35/100</f>
        <v>1.6904999999999999</v>
      </c>
      <c r="Q10" s="4">
        <v>1</v>
      </c>
      <c r="R10" s="4">
        <f>10000/200</f>
        <v>50</v>
      </c>
      <c r="S10" s="4">
        <f>9800/200</f>
        <v>49</v>
      </c>
      <c r="T10" s="4" t="s">
        <v>406</v>
      </c>
      <c r="U10" s="4" t="s">
        <v>407</v>
      </c>
      <c r="V10" s="4">
        <f>2.48*7.35</f>
        <v>18.227999999999998</v>
      </c>
      <c r="W10" s="4" t="s">
        <v>408</v>
      </c>
      <c r="X10" s="4" t="s">
        <v>409</v>
      </c>
      <c r="Y10" s="5" t="s">
        <v>410</v>
      </c>
      <c r="Z10" s="4">
        <v>26</v>
      </c>
      <c r="AA10" s="4" t="s">
        <v>123</v>
      </c>
      <c r="AB10" s="4" t="s">
        <v>411</v>
      </c>
      <c r="AC10" s="4" t="s">
        <v>412</v>
      </c>
      <c r="AD10" s="4" t="s">
        <v>413</v>
      </c>
      <c r="AE10" s="4" t="s">
        <v>414</v>
      </c>
      <c r="AF10" s="4">
        <v>67</v>
      </c>
      <c r="AG10" s="4" t="s">
        <v>415</v>
      </c>
      <c r="AH10" s="4" t="s">
        <v>416</v>
      </c>
      <c r="AI10" s="4" t="s">
        <v>417</v>
      </c>
      <c r="AJ10" s="4" t="s">
        <v>418</v>
      </c>
      <c r="AK10" s="4" t="s">
        <v>419</v>
      </c>
      <c r="AL10" s="4"/>
      <c r="AM10" s="4">
        <v>363</v>
      </c>
      <c r="AN10" s="4" t="s">
        <v>320</v>
      </c>
      <c r="AO10" s="4" t="s">
        <v>420</v>
      </c>
      <c r="AP10" s="4" t="s">
        <v>421</v>
      </c>
      <c r="AQ10" s="4" t="s">
        <v>422</v>
      </c>
      <c r="AR10" s="4"/>
      <c r="AS10" s="4" t="s">
        <v>423</v>
      </c>
      <c r="AT10" s="4" t="s">
        <v>85</v>
      </c>
      <c r="AU10" s="4" t="s">
        <v>300</v>
      </c>
      <c r="AV10" s="4" t="s">
        <v>424</v>
      </c>
      <c r="AW10" s="4" t="s">
        <v>425</v>
      </c>
      <c r="AX10" s="4" t="s">
        <v>426</v>
      </c>
      <c r="AY10" s="4" t="s">
        <v>427</v>
      </c>
      <c r="AZ10" s="4" t="s">
        <v>77</v>
      </c>
      <c r="BA10" s="4" t="s">
        <v>243</v>
      </c>
      <c r="BB10" s="4" t="s">
        <v>428</v>
      </c>
      <c r="BC10" s="4" t="s">
        <v>429</v>
      </c>
      <c r="BD10" s="4">
        <v>21</v>
      </c>
      <c r="BE10" s="4" t="s">
        <v>430</v>
      </c>
      <c r="BF10" s="4" t="s">
        <v>431</v>
      </c>
      <c r="BG10" s="4" t="s">
        <v>305</v>
      </c>
      <c r="BH10" s="4" t="s">
        <v>432</v>
      </c>
      <c r="BI10" s="4" t="s">
        <v>433</v>
      </c>
      <c r="BJ10" s="4" t="s">
        <v>182</v>
      </c>
      <c r="BK10" s="4" t="s">
        <v>434</v>
      </c>
      <c r="BL10" s="4" t="s">
        <v>435</v>
      </c>
      <c r="BM10" s="4" t="s">
        <v>118</v>
      </c>
      <c r="BN10" s="4" t="s">
        <v>183</v>
      </c>
      <c r="BO10" s="4" t="s">
        <v>127</v>
      </c>
      <c r="BP10" s="4" t="s">
        <v>182</v>
      </c>
      <c r="BQ10" s="4">
        <v>18</v>
      </c>
      <c r="BR10" s="4">
        <v>131</v>
      </c>
      <c r="BS10" s="4" t="s">
        <v>436</v>
      </c>
      <c r="BT10" s="4" t="s">
        <v>407</v>
      </c>
      <c r="BU10" s="4">
        <v>41</v>
      </c>
      <c r="BV10" s="4" t="s">
        <v>437</v>
      </c>
      <c r="BW10" s="4" t="s">
        <v>438</v>
      </c>
      <c r="BX10" s="4" t="s">
        <v>439</v>
      </c>
    </row>
    <row r="11" spans="1:76" x14ac:dyDescent="0.25">
      <c r="A11" s="4" t="s">
        <v>440</v>
      </c>
      <c r="B11" s="4">
        <v>37</v>
      </c>
      <c r="C11" s="4">
        <v>0</v>
      </c>
      <c r="D11" s="4">
        <v>1</v>
      </c>
      <c r="E11" s="4">
        <v>6</v>
      </c>
      <c r="F11" s="4" t="s">
        <v>80</v>
      </c>
      <c r="G11" s="5" t="s">
        <v>342</v>
      </c>
      <c r="H11" s="5">
        <f>1.3*8.7/100</f>
        <v>0.11309999999999999</v>
      </c>
      <c r="I11" s="5" t="s">
        <v>234</v>
      </c>
      <c r="J11" s="5">
        <f>1.8*8.7/100</f>
        <v>0.15659999999999999</v>
      </c>
      <c r="K11" s="5" t="s">
        <v>441</v>
      </c>
      <c r="L11" s="5">
        <f>63.7*8.7/100</f>
        <v>5.5418999999999992</v>
      </c>
      <c r="M11" s="5" t="s">
        <v>442</v>
      </c>
      <c r="N11" s="5">
        <f>6.6*8.7/100</f>
        <v>0.57419999999999993</v>
      </c>
      <c r="O11" s="5" t="s">
        <v>443</v>
      </c>
      <c r="P11" s="5">
        <f>26.6*8.7/100</f>
        <v>2.3142</v>
      </c>
      <c r="Q11" s="4" t="s">
        <v>77</v>
      </c>
      <c r="R11" s="4">
        <f>1000/200</f>
        <v>5</v>
      </c>
      <c r="S11" s="4">
        <f>18900/200</f>
        <v>94.5</v>
      </c>
      <c r="T11" s="4" t="s">
        <v>444</v>
      </c>
      <c r="U11" s="4" t="s">
        <v>198</v>
      </c>
      <c r="V11" s="4">
        <f>2.94*8.7</f>
        <v>25.577999999999996</v>
      </c>
      <c r="W11" s="4"/>
      <c r="X11" s="4"/>
      <c r="Y11" s="5" t="s">
        <v>445</v>
      </c>
      <c r="Z11" s="4">
        <v>0</v>
      </c>
      <c r="AA11" s="4" t="s">
        <v>446</v>
      </c>
      <c r="AB11" s="4" t="s">
        <v>447</v>
      </c>
      <c r="AC11" s="4" t="s">
        <v>448</v>
      </c>
      <c r="AD11" s="4" t="s">
        <v>449</v>
      </c>
      <c r="AE11" s="4" t="s">
        <v>450</v>
      </c>
      <c r="AF11" s="4">
        <v>0</v>
      </c>
      <c r="AG11" s="4" t="s">
        <v>451</v>
      </c>
      <c r="AH11" s="4" t="s">
        <v>452</v>
      </c>
      <c r="AI11" s="4" t="s">
        <v>453</v>
      </c>
      <c r="AJ11" s="4" t="s">
        <v>454</v>
      </c>
      <c r="AK11" s="4">
        <v>11691</v>
      </c>
      <c r="AL11" s="4" t="s">
        <v>254</v>
      </c>
      <c r="AM11" s="4" t="s">
        <v>455</v>
      </c>
      <c r="AN11" s="4" t="s">
        <v>396</v>
      </c>
      <c r="AO11" s="4" t="s">
        <v>456</v>
      </c>
      <c r="AP11" s="4" t="s">
        <v>457</v>
      </c>
      <c r="AQ11" s="4" t="s">
        <v>458</v>
      </c>
      <c r="AR11" s="4" t="s">
        <v>421</v>
      </c>
      <c r="AS11" s="4" t="s">
        <v>459</v>
      </c>
      <c r="AT11" s="4" t="s">
        <v>460</v>
      </c>
      <c r="AU11" s="4">
        <v>4</v>
      </c>
      <c r="AV11" s="4" t="s">
        <v>461</v>
      </c>
      <c r="AW11" s="4" t="s">
        <v>386</v>
      </c>
      <c r="AX11" s="4" t="s">
        <v>462</v>
      </c>
      <c r="AY11" s="4" t="s">
        <v>380</v>
      </c>
      <c r="AZ11" s="4" t="s">
        <v>146</v>
      </c>
      <c r="BA11" s="4" t="s">
        <v>138</v>
      </c>
      <c r="BB11" s="4" t="s">
        <v>171</v>
      </c>
      <c r="BC11" s="4" t="s">
        <v>463</v>
      </c>
      <c r="BD11" s="4" t="s">
        <v>464</v>
      </c>
      <c r="BE11" s="4" t="s">
        <v>216</v>
      </c>
      <c r="BF11" s="4" t="s">
        <v>329</v>
      </c>
      <c r="BG11" s="4" t="s">
        <v>465</v>
      </c>
      <c r="BH11" s="4" t="s">
        <v>466</v>
      </c>
      <c r="BI11" s="4" t="s">
        <v>467</v>
      </c>
      <c r="BJ11" s="4" t="s">
        <v>468</v>
      </c>
      <c r="BK11" s="4">
        <v>3</v>
      </c>
      <c r="BL11" s="4">
        <v>30</v>
      </c>
      <c r="BM11" s="4" t="s">
        <v>469</v>
      </c>
      <c r="BN11" s="4" t="s">
        <v>320</v>
      </c>
      <c r="BO11" s="4" t="s">
        <v>146</v>
      </c>
      <c r="BP11" s="4" t="s">
        <v>470</v>
      </c>
      <c r="BQ11" s="4" t="s">
        <v>471</v>
      </c>
      <c r="BR11" s="4" t="s">
        <v>472</v>
      </c>
      <c r="BS11" s="4" t="s">
        <v>473</v>
      </c>
      <c r="BT11" s="4" t="s">
        <v>250</v>
      </c>
      <c r="BU11" s="4" t="s">
        <v>474</v>
      </c>
      <c r="BV11" s="4" t="s">
        <v>468</v>
      </c>
      <c r="BW11" s="4" t="s">
        <v>475</v>
      </c>
      <c r="BX11" s="4" t="s">
        <v>476</v>
      </c>
    </row>
    <row r="12" spans="1:76" x14ac:dyDescent="0.25">
      <c r="A12" s="4" t="s">
        <v>477</v>
      </c>
      <c r="B12" s="4">
        <v>38</v>
      </c>
      <c r="C12" s="4">
        <v>0</v>
      </c>
      <c r="D12" s="4">
        <v>1</v>
      </c>
      <c r="E12" s="4">
        <v>1</v>
      </c>
      <c r="F12" s="4" t="s">
        <v>138</v>
      </c>
      <c r="G12" s="7">
        <v>2</v>
      </c>
      <c r="H12" s="7">
        <f>2*6.3/100</f>
        <v>0.126</v>
      </c>
      <c r="I12" s="7">
        <v>4</v>
      </c>
      <c r="J12" s="7">
        <f>4*6.3/100</f>
        <v>0.252</v>
      </c>
      <c r="K12" s="7">
        <f>7300/200</f>
        <v>36.5</v>
      </c>
      <c r="L12" s="7">
        <f>36.5*6.3/100</f>
        <v>2.2995000000000001</v>
      </c>
      <c r="M12" s="7">
        <f>1300/200</f>
        <v>6.5</v>
      </c>
      <c r="N12" s="7">
        <f>6.5*6.3/100</f>
        <v>0.40949999999999998</v>
      </c>
      <c r="O12" s="7">
        <f>10300/200</f>
        <v>51.5</v>
      </c>
      <c r="P12" s="7">
        <f>51.5*6.3/100</f>
        <v>3.2444999999999999</v>
      </c>
      <c r="Q12" s="4">
        <v>0</v>
      </c>
      <c r="R12" s="4">
        <v>42</v>
      </c>
      <c r="S12" s="4">
        <v>58</v>
      </c>
      <c r="T12" s="4" t="s">
        <v>478</v>
      </c>
      <c r="U12" s="4" t="s">
        <v>479</v>
      </c>
      <c r="V12" s="4" t="s">
        <v>480</v>
      </c>
      <c r="W12" s="4">
        <v>37</v>
      </c>
      <c r="X12" s="4" t="s">
        <v>481</v>
      </c>
      <c r="Y12" s="4" t="s">
        <v>86</v>
      </c>
      <c r="Z12" s="4" t="s">
        <v>482</v>
      </c>
      <c r="AA12" s="4" t="s">
        <v>483</v>
      </c>
      <c r="AB12" s="4" t="s">
        <v>484</v>
      </c>
      <c r="AC12" s="4" t="s">
        <v>485</v>
      </c>
      <c r="AD12" s="4" t="s">
        <v>486</v>
      </c>
      <c r="AE12" s="4" t="s">
        <v>487</v>
      </c>
      <c r="AF12" s="4" t="s">
        <v>488</v>
      </c>
      <c r="AG12" s="4">
        <v>317</v>
      </c>
      <c r="AH12" s="4" t="s">
        <v>489</v>
      </c>
      <c r="AI12" s="4" t="s">
        <v>287</v>
      </c>
      <c r="AJ12" s="4" t="s">
        <v>490</v>
      </c>
      <c r="AK12" s="4">
        <v>440</v>
      </c>
      <c r="AL12" s="4" t="s">
        <v>491</v>
      </c>
      <c r="AM12" s="4" t="s">
        <v>492</v>
      </c>
      <c r="AN12" s="4" t="s">
        <v>493</v>
      </c>
      <c r="AO12" s="4">
        <v>3625</v>
      </c>
      <c r="AP12" s="4" t="s">
        <v>494</v>
      </c>
      <c r="AQ12" s="4" t="s">
        <v>495</v>
      </c>
      <c r="AR12" s="4" t="s">
        <v>496</v>
      </c>
      <c r="AS12" s="4" t="s">
        <v>497</v>
      </c>
      <c r="AT12" s="4" t="s">
        <v>498</v>
      </c>
      <c r="AU12" s="4" t="s">
        <v>300</v>
      </c>
      <c r="AV12" s="4" t="s">
        <v>499</v>
      </c>
      <c r="AW12" s="4" t="s">
        <v>500</v>
      </c>
      <c r="AX12" s="4" t="s">
        <v>501</v>
      </c>
      <c r="AY12" s="4" t="s">
        <v>262</v>
      </c>
      <c r="AZ12" s="4" t="s">
        <v>424</v>
      </c>
      <c r="BA12" s="4" t="s">
        <v>461</v>
      </c>
      <c r="BB12" s="4" t="s">
        <v>502</v>
      </c>
      <c r="BC12" s="4" t="s">
        <v>503</v>
      </c>
      <c r="BD12" s="4" t="s">
        <v>504</v>
      </c>
      <c r="BE12" s="4" t="s">
        <v>505</v>
      </c>
      <c r="BF12" s="4" t="s">
        <v>506</v>
      </c>
      <c r="BG12" s="4" t="s">
        <v>300</v>
      </c>
      <c r="BH12" s="4" t="s">
        <v>507</v>
      </c>
      <c r="BI12" s="4" t="s">
        <v>508</v>
      </c>
      <c r="BJ12" s="4" t="s">
        <v>134</v>
      </c>
      <c r="BK12" s="4" t="s">
        <v>259</v>
      </c>
      <c r="BL12" s="4" t="s">
        <v>509</v>
      </c>
      <c r="BM12" s="4" t="s">
        <v>510</v>
      </c>
      <c r="BN12" s="4"/>
      <c r="BO12" s="4"/>
      <c r="BP12" s="4"/>
      <c r="BQ12" s="4" t="s">
        <v>511</v>
      </c>
      <c r="BR12" s="4" t="s">
        <v>512</v>
      </c>
      <c r="BS12" s="4" t="s">
        <v>509</v>
      </c>
      <c r="BT12" s="4" t="s">
        <v>513</v>
      </c>
      <c r="BU12" s="4" t="s">
        <v>514</v>
      </c>
      <c r="BV12" s="4" t="s">
        <v>122</v>
      </c>
      <c r="BW12" s="4" t="s">
        <v>515</v>
      </c>
      <c r="BX12" s="4">
        <v>65</v>
      </c>
    </row>
    <row r="13" spans="1:76" x14ac:dyDescent="0.25">
      <c r="A13" s="4" t="s">
        <v>516</v>
      </c>
      <c r="B13" s="4">
        <v>27</v>
      </c>
      <c r="C13" s="4">
        <v>0</v>
      </c>
      <c r="D13" s="4">
        <v>1</v>
      </c>
      <c r="E13" s="4">
        <v>8</v>
      </c>
      <c r="F13" s="4" t="s">
        <v>517</v>
      </c>
      <c r="G13" s="7">
        <v>1</v>
      </c>
      <c r="H13" s="7">
        <f>5.15/100</f>
        <v>5.1500000000000004E-2</v>
      </c>
      <c r="I13" s="7">
        <f>700/200</f>
        <v>3.5</v>
      </c>
      <c r="J13" s="7">
        <f>3.5*5.15/100</f>
        <v>0.18025000000000002</v>
      </c>
      <c r="K13" s="7">
        <f>11300/200</f>
        <v>56.5</v>
      </c>
      <c r="L13" s="7">
        <f>56.5*5.15/100</f>
        <v>2.9097500000000003</v>
      </c>
      <c r="M13" s="7">
        <f>1600/200</f>
        <v>8</v>
      </c>
      <c r="N13" s="7">
        <f>8*5.15/100</f>
        <v>0.41200000000000003</v>
      </c>
      <c r="O13" s="7">
        <f>6200/200</f>
        <v>31</v>
      </c>
      <c r="P13" s="7">
        <f>31*5.15/100</f>
        <v>1.5965</v>
      </c>
      <c r="Q13" s="4">
        <v>0</v>
      </c>
      <c r="R13" s="4">
        <v>38</v>
      </c>
      <c r="S13" s="4">
        <v>62</v>
      </c>
      <c r="T13" s="4" t="s">
        <v>452</v>
      </c>
      <c r="U13" s="4" t="s">
        <v>518</v>
      </c>
      <c r="V13" s="4" t="s">
        <v>519</v>
      </c>
      <c r="W13" s="4">
        <v>84</v>
      </c>
      <c r="X13" s="4" t="s">
        <v>520</v>
      </c>
      <c r="Y13" s="4" t="s">
        <v>521</v>
      </c>
      <c r="Z13" s="4" t="s">
        <v>522</v>
      </c>
      <c r="AA13" s="4" t="s">
        <v>523</v>
      </c>
      <c r="AB13" s="4" t="s">
        <v>524</v>
      </c>
      <c r="AC13" s="4" t="s">
        <v>525</v>
      </c>
      <c r="AD13" s="4" t="s">
        <v>526</v>
      </c>
      <c r="AE13" s="4" t="s">
        <v>527</v>
      </c>
      <c r="AF13" s="4">
        <v>31</v>
      </c>
      <c r="AG13" s="4" t="s">
        <v>528</v>
      </c>
      <c r="AH13" s="4" t="s">
        <v>529</v>
      </c>
      <c r="AI13" s="4" t="s">
        <v>530</v>
      </c>
      <c r="AJ13" s="4" t="s">
        <v>522</v>
      </c>
      <c r="AK13" s="4">
        <v>3324</v>
      </c>
      <c r="AL13" s="4" t="s">
        <v>211</v>
      </c>
      <c r="AM13" s="4" t="s">
        <v>531</v>
      </c>
      <c r="AN13" s="4" t="s">
        <v>280</v>
      </c>
      <c r="AO13" s="4" t="s">
        <v>344</v>
      </c>
      <c r="AP13" s="4" t="s">
        <v>532</v>
      </c>
      <c r="AQ13" s="4" t="s">
        <v>533</v>
      </c>
      <c r="AR13" s="4" t="s">
        <v>534</v>
      </c>
      <c r="AS13" s="4" t="s">
        <v>535</v>
      </c>
      <c r="AT13" s="4" t="s">
        <v>274</v>
      </c>
      <c r="AU13" s="4" t="s">
        <v>126</v>
      </c>
      <c r="AV13" s="4" t="s">
        <v>265</v>
      </c>
      <c r="AW13" s="4">
        <v>33</v>
      </c>
      <c r="AX13" s="4" t="s">
        <v>387</v>
      </c>
      <c r="AY13" s="4" t="s">
        <v>536</v>
      </c>
      <c r="AZ13" s="4" t="s">
        <v>169</v>
      </c>
      <c r="BA13" s="4" t="s">
        <v>537</v>
      </c>
      <c r="BB13" s="4" t="s">
        <v>147</v>
      </c>
      <c r="BC13" s="4" t="s">
        <v>538</v>
      </c>
      <c r="BD13" s="4" t="s">
        <v>184</v>
      </c>
      <c r="BE13" s="4" t="s">
        <v>539</v>
      </c>
      <c r="BF13" s="4" t="s">
        <v>540</v>
      </c>
      <c r="BG13" s="4" t="s">
        <v>320</v>
      </c>
      <c r="BH13" s="4" t="s">
        <v>541</v>
      </c>
      <c r="BI13" s="4" t="s">
        <v>542</v>
      </c>
      <c r="BJ13" s="4" t="s">
        <v>468</v>
      </c>
      <c r="BK13" s="4" t="s">
        <v>122</v>
      </c>
      <c r="BL13" s="4" t="s">
        <v>543</v>
      </c>
      <c r="BM13" s="4" t="s">
        <v>544</v>
      </c>
      <c r="BN13" s="4"/>
      <c r="BO13" s="4"/>
      <c r="BP13" s="4"/>
      <c r="BQ13" s="4" t="s">
        <v>76</v>
      </c>
      <c r="BR13" s="4" t="s">
        <v>545</v>
      </c>
      <c r="BS13" s="4" t="s">
        <v>546</v>
      </c>
      <c r="BT13" s="4" t="s">
        <v>247</v>
      </c>
      <c r="BU13" s="4" t="s">
        <v>547</v>
      </c>
      <c r="BV13" s="4" t="s">
        <v>243</v>
      </c>
      <c r="BW13" s="4" t="s">
        <v>392</v>
      </c>
      <c r="BX13" s="4" t="s">
        <v>548</v>
      </c>
    </row>
    <row r="14" spans="1:76" x14ac:dyDescent="0.25">
      <c r="A14" s="4" t="s">
        <v>549</v>
      </c>
      <c r="B14" s="4">
        <v>29</v>
      </c>
      <c r="C14" s="4">
        <v>0</v>
      </c>
      <c r="D14" s="4">
        <v>1</v>
      </c>
      <c r="E14" s="4">
        <v>6</v>
      </c>
      <c r="F14" s="4" t="s">
        <v>102</v>
      </c>
      <c r="G14" s="7" t="s">
        <v>281</v>
      </c>
      <c r="H14" s="7">
        <f>10.7*1.4/100</f>
        <v>0.14979999999999999</v>
      </c>
      <c r="I14" s="7" t="s">
        <v>320</v>
      </c>
      <c r="J14" s="7">
        <f>10.7*4.3/100</f>
        <v>0.46009999999999995</v>
      </c>
      <c r="K14" s="7" t="s">
        <v>550</v>
      </c>
      <c r="L14" s="7">
        <f>72.3*10.7/100</f>
        <v>7.7360999999999986</v>
      </c>
      <c r="M14" s="7" t="s">
        <v>242</v>
      </c>
      <c r="N14" s="7">
        <f>6.2*10.7/100</f>
        <v>0.66339999999999999</v>
      </c>
      <c r="O14" s="7" t="s">
        <v>551</v>
      </c>
      <c r="P14" s="7">
        <f>15.8*10.7/100</f>
        <v>1.6906000000000001</v>
      </c>
      <c r="Q14" s="4" t="s">
        <v>265</v>
      </c>
      <c r="R14" s="4">
        <v>34</v>
      </c>
      <c r="S14" s="4" t="s">
        <v>552</v>
      </c>
      <c r="T14" s="4" t="s">
        <v>553</v>
      </c>
      <c r="U14" s="4" t="s">
        <v>554</v>
      </c>
      <c r="V14" s="4" t="s">
        <v>555</v>
      </c>
      <c r="W14" s="4"/>
      <c r="X14" s="4"/>
      <c r="Y14" s="4" t="s">
        <v>556</v>
      </c>
      <c r="Z14" s="4" t="s">
        <v>557</v>
      </c>
      <c r="AA14" s="4" t="s">
        <v>558</v>
      </c>
      <c r="AB14" s="4" t="s">
        <v>332</v>
      </c>
      <c r="AC14" s="4" t="s">
        <v>559</v>
      </c>
      <c r="AD14" s="4" t="s">
        <v>560</v>
      </c>
      <c r="AE14" s="4" t="s">
        <v>561</v>
      </c>
      <c r="AF14" s="4" t="s">
        <v>562</v>
      </c>
      <c r="AG14" s="4" t="s">
        <v>563</v>
      </c>
      <c r="AH14" s="4" t="s">
        <v>564</v>
      </c>
      <c r="AI14" s="4" t="s">
        <v>565</v>
      </c>
      <c r="AJ14" s="4" t="s">
        <v>566</v>
      </c>
      <c r="AK14" s="4" t="s">
        <v>567</v>
      </c>
      <c r="AL14" s="4" t="s">
        <v>211</v>
      </c>
      <c r="AM14" s="4" t="s">
        <v>568</v>
      </c>
      <c r="AN14" s="4">
        <v>6</v>
      </c>
      <c r="AO14" s="4" t="s">
        <v>531</v>
      </c>
      <c r="AP14" s="4" t="s">
        <v>569</v>
      </c>
      <c r="AQ14" s="4" t="s">
        <v>570</v>
      </c>
      <c r="AR14" s="4">
        <v>2</v>
      </c>
      <c r="AS14" s="4" t="s">
        <v>571</v>
      </c>
      <c r="AT14" s="4" t="s">
        <v>460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</row>
    <row r="15" spans="1:76" x14ac:dyDescent="0.25">
      <c r="A15" s="4" t="s">
        <v>572</v>
      </c>
      <c r="B15" s="4">
        <v>41</v>
      </c>
      <c r="C15" s="4">
        <v>0</v>
      </c>
      <c r="D15" s="4">
        <v>1</v>
      </c>
      <c r="E15" s="4">
        <v>5</v>
      </c>
      <c r="F15" s="4" t="s">
        <v>573</v>
      </c>
      <c r="G15" s="7">
        <v>0</v>
      </c>
      <c r="H15" s="7">
        <v>0</v>
      </c>
      <c r="I15" s="7">
        <f>400/200</f>
        <v>2</v>
      </c>
      <c r="J15" s="7">
        <f>2*10.15/100</f>
        <v>0.20300000000000001</v>
      </c>
      <c r="K15" s="7">
        <f>12900/200</f>
        <v>64.5</v>
      </c>
      <c r="L15" s="7">
        <f>64.5*10.15/100</f>
        <v>6.5467500000000003</v>
      </c>
      <c r="M15" s="7">
        <f>300/200</f>
        <v>1.5</v>
      </c>
      <c r="N15" s="7">
        <f>1.5*10.15/100</f>
        <v>0.15225000000000002</v>
      </c>
      <c r="O15" s="7">
        <f>6600/200</f>
        <v>33</v>
      </c>
      <c r="P15" s="7">
        <f>33*10.15/100</f>
        <v>3.3494999999999999</v>
      </c>
      <c r="Q15" s="4">
        <v>3</v>
      </c>
      <c r="R15" s="4" t="s">
        <v>574</v>
      </c>
      <c r="S15" s="4" t="s">
        <v>575</v>
      </c>
      <c r="T15" s="4" t="s">
        <v>576</v>
      </c>
      <c r="U15" s="4" t="s">
        <v>577</v>
      </c>
      <c r="V15" s="4" t="s">
        <v>578</v>
      </c>
      <c r="W15" s="4" t="s">
        <v>579</v>
      </c>
      <c r="X15" s="4" t="s">
        <v>580</v>
      </c>
      <c r="Y15" s="4" t="s">
        <v>581</v>
      </c>
      <c r="Z15" s="4">
        <v>0</v>
      </c>
      <c r="AA15" s="4" t="s">
        <v>525</v>
      </c>
      <c r="AB15" s="4" t="s">
        <v>89</v>
      </c>
      <c r="AC15" s="4" t="s">
        <v>211</v>
      </c>
      <c r="AD15" s="4" t="s">
        <v>582</v>
      </c>
      <c r="AE15" s="4">
        <v>22</v>
      </c>
      <c r="AF15" s="4">
        <v>0</v>
      </c>
      <c r="AG15" s="4" t="s">
        <v>583</v>
      </c>
      <c r="AH15" s="4" t="s">
        <v>584</v>
      </c>
      <c r="AI15" s="4" t="s">
        <v>448</v>
      </c>
      <c r="AJ15" s="4" t="s">
        <v>585</v>
      </c>
      <c r="AK15" s="4">
        <v>728</v>
      </c>
      <c r="AL15" s="4" t="s">
        <v>254</v>
      </c>
      <c r="AM15" s="4">
        <v>311</v>
      </c>
      <c r="AN15" s="4" t="s">
        <v>97</v>
      </c>
      <c r="AO15" s="4" t="s">
        <v>586</v>
      </c>
      <c r="AP15" s="4" t="s">
        <v>587</v>
      </c>
      <c r="AQ15" s="4" t="s">
        <v>588</v>
      </c>
      <c r="AR15" s="4" t="s">
        <v>277</v>
      </c>
      <c r="AS15" s="4">
        <v>297</v>
      </c>
      <c r="AT15" s="4" t="s">
        <v>245</v>
      </c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</row>
    <row r="16" spans="1:76" x14ac:dyDescent="0.25">
      <c r="A16" s="4" t="s">
        <v>589</v>
      </c>
      <c r="B16" s="4">
        <v>27</v>
      </c>
      <c r="C16" s="4">
        <v>0</v>
      </c>
      <c r="D16" s="4">
        <v>1</v>
      </c>
      <c r="E16" s="4">
        <v>6</v>
      </c>
      <c r="F16" s="4" t="s">
        <v>590</v>
      </c>
      <c r="G16" s="7">
        <f>300/200</f>
        <v>1.5</v>
      </c>
      <c r="H16" s="7">
        <f>1.5*7.1/100</f>
        <v>0.10649999999999998</v>
      </c>
      <c r="I16" s="7">
        <f>800/200</f>
        <v>4</v>
      </c>
      <c r="J16" s="7">
        <f>4*7.1/100</f>
        <v>0.28399999999999997</v>
      </c>
      <c r="K16" s="7">
        <f>10700/200</f>
        <v>53.5</v>
      </c>
      <c r="L16" s="7">
        <f>53.5*7.1/100</f>
        <v>3.7984999999999998</v>
      </c>
      <c r="M16" s="7">
        <f>1.5</f>
        <v>1.5</v>
      </c>
      <c r="N16" s="7">
        <f>1.5*7.1/100</f>
        <v>0.10649999999999998</v>
      </c>
      <c r="O16" s="7">
        <f>7900/200</f>
        <v>39.5</v>
      </c>
      <c r="P16" s="7">
        <f>39.4*7.1/100</f>
        <v>2.7973999999999997</v>
      </c>
      <c r="Q16" s="4" t="s">
        <v>575</v>
      </c>
      <c r="R16" s="4">
        <v>69</v>
      </c>
      <c r="S16" s="4" t="s">
        <v>591</v>
      </c>
      <c r="T16" s="4" t="s">
        <v>592</v>
      </c>
      <c r="U16" s="4" t="s">
        <v>593</v>
      </c>
      <c r="V16" s="4" t="s">
        <v>594</v>
      </c>
      <c r="W16" s="4" t="s">
        <v>500</v>
      </c>
      <c r="X16" s="4" t="s">
        <v>580</v>
      </c>
      <c r="Y16" s="4" t="s">
        <v>445</v>
      </c>
      <c r="Z16" s="4">
        <v>348</v>
      </c>
      <c r="AA16" s="4" t="s">
        <v>595</v>
      </c>
      <c r="AB16" s="4" t="s">
        <v>596</v>
      </c>
      <c r="AC16" s="4" t="s">
        <v>597</v>
      </c>
      <c r="AD16" s="4" t="s">
        <v>598</v>
      </c>
      <c r="AE16" s="4" t="s">
        <v>599</v>
      </c>
      <c r="AF16" s="4" t="s">
        <v>599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</row>
    <row r="17" spans="1:76" x14ac:dyDescent="0.25">
      <c r="A17" s="4" t="s">
        <v>600</v>
      </c>
      <c r="B17" s="4">
        <v>30</v>
      </c>
      <c r="C17" s="4">
        <v>0</v>
      </c>
      <c r="D17" s="4">
        <v>1</v>
      </c>
      <c r="E17" s="4">
        <v>2</v>
      </c>
      <c r="F17" s="4" t="s">
        <v>526</v>
      </c>
      <c r="G17" s="7" t="s">
        <v>77</v>
      </c>
      <c r="H17" s="7">
        <f>0.5*7.5/200</f>
        <v>1.8749999999999999E-2</v>
      </c>
      <c r="I17" s="7">
        <f>900/200</f>
        <v>4.5</v>
      </c>
      <c r="J17" s="7">
        <f>4.5*7.5/100</f>
        <v>0.33750000000000002</v>
      </c>
      <c r="K17" s="7">
        <f>11200/200</f>
        <v>56</v>
      </c>
      <c r="L17" s="7">
        <f>56*7.5/100</f>
        <v>4.2</v>
      </c>
      <c r="M17" s="7">
        <f>1100/200</f>
        <v>5.5</v>
      </c>
      <c r="N17" s="7">
        <f>5.5*7.5/100</f>
        <v>0.41249999999999998</v>
      </c>
      <c r="O17" s="7">
        <f>67*100/200</f>
        <v>33.5</v>
      </c>
      <c r="P17" s="7">
        <f>33.5*7.5/100</f>
        <v>2.5125000000000002</v>
      </c>
      <c r="Q17" s="4" t="s">
        <v>77</v>
      </c>
      <c r="R17" s="4" t="s">
        <v>601</v>
      </c>
      <c r="S17" s="4">
        <v>68</v>
      </c>
      <c r="T17" s="4" t="s">
        <v>602</v>
      </c>
      <c r="U17" s="4" t="s">
        <v>603</v>
      </c>
      <c r="V17" s="4" t="s">
        <v>604</v>
      </c>
      <c r="W17" s="4">
        <v>52</v>
      </c>
      <c r="X17" s="4" t="s">
        <v>130</v>
      </c>
      <c r="Y17" s="4">
        <v>1</v>
      </c>
      <c r="Z17" s="4" t="s">
        <v>605</v>
      </c>
      <c r="AA17" s="4" t="s">
        <v>523</v>
      </c>
      <c r="AB17" s="4" t="s">
        <v>606</v>
      </c>
      <c r="AC17" s="4" t="s">
        <v>234</v>
      </c>
      <c r="AD17" s="4">
        <v>11</v>
      </c>
      <c r="AE17" s="4" t="s">
        <v>607</v>
      </c>
      <c r="AF17" s="4">
        <v>134</v>
      </c>
      <c r="AG17" s="4">
        <v>785</v>
      </c>
      <c r="AH17" s="4" t="s">
        <v>608</v>
      </c>
      <c r="AI17" s="4" t="s">
        <v>609</v>
      </c>
      <c r="AJ17" s="4" t="s">
        <v>610</v>
      </c>
      <c r="AK17" s="4">
        <v>352</v>
      </c>
      <c r="AL17" s="4" t="s">
        <v>490</v>
      </c>
      <c r="AM17" s="4">
        <v>311</v>
      </c>
      <c r="AN17" s="4" t="s">
        <v>362</v>
      </c>
      <c r="AO17" s="4" t="s">
        <v>611</v>
      </c>
      <c r="AP17" s="4" t="s">
        <v>434</v>
      </c>
      <c r="AQ17" s="4" t="s">
        <v>243</v>
      </c>
      <c r="AR17" s="4" t="s">
        <v>612</v>
      </c>
      <c r="AS17" s="4">
        <v>365</v>
      </c>
      <c r="AT17" s="4" t="s">
        <v>613</v>
      </c>
      <c r="AU17" s="4" t="s">
        <v>300</v>
      </c>
      <c r="AV17" s="4" t="s">
        <v>235</v>
      </c>
      <c r="AW17" s="4" t="s">
        <v>614</v>
      </c>
      <c r="AX17" s="4" t="s">
        <v>615</v>
      </c>
      <c r="AY17" s="4" t="s">
        <v>125</v>
      </c>
      <c r="AZ17" s="4" t="s">
        <v>230</v>
      </c>
      <c r="BA17" s="4" t="s">
        <v>174</v>
      </c>
      <c r="BB17" s="4" t="s">
        <v>616</v>
      </c>
      <c r="BC17" s="4" t="s">
        <v>617</v>
      </c>
      <c r="BD17" s="4" t="s">
        <v>339</v>
      </c>
      <c r="BE17" s="4" t="s">
        <v>157</v>
      </c>
      <c r="BF17" s="4" t="s">
        <v>618</v>
      </c>
      <c r="BG17" s="4" t="s">
        <v>471</v>
      </c>
      <c r="BH17" s="4" t="s">
        <v>619</v>
      </c>
      <c r="BI17" s="4" t="s">
        <v>620</v>
      </c>
      <c r="BJ17" s="4" t="s">
        <v>470</v>
      </c>
      <c r="BK17" s="4" t="s">
        <v>621</v>
      </c>
      <c r="BL17" s="4" t="s">
        <v>622</v>
      </c>
      <c r="BM17" s="4" t="s">
        <v>468</v>
      </c>
      <c r="BN17" s="4"/>
      <c r="BO17" s="4"/>
      <c r="BP17" s="4"/>
      <c r="BQ17" s="4" t="s">
        <v>219</v>
      </c>
      <c r="BR17" s="4" t="s">
        <v>623</v>
      </c>
      <c r="BS17" s="4" t="s">
        <v>622</v>
      </c>
      <c r="BT17" s="4">
        <v>3</v>
      </c>
      <c r="BU17" s="4"/>
      <c r="BV17" s="4" t="s">
        <v>300</v>
      </c>
      <c r="BW17" s="4" t="s">
        <v>624</v>
      </c>
      <c r="BX17" s="4"/>
    </row>
    <row r="18" spans="1:76" x14ac:dyDescent="0.25">
      <c r="A18" s="4" t="s">
        <v>625</v>
      </c>
      <c r="B18" s="4">
        <v>32</v>
      </c>
      <c r="C18" s="4">
        <v>0</v>
      </c>
      <c r="D18" s="4">
        <v>1</v>
      </c>
      <c r="E18" s="4">
        <v>9</v>
      </c>
      <c r="F18" s="4" t="s">
        <v>194</v>
      </c>
      <c r="G18" s="7">
        <f>200/200</f>
        <v>1</v>
      </c>
      <c r="H18" s="7">
        <f>9.95/100</f>
        <v>9.9499999999999991E-2</v>
      </c>
      <c r="I18" s="7">
        <f>500/200</f>
        <v>2.5</v>
      </c>
      <c r="J18" s="7">
        <f>2.5*9.95/100</f>
        <v>0.24875</v>
      </c>
      <c r="K18" s="7">
        <f>11000/200</f>
        <v>55</v>
      </c>
      <c r="L18" s="7">
        <f>55*9.95/100</f>
        <v>5.4725000000000001</v>
      </c>
      <c r="M18" s="7">
        <f>1700/200</f>
        <v>8.5</v>
      </c>
      <c r="N18" s="7">
        <f>8.5*9.95/100</f>
        <v>0.84574999999999989</v>
      </c>
      <c r="O18" s="7">
        <f>6500/200</f>
        <v>32.5</v>
      </c>
      <c r="P18" s="7">
        <f>32.5*9.95/100</f>
        <v>3.2337500000000001</v>
      </c>
      <c r="Q18" s="4" t="s">
        <v>77</v>
      </c>
      <c r="R18" s="4" t="s">
        <v>626</v>
      </c>
      <c r="S18" s="4">
        <v>84</v>
      </c>
      <c r="T18" s="4" t="s">
        <v>498</v>
      </c>
      <c r="U18" s="4" t="s">
        <v>250</v>
      </c>
      <c r="V18" s="4" t="s">
        <v>627</v>
      </c>
      <c r="W18" s="4">
        <v>94</v>
      </c>
      <c r="X18" s="4" t="s">
        <v>628</v>
      </c>
      <c r="Y18" s="4" t="s">
        <v>378</v>
      </c>
      <c r="Z18" s="4" t="s">
        <v>629</v>
      </c>
      <c r="AA18" s="4" t="s">
        <v>630</v>
      </c>
      <c r="AB18" s="4" t="s">
        <v>606</v>
      </c>
      <c r="AC18" s="4" t="s">
        <v>202</v>
      </c>
      <c r="AD18" s="4" t="s">
        <v>631</v>
      </c>
      <c r="AE18" s="4" t="s">
        <v>376</v>
      </c>
      <c r="AF18" s="4" t="s">
        <v>632</v>
      </c>
      <c r="AG18" s="4" t="s">
        <v>633</v>
      </c>
      <c r="AH18" s="4" t="s">
        <v>634</v>
      </c>
      <c r="AI18" s="4" t="s">
        <v>90</v>
      </c>
      <c r="AJ18" s="4" t="s">
        <v>635</v>
      </c>
      <c r="AK18" s="4">
        <v>2100</v>
      </c>
      <c r="AL18" s="4" t="s">
        <v>421</v>
      </c>
      <c r="AM18" s="4" t="s">
        <v>636</v>
      </c>
      <c r="AN18" s="4" t="s">
        <v>590</v>
      </c>
      <c r="AO18" s="4" t="s">
        <v>637</v>
      </c>
      <c r="AP18" s="4" t="s">
        <v>638</v>
      </c>
      <c r="AQ18" s="4" t="s">
        <v>89</v>
      </c>
      <c r="AR18" s="4" t="s">
        <v>639</v>
      </c>
      <c r="AS18" s="4">
        <v>411</v>
      </c>
      <c r="AT18" s="4" t="s">
        <v>104</v>
      </c>
      <c r="AU18" s="4" t="s">
        <v>172</v>
      </c>
      <c r="AV18" s="4" t="s">
        <v>465</v>
      </c>
      <c r="AW18" s="4" t="s">
        <v>640</v>
      </c>
      <c r="AX18" s="4" t="s">
        <v>551</v>
      </c>
      <c r="AY18" s="4" t="s">
        <v>461</v>
      </c>
      <c r="AZ18" s="4" t="s">
        <v>424</v>
      </c>
      <c r="BA18" s="4" t="s">
        <v>259</v>
      </c>
      <c r="BB18" s="4" t="s">
        <v>641</v>
      </c>
      <c r="BC18" s="4" t="s">
        <v>642</v>
      </c>
      <c r="BD18" s="4" t="s">
        <v>643</v>
      </c>
      <c r="BE18" s="4" t="s">
        <v>644</v>
      </c>
      <c r="BF18" s="4" t="s">
        <v>645</v>
      </c>
      <c r="BG18" s="4" t="s">
        <v>243</v>
      </c>
      <c r="BH18" s="4" t="s">
        <v>646</v>
      </c>
      <c r="BI18" s="4" t="s">
        <v>647</v>
      </c>
      <c r="BJ18" s="4" t="s">
        <v>123</v>
      </c>
      <c r="BK18" s="4" t="s">
        <v>398</v>
      </c>
      <c r="BL18" s="4" t="s">
        <v>648</v>
      </c>
      <c r="BM18" s="4" t="s">
        <v>320</v>
      </c>
      <c r="BN18" s="4"/>
      <c r="BO18" s="4"/>
      <c r="BP18" s="4"/>
      <c r="BQ18" s="4" t="s">
        <v>649</v>
      </c>
      <c r="BR18" s="4">
        <v>178</v>
      </c>
      <c r="BS18" s="4" t="s">
        <v>650</v>
      </c>
      <c r="BT18" s="4" t="s">
        <v>651</v>
      </c>
      <c r="BU18" s="4" t="s">
        <v>652</v>
      </c>
      <c r="BV18" s="4" t="s">
        <v>122</v>
      </c>
      <c r="BW18" s="4" t="s">
        <v>653</v>
      </c>
      <c r="BX18" s="4" t="s">
        <v>654</v>
      </c>
    </row>
    <row r="19" spans="1:76" x14ac:dyDescent="0.25">
      <c r="A19" s="4" t="s">
        <v>655</v>
      </c>
      <c r="B19" s="4">
        <v>40</v>
      </c>
      <c r="C19" s="4">
        <v>0</v>
      </c>
      <c r="D19" s="4">
        <v>1</v>
      </c>
      <c r="E19" s="4">
        <v>4</v>
      </c>
      <c r="F19" s="4" t="s">
        <v>656</v>
      </c>
      <c r="G19" s="7">
        <v>0</v>
      </c>
      <c r="H19" s="7">
        <v>0</v>
      </c>
      <c r="I19" s="7">
        <f>900/200</f>
        <v>4.5</v>
      </c>
      <c r="J19" s="7">
        <f>4.5*7.65/100</f>
        <v>0.34425000000000006</v>
      </c>
      <c r="K19" s="7">
        <f>14300/200</f>
        <v>71.5</v>
      </c>
      <c r="L19" s="7">
        <f>71.5*7.65/100</f>
        <v>5.4697500000000003</v>
      </c>
      <c r="M19" s="7">
        <f>800/200</f>
        <v>4</v>
      </c>
      <c r="N19" s="7">
        <f>4*7.65/100</f>
        <v>0.30599999999999999</v>
      </c>
      <c r="O19" s="7">
        <f>4000/200</f>
        <v>20</v>
      </c>
      <c r="P19" s="7">
        <f>20*7.65/100</f>
        <v>1.53</v>
      </c>
      <c r="Q19" s="4">
        <v>5</v>
      </c>
      <c r="R19" s="4" t="s">
        <v>101</v>
      </c>
      <c r="S19" s="4" t="s">
        <v>101</v>
      </c>
      <c r="T19" s="4" t="s">
        <v>657</v>
      </c>
      <c r="U19" s="4" t="s">
        <v>658</v>
      </c>
      <c r="V19" s="4" t="s">
        <v>659</v>
      </c>
      <c r="W19" s="4">
        <v>80</v>
      </c>
      <c r="X19" s="4" t="s">
        <v>205</v>
      </c>
      <c r="Y19" s="4" t="s">
        <v>660</v>
      </c>
      <c r="Z19" s="4">
        <v>0</v>
      </c>
      <c r="AA19" s="4" t="s">
        <v>644</v>
      </c>
      <c r="AB19" s="4" t="s">
        <v>661</v>
      </c>
      <c r="AC19" s="4" t="s">
        <v>174</v>
      </c>
      <c r="AD19" s="4">
        <v>19</v>
      </c>
      <c r="AE19" s="4">
        <v>5</v>
      </c>
      <c r="AF19" s="4">
        <v>0</v>
      </c>
      <c r="AG19" s="4" t="s">
        <v>662</v>
      </c>
      <c r="AH19" s="4" t="s">
        <v>609</v>
      </c>
      <c r="AI19" s="4" t="s">
        <v>580</v>
      </c>
      <c r="AJ19" s="4" t="s">
        <v>663</v>
      </c>
      <c r="AK19" s="4">
        <v>1499</v>
      </c>
      <c r="AL19" s="4" t="s">
        <v>261</v>
      </c>
      <c r="AM19" s="4">
        <v>511</v>
      </c>
      <c r="AN19" s="4" t="s">
        <v>274</v>
      </c>
      <c r="AO19" s="4">
        <v>1311</v>
      </c>
      <c r="AP19" s="4" t="s">
        <v>664</v>
      </c>
      <c r="AQ19" s="4" t="s">
        <v>369</v>
      </c>
      <c r="AR19" s="4" t="s">
        <v>664</v>
      </c>
      <c r="AS19" s="4">
        <v>634</v>
      </c>
      <c r="AT19" s="4" t="s">
        <v>665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76" x14ac:dyDescent="0.25">
      <c r="A20" s="4" t="s">
        <v>666</v>
      </c>
      <c r="B20" s="4">
        <v>35</v>
      </c>
      <c r="C20" s="4">
        <v>0</v>
      </c>
      <c r="D20" s="4">
        <v>1</v>
      </c>
      <c r="E20" s="4">
        <v>8</v>
      </c>
      <c r="F20" s="4" t="s">
        <v>667</v>
      </c>
      <c r="G20" s="7">
        <v>0</v>
      </c>
      <c r="H20" s="7">
        <v>0</v>
      </c>
      <c r="I20" s="7">
        <f>6*100/200</f>
        <v>3</v>
      </c>
      <c r="J20" s="7">
        <f>10.3*3/100</f>
        <v>0.309</v>
      </c>
      <c r="K20" s="7">
        <f>10800/200</f>
        <v>54</v>
      </c>
      <c r="L20" s="7">
        <f>10.3*54/100</f>
        <v>5.5620000000000003</v>
      </c>
      <c r="M20" s="7">
        <f>1000/200</f>
        <v>5</v>
      </c>
      <c r="N20" s="7">
        <f>10.3*5/100</f>
        <v>0.51500000000000001</v>
      </c>
      <c r="O20" s="7">
        <f>7600/200</f>
        <v>38</v>
      </c>
      <c r="P20" s="7">
        <f>10.3*38/100</f>
        <v>3.9140000000000001</v>
      </c>
      <c r="Q20" s="4">
        <v>0</v>
      </c>
      <c r="R20" s="4" t="s">
        <v>100</v>
      </c>
      <c r="S20" s="4" t="s">
        <v>574</v>
      </c>
      <c r="T20" s="4" t="s">
        <v>668</v>
      </c>
      <c r="U20" s="4" t="s">
        <v>669</v>
      </c>
      <c r="V20" s="4" t="s">
        <v>670</v>
      </c>
      <c r="W20" s="4">
        <v>96</v>
      </c>
      <c r="X20" s="4" t="s">
        <v>671</v>
      </c>
      <c r="Y20" s="4" t="s">
        <v>445</v>
      </c>
      <c r="Z20" s="4">
        <v>0</v>
      </c>
      <c r="AA20" s="4" t="s">
        <v>672</v>
      </c>
      <c r="AB20" s="4" t="s">
        <v>169</v>
      </c>
      <c r="AC20" s="4" t="s">
        <v>273</v>
      </c>
      <c r="AD20" s="4" t="s">
        <v>274</v>
      </c>
      <c r="AE20" s="4" t="s">
        <v>175</v>
      </c>
      <c r="AF20" s="4">
        <v>0</v>
      </c>
      <c r="AG20" s="4" t="s">
        <v>673</v>
      </c>
      <c r="AH20" s="4" t="s">
        <v>674</v>
      </c>
      <c r="AI20" s="4" t="s">
        <v>675</v>
      </c>
      <c r="AJ20" s="4" t="s">
        <v>676</v>
      </c>
      <c r="AK20" s="4">
        <v>39760</v>
      </c>
      <c r="AL20" s="4" t="s">
        <v>378</v>
      </c>
      <c r="AM20" s="4" t="s">
        <v>677</v>
      </c>
      <c r="AN20" s="4" t="s">
        <v>678</v>
      </c>
      <c r="AO20" s="4" t="s">
        <v>679</v>
      </c>
      <c r="AP20" s="4" t="s">
        <v>680</v>
      </c>
      <c r="AQ20" s="4" t="s">
        <v>681</v>
      </c>
      <c r="AR20" s="4" t="s">
        <v>484</v>
      </c>
      <c r="AS20" s="4" t="s">
        <v>682</v>
      </c>
      <c r="AT20" s="4" t="s">
        <v>683</v>
      </c>
      <c r="AU20" s="4" t="s">
        <v>470</v>
      </c>
      <c r="AV20" s="4" t="s">
        <v>684</v>
      </c>
      <c r="AW20" s="4" t="s">
        <v>685</v>
      </c>
      <c r="AX20" s="4" t="s">
        <v>686</v>
      </c>
      <c r="AY20" s="4"/>
      <c r="AZ20" s="4"/>
      <c r="BA20" s="4"/>
      <c r="BB20" s="4" t="s">
        <v>687</v>
      </c>
      <c r="BC20" s="4" t="s">
        <v>688</v>
      </c>
      <c r="BD20" s="4" t="s">
        <v>689</v>
      </c>
      <c r="BE20" s="4" t="s">
        <v>690</v>
      </c>
      <c r="BF20" s="4"/>
      <c r="BG20" s="4" t="s">
        <v>183</v>
      </c>
      <c r="BH20" s="4" t="s">
        <v>691</v>
      </c>
      <c r="BI20" s="4"/>
      <c r="BJ20" s="4" t="s">
        <v>468</v>
      </c>
      <c r="BK20" s="4" t="s">
        <v>320</v>
      </c>
      <c r="BL20" s="4" t="s">
        <v>692</v>
      </c>
      <c r="BM20" s="4" t="s">
        <v>104</v>
      </c>
      <c r="BN20" s="4"/>
      <c r="BO20" s="4"/>
      <c r="BP20" s="4"/>
      <c r="BQ20" s="4" t="s">
        <v>80</v>
      </c>
      <c r="BR20" s="4" t="s">
        <v>240</v>
      </c>
      <c r="BS20" s="4" t="s">
        <v>693</v>
      </c>
      <c r="BT20" s="4" t="s">
        <v>694</v>
      </c>
      <c r="BU20" s="4" t="s">
        <v>695</v>
      </c>
      <c r="BV20" s="4">
        <v>3</v>
      </c>
      <c r="BW20" s="4">
        <v>139</v>
      </c>
      <c r="BX20" s="4" t="s">
        <v>696</v>
      </c>
    </row>
    <row r="21" spans="1:76" x14ac:dyDescent="0.25">
      <c r="A21" s="4" t="s">
        <v>697</v>
      </c>
      <c r="B21" s="4">
        <v>40</v>
      </c>
      <c r="C21" s="4">
        <v>0</v>
      </c>
      <c r="D21" s="4">
        <v>1</v>
      </c>
      <c r="E21" s="4">
        <v>6</v>
      </c>
      <c r="F21" s="4" t="s">
        <v>698</v>
      </c>
      <c r="G21" s="7" t="s">
        <v>424</v>
      </c>
      <c r="H21" s="7">
        <f>0.9*7.4/100</f>
        <v>6.6600000000000006E-2</v>
      </c>
      <c r="I21" s="7" t="s">
        <v>396</v>
      </c>
      <c r="J21" s="7">
        <f>7.4*5.8/100</f>
        <v>0.42920000000000003</v>
      </c>
      <c r="K21" s="7" t="s">
        <v>699</v>
      </c>
      <c r="L21" s="7">
        <f>7.4*46.8/100</f>
        <v>3.4632000000000001</v>
      </c>
      <c r="M21" s="7" t="s">
        <v>700</v>
      </c>
      <c r="N21" s="7">
        <f>7.4*4.8/100</f>
        <v>0.35520000000000002</v>
      </c>
      <c r="O21" s="7" t="s">
        <v>701</v>
      </c>
      <c r="P21" s="7">
        <f>41.7*7.4/100</f>
        <v>3.0858000000000003</v>
      </c>
      <c r="Q21" s="4">
        <v>0</v>
      </c>
      <c r="R21" s="4" t="s">
        <v>147</v>
      </c>
      <c r="S21" s="4" t="s">
        <v>702</v>
      </c>
      <c r="T21" s="4" t="s">
        <v>635</v>
      </c>
      <c r="U21" s="4" t="s">
        <v>130</v>
      </c>
      <c r="V21" s="4" t="s">
        <v>703</v>
      </c>
      <c r="W21" s="4">
        <v>72</v>
      </c>
      <c r="X21" s="4" t="s">
        <v>159</v>
      </c>
      <c r="Y21" s="4" t="s">
        <v>200</v>
      </c>
      <c r="Z21" s="4" t="s">
        <v>704</v>
      </c>
      <c r="AA21" s="4" t="s">
        <v>705</v>
      </c>
      <c r="AB21" s="4" t="s">
        <v>556</v>
      </c>
      <c r="AC21" s="4" t="s">
        <v>482</v>
      </c>
      <c r="AD21" s="4" t="s">
        <v>706</v>
      </c>
      <c r="AE21" s="4" t="s">
        <v>707</v>
      </c>
      <c r="AF21" s="4" t="s">
        <v>708</v>
      </c>
      <c r="AG21" s="4" t="s">
        <v>709</v>
      </c>
      <c r="AH21" s="4" t="s">
        <v>656</v>
      </c>
      <c r="AI21" s="4" t="s">
        <v>710</v>
      </c>
      <c r="AJ21" s="4" t="s">
        <v>711</v>
      </c>
      <c r="AK21" s="4">
        <v>1986</v>
      </c>
      <c r="AL21" s="4" t="s">
        <v>153</v>
      </c>
      <c r="AM21" s="4" t="s">
        <v>712</v>
      </c>
      <c r="AN21" s="4" t="s">
        <v>391</v>
      </c>
      <c r="AO21" s="4" t="s">
        <v>713</v>
      </c>
      <c r="AP21" s="4" t="s">
        <v>714</v>
      </c>
      <c r="AQ21" s="4" t="s">
        <v>343</v>
      </c>
      <c r="AR21" s="4" t="s">
        <v>370</v>
      </c>
      <c r="AS21" s="4" t="s">
        <v>715</v>
      </c>
      <c r="AT21" s="4" t="s">
        <v>716</v>
      </c>
      <c r="AU21" s="4" t="s">
        <v>174</v>
      </c>
      <c r="AV21" s="4" t="s">
        <v>243</v>
      </c>
      <c r="AW21" s="4" t="s">
        <v>717</v>
      </c>
      <c r="AX21" s="4" t="s">
        <v>544</v>
      </c>
      <c r="AY21" s="4" t="s">
        <v>536</v>
      </c>
      <c r="AZ21" s="4" t="s">
        <v>424</v>
      </c>
      <c r="BA21" s="4" t="s">
        <v>320</v>
      </c>
      <c r="BB21" s="4" t="s">
        <v>718</v>
      </c>
      <c r="BC21" s="4" t="s">
        <v>719</v>
      </c>
      <c r="BD21" s="4" t="s">
        <v>720</v>
      </c>
      <c r="BE21" s="4" t="s">
        <v>580</v>
      </c>
      <c r="BF21" s="4">
        <v>76</v>
      </c>
      <c r="BG21" s="4" t="s">
        <v>430</v>
      </c>
      <c r="BH21" s="4" t="s">
        <v>721</v>
      </c>
      <c r="BI21" s="4" t="s">
        <v>722</v>
      </c>
      <c r="BJ21" s="4" t="s">
        <v>183</v>
      </c>
      <c r="BK21" s="4" t="s">
        <v>395</v>
      </c>
      <c r="BL21" s="4" t="s">
        <v>723</v>
      </c>
      <c r="BM21" s="4">
        <v>9</v>
      </c>
      <c r="BN21" s="4"/>
      <c r="BO21" s="4"/>
      <c r="BP21" s="4"/>
      <c r="BQ21" s="4" t="s">
        <v>461</v>
      </c>
      <c r="BR21" s="4">
        <v>192</v>
      </c>
      <c r="BS21" s="4" t="s">
        <v>723</v>
      </c>
      <c r="BT21" s="4" t="s">
        <v>724</v>
      </c>
      <c r="BU21" s="4" t="s">
        <v>725</v>
      </c>
      <c r="BV21" s="4" t="s">
        <v>122</v>
      </c>
      <c r="BW21" s="4" t="s">
        <v>726</v>
      </c>
      <c r="BX21" s="4" t="s">
        <v>579</v>
      </c>
    </row>
    <row r="22" spans="1:76" x14ac:dyDescent="0.25">
      <c r="A22" s="4" t="s">
        <v>727</v>
      </c>
      <c r="B22" s="4">
        <v>30</v>
      </c>
      <c r="C22" s="4">
        <v>0</v>
      </c>
      <c r="D22" s="4">
        <v>1</v>
      </c>
      <c r="E22" s="4">
        <v>2</v>
      </c>
      <c r="F22" s="4" t="s">
        <v>380</v>
      </c>
      <c r="G22" s="7" t="s">
        <v>273</v>
      </c>
      <c r="H22" s="7">
        <f>1.5*6.7/100</f>
        <v>0.10050000000000001</v>
      </c>
      <c r="I22" s="7">
        <f>500/200</f>
        <v>2.5</v>
      </c>
      <c r="J22" s="7">
        <f>2.5*6.7/100</f>
        <v>0.16750000000000001</v>
      </c>
      <c r="K22" s="7">
        <f>10800/200</f>
        <v>54</v>
      </c>
      <c r="L22" s="7">
        <f>54*6.7/100</f>
        <v>3.6180000000000003</v>
      </c>
      <c r="M22" s="7">
        <v>1</v>
      </c>
      <c r="N22" s="7">
        <f>6.7/100</f>
        <v>6.7000000000000004E-2</v>
      </c>
      <c r="O22" s="7">
        <f>8200/200</f>
        <v>41</v>
      </c>
      <c r="P22" s="7">
        <f>41*6.7/100</f>
        <v>2.7469999999999999</v>
      </c>
      <c r="Q22" s="4">
        <v>4</v>
      </c>
      <c r="R22" s="4">
        <v>73</v>
      </c>
      <c r="S22" s="4">
        <v>23</v>
      </c>
      <c r="T22" s="4" t="s">
        <v>728</v>
      </c>
      <c r="U22" s="4" t="s">
        <v>729</v>
      </c>
      <c r="V22" s="4" t="s">
        <v>730</v>
      </c>
      <c r="W22" s="4" t="s">
        <v>731</v>
      </c>
      <c r="X22" s="4" t="s">
        <v>532</v>
      </c>
      <c r="Y22" s="4" t="s">
        <v>556</v>
      </c>
      <c r="Z22" s="4" t="s">
        <v>732</v>
      </c>
      <c r="AA22" s="4" t="s">
        <v>733</v>
      </c>
      <c r="AB22" s="4" t="s">
        <v>734</v>
      </c>
      <c r="AC22" s="4" t="s">
        <v>733</v>
      </c>
      <c r="AD22" s="4" t="s">
        <v>735</v>
      </c>
      <c r="AE22" s="4">
        <v>41</v>
      </c>
      <c r="AF22" s="4" t="s">
        <v>736</v>
      </c>
      <c r="AG22" s="4" t="s">
        <v>737</v>
      </c>
      <c r="AH22" s="4" t="s">
        <v>81</v>
      </c>
      <c r="AI22" s="4" t="s">
        <v>343</v>
      </c>
      <c r="AJ22" s="4" t="s">
        <v>738</v>
      </c>
      <c r="AK22" s="4">
        <v>5804</v>
      </c>
      <c r="AL22" s="4" t="s">
        <v>739</v>
      </c>
      <c r="AM22" s="4" t="s">
        <v>740</v>
      </c>
      <c r="AN22" s="4" t="s">
        <v>362</v>
      </c>
      <c r="AO22" s="4"/>
      <c r="AP22" s="4"/>
      <c r="AQ22" s="4"/>
      <c r="AR22" s="4"/>
      <c r="AS22" s="4"/>
      <c r="AT22" s="4"/>
      <c r="AU22" s="4" t="s">
        <v>471</v>
      </c>
      <c r="AV22" s="4" t="s">
        <v>157</v>
      </c>
      <c r="AW22" s="4" t="s">
        <v>741</v>
      </c>
      <c r="AX22" s="4" t="s">
        <v>284</v>
      </c>
      <c r="AY22" s="4" t="s">
        <v>222</v>
      </c>
      <c r="AZ22" s="4" t="s">
        <v>424</v>
      </c>
      <c r="BA22" s="4" t="s">
        <v>138</v>
      </c>
      <c r="BB22" s="4" t="s">
        <v>742</v>
      </c>
      <c r="BC22" s="4" t="s">
        <v>743</v>
      </c>
      <c r="BD22" s="4" t="s">
        <v>741</v>
      </c>
      <c r="BE22" s="4" t="s">
        <v>744</v>
      </c>
      <c r="BF22" s="4"/>
      <c r="BG22" s="4">
        <v>4</v>
      </c>
      <c r="BH22" s="4" t="s">
        <v>351</v>
      </c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</row>
    <row r="23" spans="1:76" x14ac:dyDescent="0.25">
      <c r="A23" s="4" t="s">
        <v>745</v>
      </c>
      <c r="B23" s="4">
        <v>41</v>
      </c>
      <c r="C23" s="4">
        <v>0</v>
      </c>
      <c r="D23" s="4">
        <v>1</v>
      </c>
      <c r="E23" s="4">
        <v>4</v>
      </c>
      <c r="F23" s="5" t="s">
        <v>746</v>
      </c>
      <c r="G23" s="7" t="s">
        <v>273</v>
      </c>
      <c r="H23" s="7">
        <f>7.15*1.5/100</f>
        <v>0.10725000000000001</v>
      </c>
      <c r="I23" s="7">
        <f>500/200</f>
        <v>2.5</v>
      </c>
      <c r="J23" s="7">
        <f>2.5*7.15/100</f>
        <v>0.17874999999999999</v>
      </c>
      <c r="K23" s="7">
        <f>10900/200</f>
        <v>54.5</v>
      </c>
      <c r="L23" s="7">
        <f>54.5*7.15/100</f>
        <v>3.8967499999999999</v>
      </c>
      <c r="M23" s="7">
        <f>1000/200</f>
        <v>5</v>
      </c>
      <c r="N23" s="7">
        <f>5*7.15/100</f>
        <v>0.35749999999999998</v>
      </c>
      <c r="O23" s="7">
        <f>7300/200</f>
        <v>36.5</v>
      </c>
      <c r="P23" s="7">
        <f>36.5*7.15/100</f>
        <v>2.60975</v>
      </c>
      <c r="Q23" s="4">
        <v>3</v>
      </c>
      <c r="R23" s="4" t="s">
        <v>747</v>
      </c>
      <c r="S23" s="4" t="s">
        <v>748</v>
      </c>
      <c r="T23" s="4" t="s">
        <v>749</v>
      </c>
      <c r="U23" s="4" t="s">
        <v>750</v>
      </c>
      <c r="V23" s="4" t="s">
        <v>748</v>
      </c>
      <c r="W23" s="4" t="s">
        <v>151</v>
      </c>
      <c r="X23" s="4" t="s">
        <v>751</v>
      </c>
      <c r="Y23" s="4">
        <v>1</v>
      </c>
      <c r="Z23" s="4" t="s">
        <v>752</v>
      </c>
      <c r="AA23" s="4" t="s">
        <v>484</v>
      </c>
      <c r="AB23" s="4" t="s">
        <v>753</v>
      </c>
      <c r="AC23" s="4" t="s">
        <v>523</v>
      </c>
      <c r="AD23" s="4" t="s">
        <v>274</v>
      </c>
      <c r="AE23" s="4" t="s">
        <v>259</v>
      </c>
      <c r="AF23" s="4" t="s">
        <v>754</v>
      </c>
      <c r="AG23" s="4" t="s">
        <v>755</v>
      </c>
      <c r="AH23" s="4" t="s">
        <v>756</v>
      </c>
      <c r="AI23" s="4" t="s">
        <v>757</v>
      </c>
      <c r="AJ23" s="4" t="s">
        <v>758</v>
      </c>
      <c r="AK23" s="4">
        <v>1233</v>
      </c>
      <c r="AL23" s="4" t="s">
        <v>491</v>
      </c>
      <c r="AM23" s="4">
        <v>311</v>
      </c>
      <c r="AN23" s="4" t="s">
        <v>222</v>
      </c>
      <c r="AO23" s="4"/>
      <c r="AP23" s="4" t="s">
        <v>759</v>
      </c>
      <c r="AQ23" s="4" t="s">
        <v>760</v>
      </c>
      <c r="AR23" s="4" t="s">
        <v>254</v>
      </c>
      <c r="AS23" s="4" t="s">
        <v>761</v>
      </c>
      <c r="AT23" s="4" t="s">
        <v>104</v>
      </c>
      <c r="AU23" s="4" t="s">
        <v>470</v>
      </c>
      <c r="AV23" s="4" t="s">
        <v>174</v>
      </c>
      <c r="AW23" s="4" t="s">
        <v>220</v>
      </c>
      <c r="AX23" s="4" t="s">
        <v>323</v>
      </c>
      <c r="AY23" s="4" t="s">
        <v>427</v>
      </c>
      <c r="AZ23" s="4" t="s">
        <v>424</v>
      </c>
      <c r="BA23" s="4" t="s">
        <v>282</v>
      </c>
      <c r="BB23" s="4">
        <v>10</v>
      </c>
      <c r="BC23" s="4" t="s">
        <v>762</v>
      </c>
      <c r="BD23" s="4" t="s">
        <v>632</v>
      </c>
      <c r="BE23" s="4" t="s">
        <v>669</v>
      </c>
      <c r="BF23" s="4">
        <v>98</v>
      </c>
      <c r="BG23" s="4" t="s">
        <v>174</v>
      </c>
      <c r="BH23" s="4" t="s">
        <v>475</v>
      </c>
      <c r="BI23" s="4" t="s">
        <v>763</v>
      </c>
      <c r="BJ23" s="4" t="s">
        <v>342</v>
      </c>
      <c r="BK23" s="4" t="s">
        <v>122</v>
      </c>
      <c r="BL23" s="4" t="s">
        <v>764</v>
      </c>
      <c r="BM23" s="4">
        <v>15</v>
      </c>
      <c r="BN23" s="4"/>
      <c r="BO23" s="4"/>
      <c r="BP23" s="4"/>
      <c r="BQ23" s="4" t="s">
        <v>222</v>
      </c>
      <c r="BR23" s="4" t="s">
        <v>765</v>
      </c>
      <c r="BS23" s="4" t="s">
        <v>766</v>
      </c>
      <c r="BT23" s="4" t="s">
        <v>767</v>
      </c>
      <c r="BU23" s="4" t="s">
        <v>768</v>
      </c>
      <c r="BV23" s="4" t="s">
        <v>320</v>
      </c>
      <c r="BW23" s="4" t="s">
        <v>769</v>
      </c>
      <c r="BX23" s="4" t="s">
        <v>770</v>
      </c>
    </row>
    <row r="24" spans="1:76" x14ac:dyDescent="0.25">
      <c r="A24" s="4" t="s">
        <v>771</v>
      </c>
      <c r="B24" s="4">
        <v>36</v>
      </c>
      <c r="C24" s="4">
        <v>0</v>
      </c>
      <c r="D24" s="4">
        <v>1</v>
      </c>
      <c r="E24" s="4">
        <v>2</v>
      </c>
      <c r="F24" s="4" t="s">
        <v>772</v>
      </c>
      <c r="G24" s="7" t="s">
        <v>77</v>
      </c>
      <c r="H24" s="7">
        <f>6.15*0.5/100</f>
        <v>3.0750000000000003E-2</v>
      </c>
      <c r="I24" s="7" t="s">
        <v>273</v>
      </c>
      <c r="J24" s="7">
        <f>1.5*6.15/100</f>
        <v>9.2250000000000013E-2</v>
      </c>
      <c r="K24" s="7">
        <f>11900/200</f>
        <v>59.5</v>
      </c>
      <c r="L24" s="7">
        <f>59.5*6.15/100</f>
        <v>3.6592500000000001</v>
      </c>
      <c r="M24" s="7">
        <f>1300/200</f>
        <v>6.5</v>
      </c>
      <c r="N24" s="7">
        <f>6.5*6.15/100</f>
        <v>0.39974999999999999</v>
      </c>
      <c r="O24" s="7">
        <f>6400/200</f>
        <v>32</v>
      </c>
      <c r="P24" s="7">
        <f>32*6.15/100</f>
        <v>1.9680000000000002</v>
      </c>
      <c r="Q24" s="4">
        <v>5</v>
      </c>
      <c r="R24" s="4" t="s">
        <v>773</v>
      </c>
      <c r="S24" s="4" t="s">
        <v>81</v>
      </c>
      <c r="T24" s="4" t="s">
        <v>774</v>
      </c>
      <c r="U24" s="4" t="s">
        <v>775</v>
      </c>
      <c r="V24" s="4" t="s">
        <v>776</v>
      </c>
      <c r="W24" s="4">
        <v>99</v>
      </c>
      <c r="X24" s="4" t="s">
        <v>777</v>
      </c>
      <c r="Y24" s="4" t="s">
        <v>778</v>
      </c>
      <c r="Z24" s="4" t="s">
        <v>205</v>
      </c>
      <c r="AA24" s="4" t="s">
        <v>779</v>
      </c>
      <c r="AB24" s="4" t="s">
        <v>780</v>
      </c>
      <c r="AC24" s="4" t="s">
        <v>231</v>
      </c>
      <c r="AD24" s="4" t="s">
        <v>781</v>
      </c>
      <c r="AE24" s="4" t="s">
        <v>782</v>
      </c>
      <c r="AF24" s="4">
        <v>64</v>
      </c>
      <c r="AG24" s="4" t="s">
        <v>783</v>
      </c>
      <c r="AH24" s="4" t="s">
        <v>784</v>
      </c>
      <c r="AI24" s="4" t="s">
        <v>785</v>
      </c>
      <c r="AJ24" s="4" t="s">
        <v>389</v>
      </c>
      <c r="AK24" s="4">
        <v>2076</v>
      </c>
      <c r="AL24" s="4" t="s">
        <v>153</v>
      </c>
      <c r="AM24" s="4" t="s">
        <v>786</v>
      </c>
      <c r="AN24" s="4" t="s">
        <v>92</v>
      </c>
      <c r="AO24" s="4">
        <v>915</v>
      </c>
      <c r="AP24" s="4" t="s">
        <v>300</v>
      </c>
      <c r="AQ24" s="4" t="s">
        <v>787</v>
      </c>
      <c r="AR24" s="4" t="s">
        <v>788</v>
      </c>
      <c r="AS24" s="4" t="s">
        <v>789</v>
      </c>
      <c r="AT24" s="4" t="s">
        <v>498</v>
      </c>
      <c r="AU24" s="4" t="s">
        <v>282</v>
      </c>
      <c r="AV24" s="4" t="s">
        <v>275</v>
      </c>
      <c r="AW24" s="4" t="s">
        <v>790</v>
      </c>
      <c r="AX24" s="4" t="s">
        <v>791</v>
      </c>
      <c r="AY24" s="4" t="s">
        <v>78</v>
      </c>
      <c r="AZ24" s="4" t="s">
        <v>173</v>
      </c>
      <c r="BA24" s="4" t="s">
        <v>235</v>
      </c>
      <c r="BB24" s="4" t="s">
        <v>342</v>
      </c>
      <c r="BC24" s="4" t="s">
        <v>792</v>
      </c>
      <c r="BD24" s="4" t="s">
        <v>793</v>
      </c>
      <c r="BE24" s="4" t="s">
        <v>794</v>
      </c>
      <c r="BF24" s="4" t="s">
        <v>795</v>
      </c>
      <c r="BG24" s="4" t="s">
        <v>496</v>
      </c>
      <c r="BH24" s="4" t="s">
        <v>796</v>
      </c>
      <c r="BI24" s="4" t="s">
        <v>797</v>
      </c>
      <c r="BJ24" s="4" t="s">
        <v>430</v>
      </c>
      <c r="BK24" s="4" t="s">
        <v>537</v>
      </c>
      <c r="BL24" s="4" t="s">
        <v>798</v>
      </c>
      <c r="BM24" s="4" t="s">
        <v>312</v>
      </c>
      <c r="BN24" s="4" t="s">
        <v>621</v>
      </c>
      <c r="BO24" s="4" t="s">
        <v>275</v>
      </c>
      <c r="BP24" s="4" t="s">
        <v>77</v>
      </c>
      <c r="BQ24" s="4">
        <v>6</v>
      </c>
      <c r="BR24" s="4" t="s">
        <v>799</v>
      </c>
      <c r="BS24" s="4" t="s">
        <v>355</v>
      </c>
      <c r="BT24" s="4" t="s">
        <v>800</v>
      </c>
      <c r="BU24" s="4" t="s">
        <v>801</v>
      </c>
      <c r="BV24" s="4" t="s">
        <v>802</v>
      </c>
      <c r="BW24" s="4" t="s">
        <v>803</v>
      </c>
      <c r="BX24" s="4" t="s">
        <v>640</v>
      </c>
    </row>
    <row r="25" spans="1:76" x14ac:dyDescent="0.25">
      <c r="A25" s="4" t="s">
        <v>804</v>
      </c>
      <c r="B25" s="4">
        <v>34</v>
      </c>
      <c r="C25" s="4">
        <v>0</v>
      </c>
      <c r="D25" s="4">
        <v>1</v>
      </c>
      <c r="E25" s="4">
        <v>9</v>
      </c>
      <c r="F25" s="4" t="s">
        <v>805</v>
      </c>
      <c r="G25" s="7" t="s">
        <v>273</v>
      </c>
      <c r="H25" s="7">
        <f>7.85*1.5/100</f>
        <v>0.11774999999999998</v>
      </c>
      <c r="I25" s="7">
        <v>3</v>
      </c>
      <c r="J25" s="7">
        <f>7.85*3/100</f>
        <v>0.23549999999999996</v>
      </c>
      <c r="K25" s="7">
        <v>46</v>
      </c>
      <c r="L25" s="7">
        <f>7.85*46/100</f>
        <v>3.6109999999999998</v>
      </c>
      <c r="M25" s="7">
        <v>5</v>
      </c>
      <c r="N25" s="7">
        <f>7.85*5/100</f>
        <v>0.39250000000000002</v>
      </c>
      <c r="O25" s="7" t="s">
        <v>747</v>
      </c>
      <c r="P25" s="7">
        <f>7.85*44.5/100</f>
        <v>3.4932499999999997</v>
      </c>
      <c r="Q25" s="4">
        <v>0</v>
      </c>
      <c r="R25" s="4">
        <v>8</v>
      </c>
      <c r="S25" s="4">
        <v>92</v>
      </c>
      <c r="T25" s="4" t="s">
        <v>806</v>
      </c>
      <c r="U25" s="4" t="s">
        <v>724</v>
      </c>
      <c r="V25" s="4" t="s">
        <v>807</v>
      </c>
      <c r="W25" s="4" t="s">
        <v>361</v>
      </c>
      <c r="X25" s="4" t="s">
        <v>808</v>
      </c>
      <c r="Y25" s="4" t="s">
        <v>378</v>
      </c>
      <c r="Z25" s="4" t="s">
        <v>809</v>
      </c>
      <c r="AA25" s="4" t="s">
        <v>105</v>
      </c>
      <c r="AB25" s="4" t="s">
        <v>810</v>
      </c>
      <c r="AC25" s="4" t="s">
        <v>263</v>
      </c>
      <c r="AD25" s="4" t="s">
        <v>353</v>
      </c>
      <c r="AE25" s="4" t="s">
        <v>613</v>
      </c>
      <c r="AF25" s="4" t="s">
        <v>811</v>
      </c>
      <c r="AG25" s="4" t="s">
        <v>812</v>
      </c>
      <c r="AH25" s="4" t="s">
        <v>813</v>
      </c>
      <c r="AI25" s="4" t="s">
        <v>814</v>
      </c>
      <c r="AJ25" s="4">
        <v>11</v>
      </c>
      <c r="AK25" s="4">
        <v>3800</v>
      </c>
      <c r="AL25" s="4" t="s">
        <v>525</v>
      </c>
      <c r="AM25" s="4" t="s">
        <v>789</v>
      </c>
      <c r="AN25" s="4" t="s">
        <v>175</v>
      </c>
      <c r="AO25" s="4" t="s">
        <v>815</v>
      </c>
      <c r="AP25" s="4" t="s">
        <v>816</v>
      </c>
      <c r="AQ25" s="4" t="s">
        <v>421</v>
      </c>
      <c r="AR25" s="4" t="s">
        <v>421</v>
      </c>
      <c r="AS25" s="4" t="s">
        <v>817</v>
      </c>
      <c r="AT25" s="4" t="s">
        <v>818</v>
      </c>
      <c r="AU25" s="4" t="s">
        <v>300</v>
      </c>
      <c r="AV25" s="4" t="s">
        <v>322</v>
      </c>
      <c r="AW25" s="4" t="s">
        <v>819</v>
      </c>
      <c r="AX25" s="4" t="s">
        <v>820</v>
      </c>
      <c r="AY25" s="4" t="s">
        <v>590</v>
      </c>
      <c r="AZ25" s="4" t="s">
        <v>424</v>
      </c>
      <c r="BA25" s="4" t="s">
        <v>242</v>
      </c>
      <c r="BB25" s="4" t="s">
        <v>821</v>
      </c>
      <c r="BC25" s="4" t="s">
        <v>822</v>
      </c>
      <c r="BD25" s="4" t="s">
        <v>823</v>
      </c>
      <c r="BE25" s="4" t="s">
        <v>130</v>
      </c>
      <c r="BF25" s="4" t="s">
        <v>824</v>
      </c>
      <c r="BG25" s="4" t="s">
        <v>335</v>
      </c>
      <c r="BH25" s="4" t="s">
        <v>825</v>
      </c>
      <c r="BI25" s="4" t="s">
        <v>826</v>
      </c>
      <c r="BJ25" s="4" t="s">
        <v>157</v>
      </c>
      <c r="BK25" s="4" t="s">
        <v>85</v>
      </c>
      <c r="BL25" s="4" t="s">
        <v>601</v>
      </c>
      <c r="BM25" s="4">
        <v>14</v>
      </c>
      <c r="BN25" s="4" t="s">
        <v>134</v>
      </c>
      <c r="BO25" s="4" t="s">
        <v>127</v>
      </c>
      <c r="BP25" s="4">
        <v>1</v>
      </c>
      <c r="BQ25" s="4" t="s">
        <v>259</v>
      </c>
      <c r="BR25" s="4" t="s">
        <v>827</v>
      </c>
      <c r="BS25" s="4" t="s">
        <v>720</v>
      </c>
      <c r="BT25" s="4" t="s">
        <v>802</v>
      </c>
      <c r="BU25" s="4" t="s">
        <v>828</v>
      </c>
      <c r="BV25" s="4" t="s">
        <v>829</v>
      </c>
      <c r="BW25" s="4" t="s">
        <v>830</v>
      </c>
      <c r="BX25" s="4" t="s">
        <v>831</v>
      </c>
    </row>
    <row r="26" spans="1:76" x14ac:dyDescent="0.25">
      <c r="A26" s="4" t="s">
        <v>832</v>
      </c>
      <c r="B26" s="4">
        <v>37</v>
      </c>
      <c r="C26" s="4">
        <v>0</v>
      </c>
      <c r="D26" s="4">
        <v>1</v>
      </c>
      <c r="E26" s="4">
        <v>7</v>
      </c>
      <c r="F26" s="4" t="s">
        <v>833</v>
      </c>
      <c r="G26" s="7" t="s">
        <v>265</v>
      </c>
      <c r="H26" s="7">
        <f>3.5*12.65/100</f>
        <v>0.44274999999999998</v>
      </c>
      <c r="I26" s="7">
        <v>2</v>
      </c>
      <c r="J26" s="7">
        <f>12.65*2/100</f>
        <v>0.253</v>
      </c>
      <c r="K26" s="7" t="s">
        <v>834</v>
      </c>
      <c r="L26" s="7">
        <f>54.5*12.65/100</f>
        <v>6.8942500000000004</v>
      </c>
      <c r="M26" s="7" t="s">
        <v>678</v>
      </c>
      <c r="N26" s="7">
        <f>5.5*12.65/100</f>
        <v>0.69574999999999998</v>
      </c>
      <c r="O26" s="7" t="s">
        <v>500</v>
      </c>
      <c r="P26" s="7">
        <f>12.65*34.5/100</f>
        <v>4.3642500000000002</v>
      </c>
      <c r="Q26" s="4">
        <v>0</v>
      </c>
      <c r="R26" s="4" t="s">
        <v>835</v>
      </c>
      <c r="S26" s="4" t="s">
        <v>836</v>
      </c>
      <c r="T26" s="4" t="s">
        <v>837</v>
      </c>
      <c r="U26" s="4" t="s">
        <v>430</v>
      </c>
      <c r="V26" s="4" t="s">
        <v>838</v>
      </c>
      <c r="W26" s="4" t="s">
        <v>839</v>
      </c>
      <c r="X26" s="4" t="s">
        <v>840</v>
      </c>
      <c r="Y26" s="4" t="s">
        <v>841</v>
      </c>
      <c r="Z26" s="4" t="s">
        <v>485</v>
      </c>
      <c r="AA26" s="4" t="s">
        <v>273</v>
      </c>
      <c r="AB26" s="4" t="s">
        <v>621</v>
      </c>
      <c r="AC26" s="4" t="s">
        <v>842</v>
      </c>
      <c r="AD26" s="4" t="s">
        <v>843</v>
      </c>
      <c r="AE26" s="4" t="s">
        <v>373</v>
      </c>
      <c r="AF26" s="4" t="s">
        <v>844</v>
      </c>
      <c r="AG26" s="4" t="s">
        <v>845</v>
      </c>
      <c r="AH26" s="4" t="s">
        <v>80</v>
      </c>
      <c r="AI26" s="4" t="s">
        <v>846</v>
      </c>
      <c r="AJ26" s="4" t="s">
        <v>847</v>
      </c>
      <c r="AK26" s="4">
        <v>4552</v>
      </c>
      <c r="AL26" s="4" t="s">
        <v>612</v>
      </c>
      <c r="AM26" s="4" t="s">
        <v>848</v>
      </c>
      <c r="AN26" s="4" t="s">
        <v>590</v>
      </c>
      <c r="AO26" s="4" t="s">
        <v>849</v>
      </c>
      <c r="AP26" s="4" t="s">
        <v>161</v>
      </c>
      <c r="AQ26" s="4" t="s">
        <v>850</v>
      </c>
      <c r="AR26" s="4" t="s">
        <v>851</v>
      </c>
      <c r="AS26" s="4" t="s">
        <v>852</v>
      </c>
      <c r="AT26" s="4" t="s">
        <v>853</v>
      </c>
      <c r="AU26" s="4" t="s">
        <v>427</v>
      </c>
      <c r="AV26" s="4" t="s">
        <v>465</v>
      </c>
      <c r="AW26" s="4" t="s">
        <v>854</v>
      </c>
      <c r="AX26" s="4" t="s">
        <v>855</v>
      </c>
      <c r="AY26" s="4" t="s">
        <v>222</v>
      </c>
      <c r="AZ26" s="4" t="s">
        <v>146</v>
      </c>
      <c r="BA26" s="4" t="s">
        <v>138</v>
      </c>
      <c r="BB26" s="4" t="s">
        <v>259</v>
      </c>
      <c r="BC26" s="4" t="s">
        <v>856</v>
      </c>
      <c r="BD26" s="4" t="s">
        <v>857</v>
      </c>
      <c r="BE26" s="4" t="s">
        <v>399</v>
      </c>
      <c r="BF26" s="4">
        <v>49</v>
      </c>
      <c r="BG26" s="4" t="s">
        <v>858</v>
      </c>
      <c r="BH26" s="4" t="s">
        <v>859</v>
      </c>
      <c r="BI26" s="4" t="s">
        <v>860</v>
      </c>
      <c r="BJ26" s="4" t="s">
        <v>468</v>
      </c>
      <c r="BK26" s="4" t="s">
        <v>678</v>
      </c>
      <c r="BL26" s="4" t="s">
        <v>861</v>
      </c>
      <c r="BM26" s="4" t="s">
        <v>139</v>
      </c>
      <c r="BN26" s="4" t="s">
        <v>263</v>
      </c>
      <c r="BO26" s="4" t="s">
        <v>127</v>
      </c>
      <c r="BP26" s="4" t="s">
        <v>424</v>
      </c>
      <c r="BQ26" s="4" t="s">
        <v>138</v>
      </c>
      <c r="BR26" s="4" t="s">
        <v>862</v>
      </c>
      <c r="BS26" s="4" t="s">
        <v>835</v>
      </c>
      <c r="BT26" s="4" t="s">
        <v>90</v>
      </c>
      <c r="BU26" s="4" t="s">
        <v>863</v>
      </c>
      <c r="BV26" s="4" t="s">
        <v>525</v>
      </c>
      <c r="BW26" s="4" t="s">
        <v>864</v>
      </c>
      <c r="BX26" s="4" t="s">
        <v>865</v>
      </c>
    </row>
    <row r="27" spans="1:76" x14ac:dyDescent="0.25">
      <c r="A27" s="9" t="s">
        <v>866</v>
      </c>
      <c r="B27" s="9">
        <v>33</v>
      </c>
      <c r="C27" s="9">
        <v>1</v>
      </c>
      <c r="D27" s="9">
        <v>2</v>
      </c>
      <c r="E27" s="9">
        <v>17</v>
      </c>
      <c r="F27" s="4" t="s">
        <v>197</v>
      </c>
      <c r="G27" s="5" t="s">
        <v>281</v>
      </c>
      <c r="H27" s="5">
        <f>11.55*1.4/100</f>
        <v>0.16170000000000001</v>
      </c>
      <c r="I27" s="5" t="s">
        <v>461</v>
      </c>
      <c r="J27" s="5">
        <f>11.55*8.2/100</f>
        <v>0.94709999999999994</v>
      </c>
      <c r="K27" s="5" t="s">
        <v>867</v>
      </c>
      <c r="L27" s="5">
        <f>11.55*53.8/100</f>
        <v>6.2138999999999998</v>
      </c>
      <c r="M27" s="5" t="s">
        <v>99</v>
      </c>
      <c r="N27" s="5">
        <f>11.55*5.3/100</f>
        <v>0.61215000000000008</v>
      </c>
      <c r="O27" s="5" t="s">
        <v>566</v>
      </c>
      <c r="P27" s="5">
        <f>11.55*31.3/100</f>
        <v>3.6151500000000003</v>
      </c>
      <c r="Q27" s="4" t="s">
        <v>868</v>
      </c>
      <c r="R27" s="4" t="s">
        <v>192</v>
      </c>
      <c r="S27" s="4">
        <v>8</v>
      </c>
      <c r="T27" s="4" t="s">
        <v>387</v>
      </c>
      <c r="U27" s="4" t="s">
        <v>869</v>
      </c>
      <c r="V27" s="4" t="s">
        <v>870</v>
      </c>
      <c r="W27" s="4" t="s">
        <v>542</v>
      </c>
      <c r="X27" s="4" t="s">
        <v>871</v>
      </c>
      <c r="Y27" s="5" t="s">
        <v>217</v>
      </c>
      <c r="Z27" s="4" t="s">
        <v>872</v>
      </c>
      <c r="AA27" s="4" t="s">
        <v>873</v>
      </c>
      <c r="AB27" s="4" t="s">
        <v>874</v>
      </c>
      <c r="AC27" s="4" t="s">
        <v>802</v>
      </c>
      <c r="AD27" s="4" t="s">
        <v>698</v>
      </c>
      <c r="AE27" s="4" t="s">
        <v>757</v>
      </c>
      <c r="AF27" s="4" t="s">
        <v>875</v>
      </c>
      <c r="AG27" s="4" t="s">
        <v>876</v>
      </c>
      <c r="AH27" s="4" t="s">
        <v>877</v>
      </c>
      <c r="AI27" s="4" t="s">
        <v>878</v>
      </c>
      <c r="AJ27" s="4" t="s">
        <v>352</v>
      </c>
      <c r="AK27" s="4">
        <v>10410</v>
      </c>
      <c r="AL27" s="4"/>
      <c r="AM27" s="4">
        <v>397</v>
      </c>
      <c r="AN27" s="4" t="s">
        <v>125</v>
      </c>
      <c r="AO27" s="4" t="s">
        <v>879</v>
      </c>
      <c r="AP27" s="4" t="s">
        <v>880</v>
      </c>
      <c r="AQ27" s="4" t="s">
        <v>881</v>
      </c>
      <c r="AR27" s="4"/>
      <c r="AS27" s="4">
        <v>398</v>
      </c>
      <c r="AT27" s="4" t="s">
        <v>536</v>
      </c>
      <c r="AU27" s="4" t="s">
        <v>300</v>
      </c>
      <c r="AV27" s="4"/>
      <c r="AW27" s="4" t="s">
        <v>220</v>
      </c>
      <c r="AX27" s="4" t="s">
        <v>510</v>
      </c>
      <c r="AY27" s="4" t="s">
        <v>172</v>
      </c>
      <c r="AZ27" s="4" t="s">
        <v>621</v>
      </c>
      <c r="BA27" s="4" t="s">
        <v>265</v>
      </c>
      <c r="BB27" s="4">
        <v>12</v>
      </c>
      <c r="BC27" s="4" t="s">
        <v>882</v>
      </c>
      <c r="BD27" s="4" t="s">
        <v>685</v>
      </c>
      <c r="BE27" s="4" t="s">
        <v>282</v>
      </c>
      <c r="BF27" s="4" t="s">
        <v>883</v>
      </c>
      <c r="BG27" s="4" t="s">
        <v>884</v>
      </c>
      <c r="BH27" s="4" t="s">
        <v>885</v>
      </c>
      <c r="BI27" s="4" t="s">
        <v>886</v>
      </c>
      <c r="BJ27" s="4" t="s">
        <v>470</v>
      </c>
      <c r="BK27" s="4">
        <v>7</v>
      </c>
      <c r="BL27" s="4" t="s">
        <v>887</v>
      </c>
      <c r="BM27" s="4" t="s">
        <v>439</v>
      </c>
      <c r="BN27" s="4">
        <v>4</v>
      </c>
      <c r="BO27" s="4" t="s">
        <v>173</v>
      </c>
      <c r="BP27" s="4" t="s">
        <v>243</v>
      </c>
      <c r="BQ27" s="4" t="s">
        <v>80</v>
      </c>
      <c r="BR27" s="4" t="s">
        <v>888</v>
      </c>
      <c r="BS27" s="4" t="s">
        <v>889</v>
      </c>
      <c r="BT27" s="4" t="s">
        <v>890</v>
      </c>
      <c r="BU27" s="4" t="s">
        <v>891</v>
      </c>
      <c r="BV27" s="4" t="s">
        <v>174</v>
      </c>
      <c r="BW27" s="4">
        <v>150</v>
      </c>
      <c r="BX27" s="4" t="s">
        <v>892</v>
      </c>
    </row>
    <row r="28" spans="1:76" x14ac:dyDescent="0.25">
      <c r="A28" s="4" t="s">
        <v>893</v>
      </c>
      <c r="B28" s="4">
        <v>24</v>
      </c>
      <c r="C28" s="4">
        <v>0</v>
      </c>
      <c r="D28" s="4">
        <v>2</v>
      </c>
      <c r="E28" s="4">
        <v>21</v>
      </c>
      <c r="F28" s="4" t="s">
        <v>544</v>
      </c>
      <c r="G28" s="10" t="s">
        <v>300</v>
      </c>
      <c r="H28" s="10">
        <f>3.6*9.6/100</f>
        <v>0.34560000000000002</v>
      </c>
      <c r="I28" s="10" t="s">
        <v>234</v>
      </c>
      <c r="J28" s="10">
        <f>1.8*9.6/100</f>
        <v>0.17280000000000001</v>
      </c>
      <c r="K28" s="10" t="s">
        <v>894</v>
      </c>
      <c r="L28" s="10">
        <f>72.1*9.6/100</f>
        <v>6.9215999999999998</v>
      </c>
      <c r="M28" s="10" t="s">
        <v>222</v>
      </c>
      <c r="N28" s="10">
        <f>7.2*9.6/100</f>
        <v>0.69120000000000004</v>
      </c>
      <c r="O28" s="10" t="s">
        <v>895</v>
      </c>
      <c r="P28" s="10">
        <f>15.3*9.6/100</f>
        <v>1.4687999999999999</v>
      </c>
      <c r="Q28" s="4">
        <v>0</v>
      </c>
      <c r="R28" s="4" t="s">
        <v>348</v>
      </c>
      <c r="S28" s="4" t="s">
        <v>896</v>
      </c>
      <c r="T28" s="4" t="s">
        <v>844</v>
      </c>
      <c r="U28" s="4" t="s">
        <v>897</v>
      </c>
      <c r="V28" s="4" t="s">
        <v>898</v>
      </c>
      <c r="W28" s="4" t="s">
        <v>899</v>
      </c>
      <c r="X28" s="4" t="s">
        <v>900</v>
      </c>
      <c r="Y28" s="10" t="s">
        <v>424</v>
      </c>
      <c r="Z28" s="4" t="s">
        <v>242</v>
      </c>
      <c r="AA28" s="4" t="s">
        <v>399</v>
      </c>
      <c r="AB28" s="4" t="s">
        <v>661</v>
      </c>
      <c r="AC28" s="4" t="s">
        <v>265</v>
      </c>
      <c r="AD28" s="4" t="s">
        <v>901</v>
      </c>
      <c r="AE28" s="4" t="s">
        <v>527</v>
      </c>
      <c r="AF28" s="4" t="s">
        <v>461</v>
      </c>
      <c r="AG28" s="4" t="s">
        <v>902</v>
      </c>
      <c r="AH28" s="4" t="s">
        <v>903</v>
      </c>
      <c r="AI28" s="4" t="s">
        <v>751</v>
      </c>
      <c r="AJ28" s="4" t="s">
        <v>904</v>
      </c>
      <c r="AK28" s="4">
        <v>9060</v>
      </c>
      <c r="AL28" s="4"/>
      <c r="AM28" s="4">
        <v>331</v>
      </c>
      <c r="AN28" s="4" t="s">
        <v>526</v>
      </c>
      <c r="AO28" s="4" t="s">
        <v>905</v>
      </c>
      <c r="AP28" s="4" t="s">
        <v>906</v>
      </c>
      <c r="AQ28" s="4" t="s">
        <v>907</v>
      </c>
      <c r="AR28" s="4"/>
      <c r="AS28" s="4">
        <v>399</v>
      </c>
      <c r="AT28" s="4" t="s">
        <v>821</v>
      </c>
      <c r="AU28" s="4">
        <v>4</v>
      </c>
      <c r="AV28" s="4"/>
      <c r="AW28" s="4" t="s">
        <v>908</v>
      </c>
      <c r="AX28" s="4" t="s">
        <v>909</v>
      </c>
      <c r="AY28" s="4">
        <v>5</v>
      </c>
      <c r="AZ28" s="4" t="s">
        <v>77</v>
      </c>
      <c r="BA28" s="4" t="s">
        <v>537</v>
      </c>
      <c r="BB28" s="4">
        <v>0</v>
      </c>
      <c r="BC28" s="4" t="s">
        <v>910</v>
      </c>
      <c r="BD28" s="4">
        <v>0</v>
      </c>
      <c r="BE28" s="4" t="s">
        <v>911</v>
      </c>
      <c r="BF28" s="4" t="s">
        <v>912</v>
      </c>
      <c r="BG28" s="4" t="s">
        <v>448</v>
      </c>
      <c r="BH28" s="4" t="s">
        <v>913</v>
      </c>
      <c r="BI28" s="4" t="s">
        <v>914</v>
      </c>
      <c r="BJ28" s="4">
        <v>3</v>
      </c>
      <c r="BK28" s="4" t="s">
        <v>282</v>
      </c>
      <c r="BL28" s="4" t="s">
        <v>915</v>
      </c>
      <c r="BM28" s="4" t="s">
        <v>323</v>
      </c>
      <c r="BN28" s="4">
        <v>5</v>
      </c>
      <c r="BO28" s="4" t="s">
        <v>173</v>
      </c>
      <c r="BP28" s="4" t="s">
        <v>465</v>
      </c>
      <c r="BQ28" s="4" t="s">
        <v>222</v>
      </c>
      <c r="BR28" s="4" t="s">
        <v>916</v>
      </c>
      <c r="BS28" s="4">
        <v>22</v>
      </c>
      <c r="BT28" s="4" t="s">
        <v>130</v>
      </c>
      <c r="BU28" s="4" t="s">
        <v>917</v>
      </c>
      <c r="BV28" s="4" t="s">
        <v>412</v>
      </c>
      <c r="BW28" s="4" t="s">
        <v>913</v>
      </c>
      <c r="BX28" s="4">
        <v>46</v>
      </c>
    </row>
    <row r="29" spans="1:76" x14ac:dyDescent="0.25">
      <c r="A29" s="4" t="s">
        <v>918</v>
      </c>
      <c r="B29" s="4">
        <v>31</v>
      </c>
      <c r="C29" s="4">
        <v>0</v>
      </c>
      <c r="D29" s="4">
        <v>2</v>
      </c>
      <c r="E29" s="4">
        <v>16</v>
      </c>
      <c r="F29" s="4">
        <v>11</v>
      </c>
      <c r="G29" s="5" t="s">
        <v>424</v>
      </c>
      <c r="H29" s="5">
        <f>11*0.9/100</f>
        <v>9.9000000000000005E-2</v>
      </c>
      <c r="I29" s="5" t="s">
        <v>320</v>
      </c>
      <c r="J29" s="5">
        <f>4.3*11/100</f>
        <v>0.47299999999999998</v>
      </c>
      <c r="K29" s="5" t="s">
        <v>919</v>
      </c>
      <c r="L29" s="5">
        <f>11*63.8/100</f>
        <v>7.0179999999999998</v>
      </c>
      <c r="M29" s="5" t="s">
        <v>380</v>
      </c>
      <c r="N29" s="5">
        <f>6.7*11/100</f>
        <v>0.73699999999999999</v>
      </c>
      <c r="O29" s="5" t="s">
        <v>920</v>
      </c>
      <c r="P29" s="5">
        <f>24.3*11/100</f>
        <v>2.673</v>
      </c>
      <c r="Q29" s="4" t="s">
        <v>77</v>
      </c>
      <c r="R29" s="4">
        <v>32</v>
      </c>
      <c r="S29" s="4" t="s">
        <v>921</v>
      </c>
      <c r="T29" s="4" t="s">
        <v>922</v>
      </c>
      <c r="U29" s="4" t="s">
        <v>603</v>
      </c>
      <c r="V29" s="4" t="s">
        <v>923</v>
      </c>
      <c r="W29" s="4">
        <v>94</v>
      </c>
      <c r="X29" s="4" t="s">
        <v>924</v>
      </c>
      <c r="Y29" s="5" t="s">
        <v>343</v>
      </c>
      <c r="Z29" s="4" t="s">
        <v>925</v>
      </c>
      <c r="AA29" s="4" t="s">
        <v>307</v>
      </c>
      <c r="AB29" s="4" t="s">
        <v>926</v>
      </c>
      <c r="AC29" s="4" t="s">
        <v>744</v>
      </c>
      <c r="AD29" s="4" t="s">
        <v>362</v>
      </c>
      <c r="AE29" s="4" t="s">
        <v>927</v>
      </c>
      <c r="AF29" s="4" t="s">
        <v>928</v>
      </c>
      <c r="AG29" s="4" t="s">
        <v>929</v>
      </c>
      <c r="AH29" s="4" t="s">
        <v>453</v>
      </c>
      <c r="AI29" s="4" t="s">
        <v>930</v>
      </c>
      <c r="AJ29" s="4" t="s">
        <v>272</v>
      </c>
      <c r="AK29" s="4">
        <v>4514</v>
      </c>
      <c r="AL29" s="4"/>
      <c r="AM29" s="4">
        <v>197</v>
      </c>
      <c r="AN29" s="4">
        <v>5</v>
      </c>
      <c r="AO29" s="4" t="s">
        <v>931</v>
      </c>
      <c r="AP29" s="4" t="s">
        <v>932</v>
      </c>
      <c r="AQ29" s="4" t="s">
        <v>933</v>
      </c>
      <c r="AR29" s="4"/>
      <c r="AS29" s="4">
        <v>298</v>
      </c>
      <c r="AT29" s="4" t="s">
        <v>175</v>
      </c>
      <c r="AU29" s="4" t="s">
        <v>300</v>
      </c>
      <c r="AV29" s="4" t="s">
        <v>146</v>
      </c>
      <c r="AW29" s="4" t="s">
        <v>195</v>
      </c>
      <c r="AX29" s="4" t="s">
        <v>934</v>
      </c>
      <c r="AY29" s="4" t="s">
        <v>418</v>
      </c>
      <c r="AZ29" s="4" t="s">
        <v>342</v>
      </c>
      <c r="BA29" s="4" t="s">
        <v>245</v>
      </c>
      <c r="BB29" s="4" t="s">
        <v>92</v>
      </c>
      <c r="BC29" s="4" t="s">
        <v>935</v>
      </c>
      <c r="BD29" s="4" t="s">
        <v>936</v>
      </c>
      <c r="BE29" s="4" t="s">
        <v>335</v>
      </c>
      <c r="BF29" s="4">
        <v>62</v>
      </c>
      <c r="BG29" s="4" t="s">
        <v>172</v>
      </c>
      <c r="BH29" s="4" t="s">
        <v>937</v>
      </c>
      <c r="BI29" s="4" t="s">
        <v>938</v>
      </c>
      <c r="BJ29" s="4" t="s">
        <v>183</v>
      </c>
      <c r="BK29" s="4" t="s">
        <v>134</v>
      </c>
      <c r="BL29" s="4" t="s">
        <v>693</v>
      </c>
      <c r="BM29" s="4" t="s">
        <v>177</v>
      </c>
      <c r="BN29" s="4" t="s">
        <v>125</v>
      </c>
      <c r="BO29" s="4" t="s">
        <v>621</v>
      </c>
      <c r="BP29" s="4">
        <v>4</v>
      </c>
      <c r="BQ29" s="4" t="s">
        <v>106</v>
      </c>
      <c r="BR29" s="4" t="s">
        <v>939</v>
      </c>
      <c r="BS29" s="4">
        <v>18</v>
      </c>
      <c r="BT29" s="4" t="s">
        <v>940</v>
      </c>
      <c r="BU29" s="4" t="s">
        <v>941</v>
      </c>
      <c r="BV29" s="4" t="s">
        <v>942</v>
      </c>
      <c r="BW29" s="4" t="s">
        <v>132</v>
      </c>
      <c r="BX29" s="4" t="s">
        <v>943</v>
      </c>
    </row>
    <row r="30" spans="1:76" x14ac:dyDescent="0.25">
      <c r="A30" s="4" t="s">
        <v>944</v>
      </c>
      <c r="B30" s="4">
        <v>22</v>
      </c>
      <c r="C30" s="4">
        <v>0</v>
      </c>
      <c r="D30" s="4">
        <v>2</v>
      </c>
      <c r="E30" s="4">
        <v>17</v>
      </c>
      <c r="F30" s="4" t="s">
        <v>576</v>
      </c>
      <c r="G30" s="5" t="s">
        <v>273</v>
      </c>
      <c r="H30" s="5">
        <f>G30*8.75/100</f>
        <v>3845.8</v>
      </c>
      <c r="I30" s="5" t="s">
        <v>265</v>
      </c>
      <c r="J30" s="5">
        <f>I30*8.75/100</f>
        <v>3845.9749999999999</v>
      </c>
      <c r="K30" s="5" t="s">
        <v>945</v>
      </c>
      <c r="L30" s="5" t="e">
        <f>K30*8.75/100</f>
        <v>#VALUE!</v>
      </c>
      <c r="M30" s="5" t="s">
        <v>493</v>
      </c>
      <c r="N30" s="5">
        <f>6.4*8.75/100</f>
        <v>0.56000000000000005</v>
      </c>
      <c r="O30" s="5" t="s">
        <v>304</v>
      </c>
      <c r="P30" s="5">
        <f>29.7*8.75/100</f>
        <v>2.5987499999999999</v>
      </c>
      <c r="Q30" s="4">
        <v>0</v>
      </c>
      <c r="R30" s="4" t="s">
        <v>684</v>
      </c>
      <c r="S30" s="4" t="s">
        <v>946</v>
      </c>
      <c r="T30" s="4" t="s">
        <v>947</v>
      </c>
      <c r="U30" s="4" t="s">
        <v>948</v>
      </c>
      <c r="V30" s="4">
        <f>2.875*8.75</f>
        <v>25.15625</v>
      </c>
      <c r="W30" s="4">
        <v>70</v>
      </c>
      <c r="X30" s="4" t="s">
        <v>949</v>
      </c>
      <c r="Y30" s="5" t="s">
        <v>570</v>
      </c>
      <c r="Z30" s="4" t="s">
        <v>273</v>
      </c>
      <c r="AA30" s="4" t="s">
        <v>950</v>
      </c>
      <c r="AB30" s="4">
        <v>1</v>
      </c>
      <c r="AC30" s="4">
        <v>1</v>
      </c>
      <c r="AD30" s="4" t="s">
        <v>951</v>
      </c>
      <c r="AE30" s="4" t="s">
        <v>952</v>
      </c>
      <c r="AF30" s="4" t="s">
        <v>196</v>
      </c>
      <c r="AG30" s="4" t="s">
        <v>953</v>
      </c>
      <c r="AH30" s="4" t="s">
        <v>358</v>
      </c>
      <c r="AI30" s="4" t="s">
        <v>954</v>
      </c>
      <c r="AJ30" s="4" t="s">
        <v>955</v>
      </c>
      <c r="AK30" s="4" t="s">
        <v>956</v>
      </c>
      <c r="AL30" s="4"/>
      <c r="AM30" s="4">
        <v>299</v>
      </c>
      <c r="AN30" s="4" t="s">
        <v>259</v>
      </c>
      <c r="AO30" s="4" t="s">
        <v>957</v>
      </c>
      <c r="AP30" s="4" t="s">
        <v>958</v>
      </c>
      <c r="AQ30" s="4" t="s">
        <v>954</v>
      </c>
      <c r="AR30" s="4"/>
      <c r="AS30" s="4">
        <v>297</v>
      </c>
      <c r="AT30" s="4" t="s">
        <v>259</v>
      </c>
      <c r="AU30" s="4" t="s">
        <v>537</v>
      </c>
      <c r="AV30" s="4" t="s">
        <v>498</v>
      </c>
      <c r="AW30" s="4" t="s">
        <v>959</v>
      </c>
      <c r="AX30" s="4" t="s">
        <v>284</v>
      </c>
      <c r="AY30" s="4" t="s">
        <v>322</v>
      </c>
      <c r="AZ30" s="4" t="s">
        <v>169</v>
      </c>
      <c r="BA30" s="4" t="s">
        <v>85</v>
      </c>
      <c r="BB30" s="4" t="s">
        <v>259</v>
      </c>
      <c r="BC30" s="4" t="s">
        <v>960</v>
      </c>
      <c r="BD30" s="4" t="s">
        <v>961</v>
      </c>
      <c r="BE30" s="4" t="s">
        <v>190</v>
      </c>
      <c r="BF30" s="4" t="s">
        <v>962</v>
      </c>
      <c r="BG30" s="4" t="s">
        <v>471</v>
      </c>
      <c r="BH30" s="4" t="s">
        <v>963</v>
      </c>
      <c r="BI30" s="4" t="s">
        <v>964</v>
      </c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 spans="1:76" x14ac:dyDescent="0.25">
      <c r="A31" s="4" t="s">
        <v>965</v>
      </c>
      <c r="B31" s="4">
        <v>31</v>
      </c>
      <c r="C31" s="4">
        <v>0</v>
      </c>
      <c r="D31" s="4">
        <v>2</v>
      </c>
      <c r="E31" s="4">
        <v>17</v>
      </c>
      <c r="F31" s="4" t="s">
        <v>966</v>
      </c>
      <c r="G31" s="5" t="s">
        <v>430</v>
      </c>
      <c r="H31" s="5">
        <f>G31*10.5/100</f>
        <v>4621.47</v>
      </c>
      <c r="I31" s="5" t="s">
        <v>300</v>
      </c>
      <c r="J31" s="5">
        <f>3.6*10.5/100</f>
        <v>0.37800000000000006</v>
      </c>
      <c r="K31" s="5" t="s">
        <v>441</v>
      </c>
      <c r="L31" s="5">
        <f>63.7*10.5/100</f>
        <v>6.6885000000000003</v>
      </c>
      <c r="M31" s="5" t="s">
        <v>667</v>
      </c>
      <c r="N31" s="5">
        <f>10.3*10.5/100</f>
        <v>1.0815000000000001</v>
      </c>
      <c r="O31" s="5" t="s">
        <v>967</v>
      </c>
      <c r="P31" s="5">
        <f>19.7*10.5/100</f>
        <v>2.0684999999999998</v>
      </c>
      <c r="Q31" s="4">
        <v>0</v>
      </c>
      <c r="R31" s="4">
        <f>14*100/200</f>
        <v>7</v>
      </c>
      <c r="S31" s="4">
        <f>186*100/200</f>
        <v>93</v>
      </c>
      <c r="T31" s="4" t="s">
        <v>968</v>
      </c>
      <c r="U31" s="4" t="s">
        <v>496</v>
      </c>
      <c r="V31" s="4">
        <f>2.93*10.5</f>
        <v>30.765000000000001</v>
      </c>
      <c r="W31" s="4">
        <v>64</v>
      </c>
      <c r="X31" s="4" t="s">
        <v>416</v>
      </c>
      <c r="Y31" s="5" t="s">
        <v>841</v>
      </c>
      <c r="Z31" s="4" t="s">
        <v>372</v>
      </c>
      <c r="AA31" s="4" t="s">
        <v>969</v>
      </c>
      <c r="AB31" s="4" t="s">
        <v>970</v>
      </c>
      <c r="AC31" s="4" t="s">
        <v>396</v>
      </c>
      <c r="AD31" s="4" t="s">
        <v>780</v>
      </c>
      <c r="AE31" s="4" t="s">
        <v>971</v>
      </c>
      <c r="AF31" s="4" t="s">
        <v>972</v>
      </c>
      <c r="AG31" s="4" t="s">
        <v>973</v>
      </c>
      <c r="AH31" s="4" t="s">
        <v>520</v>
      </c>
      <c r="AI31" s="4" t="s">
        <v>358</v>
      </c>
      <c r="AJ31" s="4" t="s">
        <v>974</v>
      </c>
      <c r="AK31" s="4" t="s">
        <v>975</v>
      </c>
      <c r="AL31" s="4"/>
      <c r="AM31" s="4">
        <v>301</v>
      </c>
      <c r="AN31" s="4" t="s">
        <v>222</v>
      </c>
      <c r="AO31" s="4" t="s">
        <v>976</v>
      </c>
      <c r="AP31" s="4" t="s">
        <v>711</v>
      </c>
      <c r="AQ31" s="4" t="s">
        <v>977</v>
      </c>
      <c r="AR31" s="4"/>
      <c r="AS31" s="4">
        <v>401</v>
      </c>
      <c r="AT31" s="4" t="s">
        <v>213</v>
      </c>
      <c r="AU31" s="4" t="s">
        <v>243</v>
      </c>
      <c r="AV31" s="4" t="s">
        <v>346</v>
      </c>
      <c r="AW31" s="4"/>
      <c r="AX31" s="4" t="s">
        <v>390</v>
      </c>
      <c r="AY31" s="4" t="s">
        <v>300</v>
      </c>
      <c r="AZ31" s="4" t="s">
        <v>173</v>
      </c>
      <c r="BA31" s="4" t="s">
        <v>282</v>
      </c>
      <c r="BB31" s="4" t="s">
        <v>281</v>
      </c>
      <c r="BC31" s="4">
        <v>537</v>
      </c>
      <c r="BD31" s="4" t="s">
        <v>591</v>
      </c>
      <c r="BE31" s="4" t="s">
        <v>978</v>
      </c>
      <c r="BF31" s="4"/>
      <c r="BG31" s="4"/>
      <c r="BH31" s="4" t="s">
        <v>979</v>
      </c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</row>
    <row r="32" spans="1:76" x14ac:dyDescent="0.25">
      <c r="A32" s="4" t="s">
        <v>980</v>
      </c>
      <c r="B32" s="4">
        <v>34</v>
      </c>
      <c r="C32" s="4">
        <v>0</v>
      </c>
      <c r="D32" s="4">
        <v>2</v>
      </c>
      <c r="E32" s="4">
        <v>14</v>
      </c>
      <c r="F32" s="4" t="s">
        <v>981</v>
      </c>
      <c r="G32" s="5" t="s">
        <v>982</v>
      </c>
      <c r="H32" s="5">
        <f>0.43*20.4/100</f>
        <v>8.7719999999999979E-2</v>
      </c>
      <c r="I32" s="5" t="s">
        <v>983</v>
      </c>
      <c r="J32" s="5">
        <f>0.87*20.4/100</f>
        <v>0.17747999999999997</v>
      </c>
      <c r="K32" s="5" t="s">
        <v>984</v>
      </c>
      <c r="L32" s="5">
        <f>52.6*20.4/100</f>
        <v>10.730399999999999</v>
      </c>
      <c r="M32" s="5" t="s">
        <v>235</v>
      </c>
      <c r="N32" s="5">
        <f>6.5*20.4/100</f>
        <v>1.3259999999999998</v>
      </c>
      <c r="O32" s="5" t="s">
        <v>790</v>
      </c>
      <c r="P32" s="5">
        <f>39.6*20.4/100</f>
        <v>8.0783999999999985</v>
      </c>
      <c r="Q32" s="4">
        <v>0</v>
      </c>
      <c r="R32" s="4">
        <f>19*100/200</f>
        <v>9.5</v>
      </c>
      <c r="S32" s="4">
        <f>18100/200</f>
        <v>90.5</v>
      </c>
      <c r="T32" s="4" t="s">
        <v>985</v>
      </c>
      <c r="U32" s="4" t="s">
        <v>986</v>
      </c>
      <c r="V32" s="4">
        <f>2.905*20.4</f>
        <v>59.261999999999993</v>
      </c>
      <c r="W32" s="4">
        <v>55</v>
      </c>
      <c r="X32" s="4" t="s">
        <v>987</v>
      </c>
      <c r="Y32" s="5" t="s">
        <v>445</v>
      </c>
      <c r="Z32" s="4">
        <v>0</v>
      </c>
      <c r="AA32" s="4">
        <v>1</v>
      </c>
      <c r="AB32" s="4" t="s">
        <v>851</v>
      </c>
      <c r="AC32" s="4" t="s">
        <v>988</v>
      </c>
      <c r="AD32" s="4">
        <v>6</v>
      </c>
      <c r="AE32" s="4" t="s">
        <v>280</v>
      </c>
      <c r="AF32" s="4">
        <v>0</v>
      </c>
      <c r="AG32" s="4" t="s">
        <v>989</v>
      </c>
      <c r="AH32" s="4">
        <v>6</v>
      </c>
      <c r="AI32" s="4" t="s">
        <v>125</v>
      </c>
      <c r="AJ32" s="4" t="s">
        <v>990</v>
      </c>
      <c r="AK32" s="4">
        <v>6831</v>
      </c>
      <c r="AL32" s="4"/>
      <c r="AM32" s="4">
        <v>391</v>
      </c>
      <c r="AN32" s="4" t="s">
        <v>991</v>
      </c>
      <c r="AO32" s="4">
        <v>1294</v>
      </c>
      <c r="AP32" s="4" t="s">
        <v>992</v>
      </c>
      <c r="AQ32" s="4" t="s">
        <v>993</v>
      </c>
      <c r="AR32" s="4"/>
      <c r="AS32" s="4" t="s">
        <v>994</v>
      </c>
      <c r="AT32" s="4" t="s">
        <v>641</v>
      </c>
      <c r="AU32" s="4" t="s">
        <v>470</v>
      </c>
      <c r="AV32" s="4" t="s">
        <v>126</v>
      </c>
      <c r="AW32" s="4">
        <v>38</v>
      </c>
      <c r="AX32" s="4" t="s">
        <v>995</v>
      </c>
      <c r="AY32" s="4" t="s">
        <v>78</v>
      </c>
      <c r="AZ32" s="4" t="s">
        <v>231</v>
      </c>
      <c r="BA32" s="4" t="s">
        <v>280</v>
      </c>
      <c r="BB32" s="4" t="s">
        <v>320</v>
      </c>
      <c r="BC32" s="4" t="s">
        <v>996</v>
      </c>
      <c r="BD32" s="4" t="s">
        <v>997</v>
      </c>
      <c r="BE32" s="4" t="s">
        <v>998</v>
      </c>
      <c r="BF32" s="4">
        <v>66</v>
      </c>
      <c r="BG32" s="4" t="s">
        <v>878</v>
      </c>
      <c r="BH32" s="4" t="s">
        <v>999</v>
      </c>
      <c r="BI32" s="4" t="s">
        <v>352</v>
      </c>
      <c r="BJ32" s="4">
        <v>3</v>
      </c>
      <c r="BK32" s="4">
        <v>6</v>
      </c>
      <c r="BL32" s="4" t="s">
        <v>819</v>
      </c>
      <c r="BM32" s="4" t="s">
        <v>1000</v>
      </c>
      <c r="BN32" s="4" t="s">
        <v>123</v>
      </c>
      <c r="BO32" s="4" t="s">
        <v>127</v>
      </c>
      <c r="BP32" s="4" t="s">
        <v>231</v>
      </c>
      <c r="BQ32" s="4" t="s">
        <v>78</v>
      </c>
      <c r="BR32" s="4" t="s">
        <v>1001</v>
      </c>
      <c r="BS32" s="4" t="s">
        <v>546</v>
      </c>
      <c r="BT32" s="4" t="s">
        <v>1002</v>
      </c>
      <c r="BU32" s="4" t="s">
        <v>361</v>
      </c>
      <c r="BV32" s="4" t="s">
        <v>300</v>
      </c>
      <c r="BW32" s="4" t="s">
        <v>1003</v>
      </c>
      <c r="BX32" s="4" t="s">
        <v>1004</v>
      </c>
    </row>
    <row r="33" spans="1:76" x14ac:dyDescent="0.25">
      <c r="A33" s="4" t="s">
        <v>1005</v>
      </c>
      <c r="B33" s="4">
        <v>27</v>
      </c>
      <c r="C33" s="4">
        <v>0</v>
      </c>
      <c r="D33" s="4">
        <v>2</v>
      </c>
      <c r="E33" s="4">
        <v>9</v>
      </c>
      <c r="F33" s="4" t="s">
        <v>1006</v>
      </c>
      <c r="G33" s="5" t="s">
        <v>322</v>
      </c>
      <c r="H33" s="5">
        <f>5.1*10.55/100</f>
        <v>0.53805000000000003</v>
      </c>
      <c r="I33" s="5" t="s">
        <v>424</v>
      </c>
      <c r="J33" s="5">
        <f>0.9*10.55/100</f>
        <v>9.4950000000000007E-2</v>
      </c>
      <c r="K33" s="5" t="s">
        <v>1007</v>
      </c>
      <c r="L33" s="5">
        <f>53.7*10.55/100</f>
        <v>5.665350000000001</v>
      </c>
      <c r="M33" s="5" t="s">
        <v>245</v>
      </c>
      <c r="N33" s="5">
        <f>7.6*10.55/100</f>
        <v>0.80180000000000007</v>
      </c>
      <c r="O33" s="5" t="s">
        <v>1008</v>
      </c>
      <c r="P33" s="5">
        <f>32*10.55/100</f>
        <v>3.3760000000000003</v>
      </c>
      <c r="Q33" s="4">
        <f>3*100/200</f>
        <v>1.5</v>
      </c>
      <c r="R33" s="4">
        <f>4600/200</f>
        <v>23</v>
      </c>
      <c r="S33" s="4">
        <f>15100/200</f>
        <v>75.5</v>
      </c>
      <c r="T33" s="4" t="s">
        <v>1009</v>
      </c>
      <c r="U33" s="4" t="s">
        <v>539</v>
      </c>
      <c r="V33" s="4">
        <f>2.74*10.55</f>
        <v>28.907000000000004</v>
      </c>
      <c r="W33" s="4" t="s">
        <v>896</v>
      </c>
      <c r="X33" s="4" t="s">
        <v>282</v>
      </c>
      <c r="Y33" s="5" t="s">
        <v>86</v>
      </c>
      <c r="Z33" s="4">
        <v>0</v>
      </c>
      <c r="AA33" s="4" t="s">
        <v>90</v>
      </c>
      <c r="AB33" s="4" t="s">
        <v>1010</v>
      </c>
      <c r="AC33" s="4" t="s">
        <v>518</v>
      </c>
      <c r="AD33" s="4" t="s">
        <v>1011</v>
      </c>
      <c r="AE33" s="4" t="s">
        <v>178</v>
      </c>
      <c r="AF33" s="4">
        <v>0</v>
      </c>
      <c r="AG33" s="4" t="s">
        <v>1012</v>
      </c>
      <c r="AH33" s="4" t="s">
        <v>434</v>
      </c>
      <c r="AI33" s="4" t="s">
        <v>950</v>
      </c>
      <c r="AJ33" s="4" t="s">
        <v>1013</v>
      </c>
      <c r="AK33" s="4" t="s">
        <v>1014</v>
      </c>
      <c r="AL33" s="4"/>
      <c r="AM33" s="4" t="s">
        <v>1015</v>
      </c>
      <c r="AN33" s="4" t="s">
        <v>213</v>
      </c>
      <c r="AO33" s="4" t="s">
        <v>1016</v>
      </c>
      <c r="AP33" s="4" t="s">
        <v>1017</v>
      </c>
      <c r="AQ33" s="4" t="s">
        <v>940</v>
      </c>
      <c r="AR33" s="4"/>
      <c r="AS33" s="4" t="s">
        <v>1018</v>
      </c>
      <c r="AT33" s="4" t="s">
        <v>362</v>
      </c>
      <c r="AU33" s="4"/>
      <c r="AV33" s="4"/>
      <c r="AW33" s="4"/>
      <c r="AX33" s="4"/>
      <c r="AY33" s="4" t="s">
        <v>96</v>
      </c>
      <c r="AZ33" s="4" t="s">
        <v>173</v>
      </c>
      <c r="BA33" s="4" t="s">
        <v>434</v>
      </c>
      <c r="BB33" s="4" t="s">
        <v>468</v>
      </c>
      <c r="BC33" s="4" t="s">
        <v>834</v>
      </c>
      <c r="BD33" s="4">
        <v>12</v>
      </c>
      <c r="BE33" s="4" t="s">
        <v>152</v>
      </c>
      <c r="BF33" s="4"/>
      <c r="BG33" s="4"/>
      <c r="BH33" s="4" t="s">
        <v>963</v>
      </c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</row>
    <row r="34" spans="1:76" x14ac:dyDescent="0.25">
      <c r="A34" s="4" t="s">
        <v>1019</v>
      </c>
      <c r="B34" s="4">
        <v>28</v>
      </c>
      <c r="C34" s="4">
        <v>0</v>
      </c>
      <c r="D34" s="4">
        <v>2</v>
      </c>
      <c r="E34" s="4">
        <v>19</v>
      </c>
      <c r="F34" s="4" t="s">
        <v>1020</v>
      </c>
      <c r="G34" s="5" t="s">
        <v>146</v>
      </c>
      <c r="H34" s="5">
        <f>0.4*12.45/100</f>
        <v>4.9800000000000004E-2</v>
      </c>
      <c r="I34" s="5" t="s">
        <v>671</v>
      </c>
      <c r="J34" s="5">
        <f>5.4*12.45/100</f>
        <v>0.67230000000000001</v>
      </c>
      <c r="K34" s="5">
        <v>62</v>
      </c>
      <c r="L34" s="5">
        <f>62*12.45/100</f>
        <v>7.7189999999999994</v>
      </c>
      <c r="M34" s="5" t="s">
        <v>671</v>
      </c>
      <c r="N34" s="5">
        <f>5.4*12.45/100</f>
        <v>0.67230000000000001</v>
      </c>
      <c r="O34" s="5" t="s">
        <v>1021</v>
      </c>
      <c r="P34" s="5">
        <f>26.8*12.45/100</f>
        <v>3.3365999999999998</v>
      </c>
      <c r="Q34" s="4">
        <f>2*100/200</f>
        <v>1</v>
      </c>
      <c r="R34" s="4">
        <f>8000/200</f>
        <v>40</v>
      </c>
      <c r="S34" s="4">
        <f>11800/200</f>
        <v>59</v>
      </c>
      <c r="T34" s="4" t="s">
        <v>1022</v>
      </c>
      <c r="U34" s="4" t="s">
        <v>479</v>
      </c>
      <c r="V34" s="4">
        <f>2.58*12.45</f>
        <v>32.121000000000002</v>
      </c>
      <c r="W34" s="4">
        <v>72</v>
      </c>
      <c r="X34" s="4" t="s">
        <v>470</v>
      </c>
      <c r="Y34" s="5" t="s">
        <v>612</v>
      </c>
      <c r="Z34" s="4" t="s">
        <v>1023</v>
      </c>
      <c r="AA34" s="4" t="s">
        <v>987</v>
      </c>
      <c r="AB34" s="4" t="s">
        <v>1024</v>
      </c>
      <c r="AC34" s="4">
        <v>3</v>
      </c>
      <c r="AD34" s="4" t="s">
        <v>947</v>
      </c>
      <c r="AE34" s="4" t="s">
        <v>448</v>
      </c>
      <c r="AF34" s="4" t="s">
        <v>961</v>
      </c>
      <c r="AG34" s="4">
        <v>92</v>
      </c>
      <c r="AH34" s="4" t="s">
        <v>530</v>
      </c>
      <c r="AI34" s="4" t="s">
        <v>1025</v>
      </c>
      <c r="AJ34" s="4" t="s">
        <v>1026</v>
      </c>
      <c r="AK34" s="4">
        <v>10280</v>
      </c>
      <c r="AL34" s="4"/>
      <c r="AM34" s="4">
        <v>394</v>
      </c>
      <c r="AN34" s="4">
        <v>7</v>
      </c>
      <c r="AO34" s="4" t="s">
        <v>1027</v>
      </c>
      <c r="AP34" s="4" t="s">
        <v>1028</v>
      </c>
      <c r="AQ34" s="4">
        <v>8</v>
      </c>
      <c r="AR34" s="4"/>
      <c r="AS34" s="4" t="s">
        <v>1029</v>
      </c>
      <c r="AT34" s="4" t="s">
        <v>1030</v>
      </c>
      <c r="AU34" s="4" t="s">
        <v>427</v>
      </c>
      <c r="AV34" s="4" t="s">
        <v>125</v>
      </c>
      <c r="AW34" s="4" t="s">
        <v>1031</v>
      </c>
      <c r="AX34" s="4" t="s">
        <v>1032</v>
      </c>
      <c r="AY34" s="4" t="s">
        <v>427</v>
      </c>
      <c r="AZ34" s="4" t="s">
        <v>230</v>
      </c>
      <c r="BA34" s="4" t="s">
        <v>470</v>
      </c>
      <c r="BB34" s="4">
        <v>4</v>
      </c>
      <c r="BC34" s="4" t="s">
        <v>1033</v>
      </c>
      <c r="BD34" s="4" t="s">
        <v>1034</v>
      </c>
      <c r="BE34" s="4" t="s">
        <v>1035</v>
      </c>
      <c r="BF34" s="4" t="s">
        <v>229</v>
      </c>
      <c r="BG34" s="4" t="s">
        <v>107</v>
      </c>
      <c r="BH34" s="4" t="s">
        <v>191</v>
      </c>
      <c r="BI34" s="4" t="s">
        <v>1031</v>
      </c>
      <c r="BJ34" s="4" t="s">
        <v>183</v>
      </c>
      <c r="BK34" s="4" t="s">
        <v>641</v>
      </c>
      <c r="BL34" s="4" t="s">
        <v>439</v>
      </c>
      <c r="BM34" s="4" t="s">
        <v>1036</v>
      </c>
      <c r="BN34" s="4" t="s">
        <v>346</v>
      </c>
      <c r="BO34" s="4" t="s">
        <v>146</v>
      </c>
      <c r="BP34" s="4" t="s">
        <v>157</v>
      </c>
      <c r="BQ34" s="4" t="s">
        <v>460</v>
      </c>
      <c r="BR34" s="4" t="s">
        <v>1037</v>
      </c>
      <c r="BS34" s="4" t="s">
        <v>1038</v>
      </c>
      <c r="BT34" s="4" t="s">
        <v>107</v>
      </c>
      <c r="BU34" s="4">
        <v>62</v>
      </c>
      <c r="BV34" s="4" t="s">
        <v>183</v>
      </c>
      <c r="BW34" s="4" t="s">
        <v>1039</v>
      </c>
      <c r="BX34" s="4" t="s">
        <v>1040</v>
      </c>
    </row>
    <row r="35" spans="1:76" x14ac:dyDescent="0.25">
      <c r="A35" s="4" t="s">
        <v>1041</v>
      </c>
      <c r="B35" s="4">
        <v>33</v>
      </c>
      <c r="C35" s="4">
        <v>0</v>
      </c>
      <c r="D35" s="4">
        <v>2</v>
      </c>
      <c r="E35" s="4">
        <v>14</v>
      </c>
      <c r="F35" s="4" t="s">
        <v>442</v>
      </c>
      <c r="G35" s="5">
        <v>0</v>
      </c>
      <c r="H35" s="5">
        <v>0</v>
      </c>
      <c r="I35" s="5" t="s">
        <v>182</v>
      </c>
      <c r="J35" s="5">
        <f>2.4*6.6/100</f>
        <v>0.15839999999999999</v>
      </c>
      <c r="K35" s="5" t="s">
        <v>1042</v>
      </c>
      <c r="L35" s="5">
        <f>60.9*6.6/100</f>
        <v>4.0193999999999992</v>
      </c>
      <c r="M35" s="5" t="s">
        <v>471</v>
      </c>
      <c r="N35" s="5">
        <f>3.9*6.6/100</f>
        <v>0.25739999999999996</v>
      </c>
      <c r="O35" s="5" t="s">
        <v>1043</v>
      </c>
      <c r="P35" s="5">
        <f>32.8*6.6/100</f>
        <v>2.1647999999999996</v>
      </c>
      <c r="Q35" s="4">
        <f>8*100/200</f>
        <v>4</v>
      </c>
      <c r="R35" s="4">
        <f>12400/200</f>
        <v>62</v>
      </c>
      <c r="S35" s="4">
        <f>6800/200</f>
        <v>34</v>
      </c>
      <c r="T35" s="4" t="s">
        <v>584</v>
      </c>
      <c r="U35" s="4" t="s">
        <v>468</v>
      </c>
      <c r="V35" s="4">
        <f>2.3*6.6</f>
        <v>15.179999999999998</v>
      </c>
      <c r="W35" s="4">
        <v>66</v>
      </c>
      <c r="X35" s="4" t="s">
        <v>389</v>
      </c>
      <c r="Y35" s="5" t="s">
        <v>410</v>
      </c>
      <c r="Z35" s="4" t="s">
        <v>346</v>
      </c>
      <c r="AA35" s="4" t="s">
        <v>301</v>
      </c>
      <c r="AB35" s="4" t="s">
        <v>77</v>
      </c>
      <c r="AC35" s="4">
        <v>2</v>
      </c>
      <c r="AD35" s="4" t="s">
        <v>1044</v>
      </c>
      <c r="AE35" s="4" t="s">
        <v>1045</v>
      </c>
      <c r="AF35" s="4" t="s">
        <v>1046</v>
      </c>
      <c r="AG35" s="4" t="s">
        <v>1047</v>
      </c>
      <c r="AH35" s="4" t="s">
        <v>1048</v>
      </c>
      <c r="AI35" s="4" t="s">
        <v>1049</v>
      </c>
      <c r="AJ35" s="4" t="s">
        <v>1050</v>
      </c>
      <c r="AK35" s="4">
        <v>3040</v>
      </c>
      <c r="AL35" s="4" t="s">
        <v>123</v>
      </c>
      <c r="AM35" s="4">
        <v>297</v>
      </c>
      <c r="AN35" s="4" t="s">
        <v>590</v>
      </c>
      <c r="AO35" s="4" t="s">
        <v>1051</v>
      </c>
      <c r="AP35" s="4" t="s">
        <v>1052</v>
      </c>
      <c r="AQ35" s="4" t="s">
        <v>1053</v>
      </c>
      <c r="AR35" s="4" t="s">
        <v>90</v>
      </c>
      <c r="AS35" s="4" t="s">
        <v>1054</v>
      </c>
      <c r="AT35" s="4" t="s">
        <v>78</v>
      </c>
      <c r="AU35" s="4" t="s">
        <v>243</v>
      </c>
      <c r="AV35" s="4" t="s">
        <v>1055</v>
      </c>
      <c r="AW35" s="4" t="s">
        <v>1056</v>
      </c>
      <c r="AX35" s="4" t="s">
        <v>798</v>
      </c>
      <c r="AY35" s="4" t="s">
        <v>273</v>
      </c>
      <c r="AZ35" s="4" t="s">
        <v>127</v>
      </c>
      <c r="BA35" s="4" t="s">
        <v>342</v>
      </c>
      <c r="BB35" s="4" t="s">
        <v>687</v>
      </c>
      <c r="BC35" s="4" t="s">
        <v>1057</v>
      </c>
      <c r="BD35" s="4" t="s">
        <v>315</v>
      </c>
      <c r="BE35" s="4" t="s">
        <v>1058</v>
      </c>
      <c r="BF35" s="4" t="s">
        <v>773</v>
      </c>
      <c r="BG35" s="4" t="s">
        <v>1059</v>
      </c>
      <c r="BH35" s="4" t="s">
        <v>1060</v>
      </c>
      <c r="BI35" s="4" t="s">
        <v>1061</v>
      </c>
      <c r="BJ35" s="4" t="s">
        <v>231</v>
      </c>
      <c r="BK35" s="4" t="s">
        <v>683</v>
      </c>
      <c r="BL35" s="4" t="s">
        <v>1062</v>
      </c>
      <c r="BM35" s="4" t="s">
        <v>1063</v>
      </c>
      <c r="BN35" s="4">
        <v>1</v>
      </c>
      <c r="BO35" s="4" t="s">
        <v>275</v>
      </c>
      <c r="BP35" s="4" t="s">
        <v>424</v>
      </c>
      <c r="BQ35" s="4">
        <v>9</v>
      </c>
      <c r="BR35" s="4" t="s">
        <v>1064</v>
      </c>
      <c r="BS35" s="4" t="s">
        <v>614</v>
      </c>
      <c r="BT35" s="4" t="s">
        <v>690</v>
      </c>
      <c r="BU35" s="4" t="s">
        <v>938</v>
      </c>
      <c r="BV35" s="4" t="s">
        <v>225</v>
      </c>
      <c r="BW35" s="4" t="s">
        <v>1065</v>
      </c>
      <c r="BX35" s="4" t="s">
        <v>1066</v>
      </c>
    </row>
    <row r="36" spans="1:76" x14ac:dyDescent="0.25">
      <c r="A36" s="4" t="s">
        <v>1067</v>
      </c>
      <c r="B36" s="4">
        <v>30</v>
      </c>
      <c r="C36" s="4">
        <v>0</v>
      </c>
      <c r="D36" s="4">
        <v>2</v>
      </c>
      <c r="E36" s="4">
        <v>15</v>
      </c>
      <c r="F36" s="5" t="s">
        <v>259</v>
      </c>
      <c r="G36" s="7">
        <v>1</v>
      </c>
      <c r="H36" s="7">
        <f>7.3*1/100</f>
        <v>7.2999999999999995E-2</v>
      </c>
      <c r="I36" s="7" t="s">
        <v>99</v>
      </c>
      <c r="J36" s="7">
        <f>5.3*7.3/100</f>
        <v>0.38689999999999997</v>
      </c>
      <c r="K36" s="7" t="s">
        <v>1068</v>
      </c>
      <c r="L36" s="7">
        <f>67.6*7.3/100</f>
        <v>4.9347999999999992</v>
      </c>
      <c r="M36" s="7" t="s">
        <v>470</v>
      </c>
      <c r="N36" s="7">
        <f>7.3*3.4/100</f>
        <v>0.2482</v>
      </c>
      <c r="O36" s="7" t="s">
        <v>1069</v>
      </c>
      <c r="P36" s="7">
        <f>7.3*22.7/100</f>
        <v>1.6570999999999998</v>
      </c>
      <c r="Q36" s="4" t="s">
        <v>591</v>
      </c>
      <c r="R36" s="4" t="s">
        <v>921</v>
      </c>
      <c r="S36" s="4">
        <v>19</v>
      </c>
      <c r="T36" s="4" t="s">
        <v>1070</v>
      </c>
      <c r="U36" s="4" t="s">
        <v>1071</v>
      </c>
      <c r="V36" s="4" t="s">
        <v>1072</v>
      </c>
      <c r="W36" s="4"/>
      <c r="X36" s="4"/>
      <c r="Y36" s="4" t="s">
        <v>1073</v>
      </c>
      <c r="Z36" s="4" t="s">
        <v>1074</v>
      </c>
      <c r="AA36" s="4" t="s">
        <v>250</v>
      </c>
      <c r="AB36" s="4" t="s">
        <v>1024</v>
      </c>
      <c r="AC36" s="4" t="s">
        <v>998</v>
      </c>
      <c r="AD36" s="4" t="s">
        <v>1075</v>
      </c>
      <c r="AE36" s="4" t="s">
        <v>1076</v>
      </c>
      <c r="AF36" s="4" t="s">
        <v>1069</v>
      </c>
      <c r="AG36" s="4">
        <v>1100</v>
      </c>
      <c r="AH36" s="4" t="s">
        <v>1077</v>
      </c>
      <c r="AI36" s="4" t="s">
        <v>1078</v>
      </c>
      <c r="AJ36" s="4">
        <v>42</v>
      </c>
      <c r="AK36" s="4">
        <v>11660</v>
      </c>
      <c r="AL36" s="4" t="s">
        <v>123</v>
      </c>
      <c r="AM36" s="4" t="s">
        <v>789</v>
      </c>
      <c r="AN36" s="4" t="s">
        <v>493</v>
      </c>
      <c r="AO36" s="4">
        <v>987</v>
      </c>
      <c r="AP36" s="4" t="s">
        <v>1079</v>
      </c>
      <c r="AQ36" s="4" t="s">
        <v>1080</v>
      </c>
      <c r="AR36" s="4" t="s">
        <v>1081</v>
      </c>
      <c r="AS36" s="4" t="s">
        <v>1082</v>
      </c>
      <c r="AT36" s="4" t="s">
        <v>97</v>
      </c>
      <c r="AU36" s="4" t="s">
        <v>320</v>
      </c>
      <c r="AV36" s="4" t="s">
        <v>434</v>
      </c>
      <c r="AW36" s="4" t="s">
        <v>1062</v>
      </c>
      <c r="AX36" s="4" t="s">
        <v>1083</v>
      </c>
      <c r="AY36" s="4" t="s">
        <v>396</v>
      </c>
      <c r="AZ36" s="4" t="s">
        <v>173</v>
      </c>
      <c r="BA36" s="4" t="s">
        <v>678</v>
      </c>
      <c r="BB36" s="4" t="s">
        <v>235</v>
      </c>
      <c r="BC36" s="4" t="s">
        <v>1084</v>
      </c>
      <c r="BD36" s="4" t="s">
        <v>936</v>
      </c>
      <c r="BE36" s="4" t="s">
        <v>159</v>
      </c>
      <c r="BF36" s="4" t="s">
        <v>1085</v>
      </c>
      <c r="BG36" s="4" t="s">
        <v>430</v>
      </c>
      <c r="BH36" s="4" t="s">
        <v>1086</v>
      </c>
      <c r="BI36" s="4" t="s">
        <v>1087</v>
      </c>
      <c r="BJ36" s="4" t="s">
        <v>183</v>
      </c>
      <c r="BK36" s="4" t="s">
        <v>300</v>
      </c>
      <c r="BL36" s="4" t="s">
        <v>601</v>
      </c>
      <c r="BM36" s="4" t="s">
        <v>1030</v>
      </c>
      <c r="BN36" s="4" t="s">
        <v>275</v>
      </c>
      <c r="BO36" s="4"/>
      <c r="BP36" s="4"/>
      <c r="BQ36" s="4" t="s">
        <v>322</v>
      </c>
      <c r="BR36" s="4" t="s">
        <v>1088</v>
      </c>
      <c r="BS36" s="4" t="s">
        <v>1089</v>
      </c>
      <c r="BT36" s="4" t="s">
        <v>247</v>
      </c>
      <c r="BU36" s="4">
        <v>65</v>
      </c>
      <c r="BV36" s="4" t="s">
        <v>752</v>
      </c>
      <c r="BW36" s="4">
        <v>152</v>
      </c>
      <c r="BX36" s="4" t="s">
        <v>1090</v>
      </c>
    </row>
    <row r="37" spans="1:76" x14ac:dyDescent="0.25">
      <c r="A37" s="4" t="s">
        <v>1091</v>
      </c>
      <c r="B37" s="4">
        <v>30</v>
      </c>
      <c r="C37" s="4">
        <v>0</v>
      </c>
      <c r="D37" s="4">
        <v>2</v>
      </c>
      <c r="E37" s="4">
        <v>21</v>
      </c>
      <c r="F37" s="4" t="s">
        <v>1092</v>
      </c>
      <c r="G37" s="7" t="s">
        <v>273</v>
      </c>
      <c r="H37" s="7" t="s">
        <v>1093</v>
      </c>
      <c r="I37" s="7">
        <v>5</v>
      </c>
      <c r="J37" s="7">
        <f>4.75*5/100</f>
        <v>0.23749999999999999</v>
      </c>
      <c r="K37" s="7">
        <v>63</v>
      </c>
      <c r="L37" s="7">
        <f>4.75*63/100</f>
        <v>2.9925000000000002</v>
      </c>
      <c r="M37" s="7">
        <v>5</v>
      </c>
      <c r="N37" s="7">
        <f>5*4.75/100</f>
        <v>0.23749999999999999</v>
      </c>
      <c r="O37" s="7" t="s">
        <v>1000</v>
      </c>
      <c r="P37" s="7">
        <f>25.5*4.75/100</f>
        <v>1.2112499999999999</v>
      </c>
      <c r="Q37" s="5">
        <v>1</v>
      </c>
      <c r="R37" s="5">
        <v>31</v>
      </c>
      <c r="S37" s="4">
        <v>68</v>
      </c>
      <c r="T37" s="4" t="s">
        <v>1094</v>
      </c>
      <c r="U37" s="4" t="s">
        <v>603</v>
      </c>
      <c r="V37" s="4" t="s">
        <v>1095</v>
      </c>
      <c r="W37" s="4"/>
      <c r="X37" s="4"/>
      <c r="Y37" s="4">
        <v>1</v>
      </c>
      <c r="Z37" s="4" t="s">
        <v>1096</v>
      </c>
      <c r="AA37" s="4" t="s">
        <v>1097</v>
      </c>
      <c r="AB37" s="4" t="s">
        <v>146</v>
      </c>
      <c r="AC37" s="4" t="s">
        <v>858</v>
      </c>
      <c r="AD37" s="4" t="s">
        <v>934</v>
      </c>
      <c r="AE37" s="4" t="s">
        <v>322</v>
      </c>
      <c r="AF37" s="4" t="s">
        <v>1098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</row>
    <row r="38" spans="1:76" x14ac:dyDescent="0.25">
      <c r="A38" s="4" t="s">
        <v>1099</v>
      </c>
      <c r="B38" s="4">
        <v>30</v>
      </c>
      <c r="C38" s="4">
        <v>0</v>
      </c>
      <c r="D38" s="4">
        <v>2</v>
      </c>
      <c r="E38" s="4">
        <v>11</v>
      </c>
      <c r="F38" s="4" t="s">
        <v>288</v>
      </c>
      <c r="G38" s="5">
        <v>0</v>
      </c>
      <c r="H38" s="5">
        <v>0</v>
      </c>
      <c r="I38" s="5">
        <v>1</v>
      </c>
      <c r="J38" s="5">
        <f>1*9.05/100</f>
        <v>9.0500000000000011E-2</v>
      </c>
      <c r="K38" s="5" t="s">
        <v>1100</v>
      </c>
      <c r="L38" s="5">
        <f>49.5*9.05/100</f>
        <v>4.4797500000000001</v>
      </c>
      <c r="M38" s="5" t="s">
        <v>387</v>
      </c>
      <c r="N38" s="5">
        <f>8.4*9.05/100</f>
        <v>0.7602000000000001</v>
      </c>
      <c r="O38" s="5" t="s">
        <v>1031</v>
      </c>
      <c r="P38" s="5">
        <f>41.1*9.05/100</f>
        <v>3.7195500000000004</v>
      </c>
      <c r="Q38" s="4">
        <f>200/200</f>
        <v>1</v>
      </c>
      <c r="R38" s="4">
        <f>3200/200</f>
        <v>16</v>
      </c>
      <c r="S38" s="4">
        <f>16600/200</f>
        <v>83</v>
      </c>
      <c r="T38" s="4" t="s">
        <v>1101</v>
      </c>
      <c r="U38" s="4" t="s">
        <v>238</v>
      </c>
      <c r="V38" s="4">
        <f>2.82*9.05</f>
        <v>25.521000000000001</v>
      </c>
      <c r="W38" s="4">
        <v>98</v>
      </c>
      <c r="X38" s="4" t="s">
        <v>404</v>
      </c>
      <c r="Y38" s="5" t="s">
        <v>249</v>
      </c>
      <c r="Z38" s="4" t="s">
        <v>1102</v>
      </c>
      <c r="AA38" s="4" t="s">
        <v>1103</v>
      </c>
      <c r="AB38" s="4" t="s">
        <v>596</v>
      </c>
      <c r="AC38" s="4" t="s">
        <v>846</v>
      </c>
      <c r="AD38" s="4" t="s">
        <v>777</v>
      </c>
      <c r="AE38" s="4" t="s">
        <v>607</v>
      </c>
      <c r="AF38" s="4" t="s">
        <v>1104</v>
      </c>
      <c r="AG38" s="4" t="s">
        <v>1105</v>
      </c>
      <c r="AH38" s="4" t="s">
        <v>434</v>
      </c>
      <c r="AI38" s="4" t="s">
        <v>338</v>
      </c>
      <c r="AJ38" s="4" t="s">
        <v>1106</v>
      </c>
      <c r="AK38" s="4" t="s">
        <v>1107</v>
      </c>
      <c r="AL38" s="4"/>
      <c r="AM38" s="4">
        <v>411</v>
      </c>
      <c r="AN38" s="4" t="s">
        <v>259</v>
      </c>
      <c r="AO38" s="4" t="s">
        <v>1108</v>
      </c>
      <c r="AP38" s="4" t="s">
        <v>1109</v>
      </c>
      <c r="AQ38" s="4" t="s">
        <v>612</v>
      </c>
      <c r="AR38" s="4"/>
      <c r="AS38" s="4" t="s">
        <v>1110</v>
      </c>
      <c r="AT38" s="4" t="s">
        <v>362</v>
      </c>
      <c r="AU38" s="4" t="s">
        <v>265</v>
      </c>
      <c r="AV38" s="4" t="s">
        <v>1111</v>
      </c>
      <c r="AW38" s="4" t="s">
        <v>1112</v>
      </c>
      <c r="AX38" s="4" t="s">
        <v>323</v>
      </c>
      <c r="AY38" s="4" t="s">
        <v>346</v>
      </c>
      <c r="AZ38" s="4" t="s">
        <v>127</v>
      </c>
      <c r="BA38" s="4">
        <v>3</v>
      </c>
      <c r="BB38" s="4" t="s">
        <v>222</v>
      </c>
      <c r="BC38" s="4" t="s">
        <v>1113</v>
      </c>
      <c r="BD38" s="4" t="s">
        <v>189</v>
      </c>
      <c r="BE38" s="4" t="s">
        <v>346</v>
      </c>
      <c r="BF38" s="4">
        <v>47</v>
      </c>
      <c r="BG38" s="4" t="s">
        <v>1102</v>
      </c>
      <c r="BH38" s="4">
        <v>147</v>
      </c>
      <c r="BI38" s="4">
        <v>57</v>
      </c>
      <c r="BJ38" s="4" t="s">
        <v>231</v>
      </c>
      <c r="BK38" s="4" t="s">
        <v>231</v>
      </c>
      <c r="BL38" s="4" t="s">
        <v>1114</v>
      </c>
      <c r="BM38" s="4" t="s">
        <v>175</v>
      </c>
      <c r="BN38" s="4">
        <v>1</v>
      </c>
      <c r="BO38" s="4" t="s">
        <v>127</v>
      </c>
      <c r="BP38" s="4" t="s">
        <v>230</v>
      </c>
      <c r="BQ38" s="4" t="s">
        <v>460</v>
      </c>
      <c r="BR38" s="4" t="s">
        <v>1115</v>
      </c>
      <c r="BS38" s="4" t="s">
        <v>616</v>
      </c>
      <c r="BT38" s="4" t="s">
        <v>216</v>
      </c>
      <c r="BU38" s="4" t="s">
        <v>1112</v>
      </c>
      <c r="BV38" s="4" t="s">
        <v>1116</v>
      </c>
      <c r="BW38" s="4" t="s">
        <v>1117</v>
      </c>
      <c r="BX38" s="4" t="s">
        <v>1118</v>
      </c>
    </row>
    <row r="39" spans="1:76" x14ac:dyDescent="0.25">
      <c r="A39" s="4" t="s">
        <v>1119</v>
      </c>
      <c r="B39" s="4">
        <v>34</v>
      </c>
      <c r="C39" s="4">
        <v>0</v>
      </c>
      <c r="D39" s="4">
        <v>2</v>
      </c>
      <c r="E39" s="4">
        <v>13</v>
      </c>
      <c r="F39" s="4" t="s">
        <v>149</v>
      </c>
      <c r="G39" s="5" t="s">
        <v>395</v>
      </c>
      <c r="H39" s="5">
        <f>1.7*8.8/100</f>
        <v>0.14960000000000001</v>
      </c>
      <c r="I39" s="5" t="s">
        <v>470</v>
      </c>
      <c r="J39" s="5">
        <f>3.4*8.8/100</f>
        <v>0.29920000000000002</v>
      </c>
      <c r="K39" s="5" t="s">
        <v>1066</v>
      </c>
      <c r="L39" s="5">
        <f>58.4*8.8/100</f>
        <v>5.1392000000000007</v>
      </c>
      <c r="M39" s="5" t="s">
        <v>678</v>
      </c>
      <c r="N39" s="5">
        <f>5.5*8.8/100</f>
        <v>0.48400000000000004</v>
      </c>
      <c r="O39" s="5">
        <v>31</v>
      </c>
      <c r="P39" s="5">
        <f>31*8.8/100</f>
        <v>2.7280000000000002</v>
      </c>
      <c r="Q39" s="4">
        <v>0</v>
      </c>
      <c r="R39" s="4">
        <f>5800/200</f>
        <v>29</v>
      </c>
      <c r="S39" s="4">
        <f>14200/200</f>
        <v>71</v>
      </c>
      <c r="T39" s="4" t="s">
        <v>544</v>
      </c>
      <c r="U39" s="4" t="s">
        <v>349</v>
      </c>
      <c r="V39" s="4">
        <f>2.71*8.8</f>
        <v>23.848000000000003</v>
      </c>
      <c r="W39" s="4"/>
      <c r="X39" s="4"/>
      <c r="Y39" s="5" t="s">
        <v>105</v>
      </c>
      <c r="Z39" s="4">
        <v>0</v>
      </c>
      <c r="AA39" s="4" t="s">
        <v>932</v>
      </c>
      <c r="AB39" s="4" t="s">
        <v>1120</v>
      </c>
      <c r="AC39" s="4" t="s">
        <v>525</v>
      </c>
      <c r="AD39" s="4" t="s">
        <v>1121</v>
      </c>
      <c r="AE39" s="4" t="s">
        <v>1122</v>
      </c>
      <c r="AF39" s="4">
        <v>0</v>
      </c>
      <c r="AG39" s="4">
        <v>1591</v>
      </c>
      <c r="AH39" s="4" t="s">
        <v>638</v>
      </c>
      <c r="AI39" s="4" t="s">
        <v>257</v>
      </c>
      <c r="AJ39" s="4">
        <v>28</v>
      </c>
      <c r="AK39" s="4">
        <v>5691</v>
      </c>
      <c r="AL39" s="4"/>
      <c r="AM39" s="4" t="s">
        <v>459</v>
      </c>
      <c r="AN39" s="4" t="s">
        <v>470</v>
      </c>
      <c r="AO39" s="4">
        <v>1397</v>
      </c>
      <c r="AP39" s="4" t="s">
        <v>664</v>
      </c>
      <c r="AQ39" s="4" t="s">
        <v>410</v>
      </c>
      <c r="AR39" s="4"/>
      <c r="AS39" s="4">
        <v>338</v>
      </c>
      <c r="AT39" s="4" t="s">
        <v>460</v>
      </c>
      <c r="AU39" s="4" t="s">
        <v>471</v>
      </c>
      <c r="AV39" s="4"/>
      <c r="AW39" s="4">
        <v>44</v>
      </c>
      <c r="AX39" s="4" t="s">
        <v>147</v>
      </c>
      <c r="AY39" s="4" t="s">
        <v>434</v>
      </c>
      <c r="AZ39" s="4" t="s">
        <v>146</v>
      </c>
      <c r="BA39" s="4" t="s">
        <v>234</v>
      </c>
      <c r="BB39" s="4"/>
      <c r="BC39" s="4" t="s">
        <v>1123</v>
      </c>
      <c r="BD39" s="4" t="s">
        <v>435</v>
      </c>
      <c r="BE39" s="4" t="s">
        <v>669</v>
      </c>
      <c r="BF39" s="4" t="s">
        <v>1124</v>
      </c>
      <c r="BG39" s="4" t="s">
        <v>437</v>
      </c>
      <c r="BH39" s="4" t="s">
        <v>1039</v>
      </c>
      <c r="BI39" s="4" t="s">
        <v>1125</v>
      </c>
      <c r="BJ39" s="4">
        <v>2</v>
      </c>
      <c r="BK39" s="4" t="s">
        <v>106</v>
      </c>
      <c r="BL39" s="4" t="s">
        <v>348</v>
      </c>
      <c r="BM39" s="4" t="s">
        <v>362</v>
      </c>
      <c r="BN39" s="4" t="s">
        <v>281</v>
      </c>
      <c r="BO39" s="4" t="s">
        <v>275</v>
      </c>
      <c r="BP39" s="4" t="s">
        <v>342</v>
      </c>
      <c r="BQ39" s="4" t="s">
        <v>678</v>
      </c>
      <c r="BR39" s="4" t="s">
        <v>1126</v>
      </c>
      <c r="BS39" s="4" t="s">
        <v>1127</v>
      </c>
      <c r="BT39" s="4" t="s">
        <v>554</v>
      </c>
      <c r="BU39" s="4" t="s">
        <v>339</v>
      </c>
      <c r="BV39" s="4" t="s">
        <v>421</v>
      </c>
      <c r="BW39" s="4" t="s">
        <v>191</v>
      </c>
      <c r="BX39" s="4" t="s">
        <v>915</v>
      </c>
    </row>
    <row r="40" spans="1:76" x14ac:dyDescent="0.25">
      <c r="A40" s="4" t="s">
        <v>1128</v>
      </c>
      <c r="B40" s="4">
        <v>31</v>
      </c>
      <c r="C40" s="4">
        <v>0</v>
      </c>
      <c r="D40" s="4">
        <v>2</v>
      </c>
      <c r="E40" s="4">
        <v>11</v>
      </c>
      <c r="F40" s="4" t="s">
        <v>1129</v>
      </c>
      <c r="G40" s="7">
        <v>0</v>
      </c>
      <c r="H40" s="7">
        <v>0</v>
      </c>
      <c r="I40" s="7" t="s">
        <v>182</v>
      </c>
      <c r="J40" s="7">
        <f>8.45*2.4/100</f>
        <v>0.20279999999999998</v>
      </c>
      <c r="K40" s="7" t="s">
        <v>1130</v>
      </c>
      <c r="L40" s="7">
        <f>75.9*8.45/100</f>
        <v>6.4135499999999999</v>
      </c>
      <c r="M40" s="7" t="s">
        <v>182</v>
      </c>
      <c r="N40" s="7">
        <f>8.45*2.4/100</f>
        <v>0.20279999999999998</v>
      </c>
      <c r="O40" s="7" t="s">
        <v>909</v>
      </c>
      <c r="P40" s="7">
        <f>19.3*8.45/100</f>
        <v>1.6308499999999997</v>
      </c>
      <c r="Q40" s="4">
        <v>9</v>
      </c>
      <c r="R40" s="4">
        <v>63</v>
      </c>
      <c r="S40" s="4">
        <v>28</v>
      </c>
      <c r="T40" s="4" t="s">
        <v>613</v>
      </c>
      <c r="U40" s="4" t="s">
        <v>1131</v>
      </c>
      <c r="V40" s="4" t="s">
        <v>791</v>
      </c>
      <c r="W40" s="4" t="s">
        <v>1132</v>
      </c>
      <c r="X40" s="4" t="s">
        <v>1133</v>
      </c>
      <c r="Y40" s="4" t="s">
        <v>169</v>
      </c>
      <c r="Z40" s="4">
        <v>0</v>
      </c>
      <c r="AA40" s="4" t="s">
        <v>300</v>
      </c>
      <c r="AB40" s="4" t="s">
        <v>1134</v>
      </c>
      <c r="AC40" s="4" t="s">
        <v>248</v>
      </c>
      <c r="AD40" s="4" t="s">
        <v>1135</v>
      </c>
      <c r="AE40" s="4" t="s">
        <v>1136</v>
      </c>
      <c r="AF40" s="4">
        <v>0</v>
      </c>
      <c r="AG40" s="4" t="s">
        <v>624</v>
      </c>
      <c r="AH40" s="4" t="s">
        <v>1137</v>
      </c>
      <c r="AI40" s="4" t="s">
        <v>310</v>
      </c>
      <c r="AJ40" s="4" t="s">
        <v>1138</v>
      </c>
      <c r="AK40" s="4">
        <v>2933</v>
      </c>
      <c r="AL40" s="4" t="s">
        <v>491</v>
      </c>
      <c r="AM40" s="4" t="s">
        <v>1139</v>
      </c>
      <c r="AN40" s="4" t="s">
        <v>590</v>
      </c>
      <c r="AO40" s="4" t="s">
        <v>1140</v>
      </c>
      <c r="AP40" s="4" t="s">
        <v>1141</v>
      </c>
      <c r="AQ40" s="4" t="s">
        <v>597</v>
      </c>
      <c r="AR40" s="4" t="s">
        <v>1142</v>
      </c>
      <c r="AS40" s="4" t="s">
        <v>1143</v>
      </c>
      <c r="AT40" s="4">
        <v>11</v>
      </c>
      <c r="AU40" s="4" t="s">
        <v>174</v>
      </c>
      <c r="AV40" s="4" t="s">
        <v>126</v>
      </c>
      <c r="AW40" s="4" t="s">
        <v>1144</v>
      </c>
      <c r="AX40" s="4" t="s">
        <v>1145</v>
      </c>
      <c r="AY40" s="4" t="s">
        <v>322</v>
      </c>
      <c r="AZ40" s="4" t="s">
        <v>169</v>
      </c>
      <c r="BA40" s="4" t="s">
        <v>85</v>
      </c>
      <c r="BB40" s="4" t="s">
        <v>511</v>
      </c>
      <c r="BC40" s="4" t="s">
        <v>1146</v>
      </c>
      <c r="BD40" s="4" t="s">
        <v>220</v>
      </c>
      <c r="BE40" s="4" t="s">
        <v>651</v>
      </c>
      <c r="BF40" s="4" t="s">
        <v>1147</v>
      </c>
      <c r="BG40" s="4">
        <v>4</v>
      </c>
      <c r="BH40" s="4" t="s">
        <v>1148</v>
      </c>
      <c r="BI40" s="4" t="s">
        <v>1149</v>
      </c>
      <c r="BJ40" s="4" t="s">
        <v>470</v>
      </c>
      <c r="BK40" s="4" t="s">
        <v>468</v>
      </c>
      <c r="BL40" s="4" t="s">
        <v>904</v>
      </c>
      <c r="BM40" s="4" t="s">
        <v>615</v>
      </c>
      <c r="BN40" s="4" t="s">
        <v>263</v>
      </c>
      <c r="BO40" s="4" t="s">
        <v>275</v>
      </c>
      <c r="BP40" s="4">
        <v>1</v>
      </c>
      <c r="BQ40" s="4" t="s">
        <v>418</v>
      </c>
      <c r="BR40" s="4" t="s">
        <v>1150</v>
      </c>
      <c r="BS40" s="4" t="s">
        <v>543</v>
      </c>
      <c r="BT40" s="4" t="s">
        <v>1151</v>
      </c>
      <c r="BU40" s="4" t="s">
        <v>1152</v>
      </c>
      <c r="BV40" s="4" t="s">
        <v>300</v>
      </c>
      <c r="BW40" s="4">
        <v>138</v>
      </c>
      <c r="BX40" s="4" t="s">
        <v>1153</v>
      </c>
    </row>
    <row r="41" spans="1:76" x14ac:dyDescent="0.25">
      <c r="A41" s="9" t="s">
        <v>1154</v>
      </c>
      <c r="B41" s="9">
        <v>31</v>
      </c>
      <c r="C41" s="9">
        <v>1</v>
      </c>
      <c r="D41" s="9">
        <v>2</v>
      </c>
      <c r="E41" s="9">
        <v>35</v>
      </c>
      <c r="F41" s="4">
        <v>12</v>
      </c>
      <c r="G41" s="5">
        <v>0</v>
      </c>
      <c r="H41" s="5">
        <v>0</v>
      </c>
      <c r="I41" s="5">
        <v>1</v>
      </c>
      <c r="J41" s="5">
        <f>1*12/100</f>
        <v>0.12</v>
      </c>
      <c r="K41" s="5" t="s">
        <v>1155</v>
      </c>
      <c r="L41" s="5">
        <f>74.4*12/100</f>
        <v>8.9280000000000008</v>
      </c>
      <c r="M41" s="5" t="s">
        <v>280</v>
      </c>
      <c r="N41" s="5">
        <f>4.9*12/100</f>
        <v>0.58800000000000008</v>
      </c>
      <c r="O41" s="5" t="s">
        <v>967</v>
      </c>
      <c r="P41" s="5">
        <f>19.7*12/100</f>
        <v>2.3639999999999999</v>
      </c>
      <c r="Q41" s="4">
        <f>600/200</f>
        <v>3</v>
      </c>
      <c r="R41" s="4">
        <f>7400/200</f>
        <v>37</v>
      </c>
      <c r="S41" s="4">
        <f>12000/200</f>
        <v>60</v>
      </c>
      <c r="T41" s="4" t="s">
        <v>1156</v>
      </c>
      <c r="U41" s="4" t="s">
        <v>1157</v>
      </c>
      <c r="V41" s="4">
        <f>2.57*12</f>
        <v>30.839999999999996</v>
      </c>
      <c r="W41" s="4">
        <v>77</v>
      </c>
      <c r="X41" s="4" t="s">
        <v>1158</v>
      </c>
      <c r="Y41" s="5" t="s">
        <v>483</v>
      </c>
      <c r="Z41" s="4" t="s">
        <v>829</v>
      </c>
      <c r="AA41" s="4">
        <v>2</v>
      </c>
      <c r="AB41" s="4" t="s">
        <v>146</v>
      </c>
      <c r="AC41" s="4" t="s">
        <v>1159</v>
      </c>
      <c r="AD41" s="4" t="s">
        <v>1160</v>
      </c>
      <c r="AE41" s="4">
        <v>4</v>
      </c>
      <c r="AF41" s="4" t="s">
        <v>1161</v>
      </c>
      <c r="AG41" s="4" t="s">
        <v>352</v>
      </c>
      <c r="AH41" s="4" t="s">
        <v>774</v>
      </c>
      <c r="AI41" s="4" t="s">
        <v>1162</v>
      </c>
      <c r="AJ41" s="4">
        <v>227</v>
      </c>
      <c r="AK41" s="4">
        <v>30260</v>
      </c>
      <c r="AL41" s="4" t="s">
        <v>1163</v>
      </c>
      <c r="AM41" s="4">
        <v>511</v>
      </c>
      <c r="AN41" s="4" t="s">
        <v>380</v>
      </c>
      <c r="AO41" s="4" t="s">
        <v>1164</v>
      </c>
      <c r="AP41" s="4" t="s">
        <v>1165</v>
      </c>
      <c r="AQ41" s="4" t="s">
        <v>1166</v>
      </c>
      <c r="AR41" s="4" t="s">
        <v>182</v>
      </c>
      <c r="AS41" s="4" t="s">
        <v>1167</v>
      </c>
      <c r="AT41" s="4">
        <v>15</v>
      </c>
      <c r="AU41" s="4" t="s">
        <v>471</v>
      </c>
      <c r="AV41" s="4" t="s">
        <v>1168</v>
      </c>
      <c r="AW41" s="4" t="s">
        <v>1112</v>
      </c>
      <c r="AX41" s="4" t="s">
        <v>723</v>
      </c>
      <c r="AY41" s="8" t="s">
        <v>134</v>
      </c>
      <c r="AZ41" s="8" t="s">
        <v>173</v>
      </c>
      <c r="BA41" s="8" t="s">
        <v>424</v>
      </c>
      <c r="BB41" s="8" t="s">
        <v>1169</v>
      </c>
      <c r="BC41" s="8" t="s">
        <v>1170</v>
      </c>
      <c r="BD41" s="8" t="s">
        <v>272</v>
      </c>
      <c r="BE41" s="8" t="s">
        <v>1171</v>
      </c>
      <c r="BF41" s="8" t="s">
        <v>1172</v>
      </c>
      <c r="BG41" s="8" t="s">
        <v>744</v>
      </c>
      <c r="BH41" s="8" t="s">
        <v>1173</v>
      </c>
      <c r="BI41" s="8" t="s">
        <v>1174</v>
      </c>
      <c r="BJ41" s="4" t="s">
        <v>434</v>
      </c>
      <c r="BK41" s="4" t="s">
        <v>1175</v>
      </c>
      <c r="BL41" s="4" t="s">
        <v>1176</v>
      </c>
      <c r="BM41" s="4" t="s">
        <v>868</v>
      </c>
      <c r="BN41" s="4"/>
      <c r="BO41" s="4"/>
      <c r="BP41" s="4"/>
      <c r="BQ41" s="4" t="s">
        <v>262</v>
      </c>
      <c r="BR41" s="4" t="s">
        <v>1177</v>
      </c>
      <c r="BS41" s="4" t="s">
        <v>1178</v>
      </c>
      <c r="BT41" s="4" t="s">
        <v>744</v>
      </c>
      <c r="BU41" s="4" t="s">
        <v>1179</v>
      </c>
      <c r="BV41" s="4" t="s">
        <v>126</v>
      </c>
      <c r="BW41" s="4" t="s">
        <v>1117</v>
      </c>
      <c r="BX41" s="4" t="s">
        <v>945</v>
      </c>
    </row>
    <row r="42" spans="1:76" x14ac:dyDescent="0.25">
      <c r="A42" s="9" t="s">
        <v>1180</v>
      </c>
      <c r="B42" s="9">
        <v>29</v>
      </c>
      <c r="C42" s="9">
        <v>1</v>
      </c>
      <c r="D42" s="9">
        <v>2</v>
      </c>
      <c r="E42" s="9">
        <v>23</v>
      </c>
      <c r="F42" s="4" t="s">
        <v>76</v>
      </c>
      <c r="G42" s="7" t="s">
        <v>77</v>
      </c>
      <c r="H42" s="7">
        <f>0.5*9.5/100</f>
        <v>4.7500000000000001E-2</v>
      </c>
      <c r="I42" s="7">
        <f>600/200</f>
        <v>3</v>
      </c>
      <c r="J42" s="7">
        <f>3*9.5/100</f>
        <v>0.28499999999999998</v>
      </c>
      <c r="K42" s="7">
        <f>11500/200</f>
        <v>57.5</v>
      </c>
      <c r="L42" s="7">
        <f>57.5*9.5/100</f>
        <v>5.4625000000000004</v>
      </c>
      <c r="M42" s="7">
        <f>500/200</f>
        <v>2.5</v>
      </c>
      <c r="N42" s="7">
        <f>2.5*9.5/100</f>
        <v>0.23749999999999999</v>
      </c>
      <c r="O42" s="7">
        <f>7300/200</f>
        <v>36.5</v>
      </c>
      <c r="P42" s="7">
        <f>36.5*9.5/100</f>
        <v>3.4674999999999998</v>
      </c>
      <c r="Q42" s="5">
        <v>46</v>
      </c>
      <c r="R42" s="5">
        <v>50</v>
      </c>
      <c r="S42" s="4">
        <v>4</v>
      </c>
      <c r="T42" s="4" t="s">
        <v>82</v>
      </c>
      <c r="U42" s="4" t="s">
        <v>1181</v>
      </c>
      <c r="V42" s="4" t="s">
        <v>1182</v>
      </c>
      <c r="W42" s="4"/>
      <c r="X42" s="4"/>
      <c r="Y42" s="4" t="s">
        <v>424</v>
      </c>
      <c r="Z42" s="4" t="s">
        <v>1183</v>
      </c>
      <c r="AA42" s="4" t="s">
        <v>523</v>
      </c>
      <c r="AB42" s="4" t="s">
        <v>954</v>
      </c>
      <c r="AC42" s="4" t="s">
        <v>1184</v>
      </c>
      <c r="AD42" s="4" t="s">
        <v>766</v>
      </c>
      <c r="AE42" s="4" t="s">
        <v>1169</v>
      </c>
      <c r="AF42" s="4">
        <v>73</v>
      </c>
      <c r="AG42" s="4">
        <v>1375</v>
      </c>
      <c r="AH42" s="4">
        <v>5</v>
      </c>
      <c r="AI42" s="4" t="s">
        <v>1185</v>
      </c>
      <c r="AJ42" s="4">
        <v>83</v>
      </c>
      <c r="AK42" s="4">
        <v>7427</v>
      </c>
      <c r="AL42" s="4">
        <v>2</v>
      </c>
      <c r="AM42" s="4" t="s">
        <v>1139</v>
      </c>
      <c r="AN42" s="4">
        <v>16</v>
      </c>
      <c r="AO42" s="4" t="s">
        <v>1186</v>
      </c>
      <c r="AP42" s="4" t="s">
        <v>142</v>
      </c>
      <c r="AQ42" s="4" t="s">
        <v>1187</v>
      </c>
      <c r="AR42" s="4" t="s">
        <v>90</v>
      </c>
      <c r="AS42" s="4" t="s">
        <v>1188</v>
      </c>
      <c r="AT42" s="4" t="s">
        <v>1189</v>
      </c>
      <c r="AU42" s="4" t="s">
        <v>243</v>
      </c>
      <c r="AV42" s="4" t="s">
        <v>265</v>
      </c>
      <c r="AW42" s="4" t="s">
        <v>1190</v>
      </c>
      <c r="AX42" s="4" t="s">
        <v>1191</v>
      </c>
      <c r="AY42" s="4" t="s">
        <v>430</v>
      </c>
      <c r="AZ42" s="4" t="s">
        <v>146</v>
      </c>
      <c r="BA42" s="4" t="s">
        <v>468</v>
      </c>
      <c r="BB42" s="4" t="s">
        <v>235</v>
      </c>
      <c r="BC42" s="4" t="s">
        <v>1192</v>
      </c>
      <c r="BD42" s="4" t="s">
        <v>959</v>
      </c>
      <c r="BE42" s="4" t="s">
        <v>1193</v>
      </c>
      <c r="BF42" s="4" t="s">
        <v>1130</v>
      </c>
      <c r="BG42" s="4" t="s">
        <v>1194</v>
      </c>
      <c r="BH42" s="4">
        <v>152</v>
      </c>
      <c r="BI42" s="4" t="s">
        <v>1195</v>
      </c>
      <c r="BJ42" s="4" t="s">
        <v>395</v>
      </c>
      <c r="BK42" s="4" t="s">
        <v>157</v>
      </c>
      <c r="BL42" s="4" t="s">
        <v>1196</v>
      </c>
      <c r="BM42" s="4" t="s">
        <v>981</v>
      </c>
      <c r="BN42" s="4" t="s">
        <v>149</v>
      </c>
      <c r="BO42" s="4" t="s">
        <v>173</v>
      </c>
      <c r="BP42" s="4" t="s">
        <v>149</v>
      </c>
      <c r="BQ42" s="4" t="s">
        <v>222</v>
      </c>
      <c r="BR42" s="4">
        <v>194</v>
      </c>
      <c r="BS42" s="4" t="s">
        <v>348</v>
      </c>
      <c r="BT42" s="4" t="s">
        <v>282</v>
      </c>
      <c r="BU42" s="4" t="s">
        <v>1197</v>
      </c>
      <c r="BV42" s="4" t="s">
        <v>389</v>
      </c>
      <c r="BW42" s="4" t="s">
        <v>937</v>
      </c>
      <c r="BX42" s="4" t="s">
        <v>1198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RePack by SPecialiST</dc:creator>
  <dc:description/>
  <cp:lastModifiedBy>kartopelka</cp:lastModifiedBy>
  <cp:revision>11</cp:revision>
  <cp:lastPrinted>2016-03-04T19:48:00Z</cp:lastPrinted>
  <dcterms:created xsi:type="dcterms:W3CDTF">2016-03-04T19:36:34Z</dcterms:created>
  <dcterms:modified xsi:type="dcterms:W3CDTF">2020-06-03T07:37:38Z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