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Lab IV\5\"/>
    </mc:Choice>
  </mc:AlternateContent>
  <xr:revisionPtr revIDLastSave="0" documentId="13_ncr:1_{12EAB9DB-4EE5-4973-B6CD-CA65EA64B30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Table I" sheetId="1" r:id="rId1"/>
    <sheet name="Table II" sheetId="2" r:id="rId2"/>
    <sheet name="Table III" sheetId="3" r:id="rId3"/>
    <sheet name="Table IV" sheetId="5" r:id="rId4"/>
    <sheet name="Table V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E10" i="6" s="1"/>
  <c r="F10" i="6" s="1"/>
  <c r="D9" i="6"/>
  <c r="E9" i="6" s="1"/>
  <c r="F9" i="6" s="1"/>
  <c r="D8" i="6"/>
  <c r="E8" i="6" s="1"/>
  <c r="F8" i="6" s="1"/>
  <c r="F4" i="6"/>
  <c r="F5" i="6"/>
  <c r="F3" i="6"/>
  <c r="E4" i="6"/>
  <c r="E5" i="6"/>
  <c r="E3" i="6"/>
  <c r="D4" i="6"/>
  <c r="D5" i="6"/>
  <c r="D3" i="6"/>
  <c r="J6" i="3"/>
  <c r="J7" i="3"/>
  <c r="J8" i="3"/>
  <c r="J5" i="3"/>
  <c r="D16" i="3"/>
  <c r="H6" i="3"/>
  <c r="H7" i="3"/>
  <c r="H8" i="3"/>
  <c r="H5" i="3"/>
  <c r="J9" i="2"/>
  <c r="K9" i="2"/>
  <c r="F4" i="5"/>
  <c r="D5" i="5"/>
  <c r="D4" i="5"/>
  <c r="J6" i="2"/>
  <c r="K6" i="2" s="1"/>
  <c r="J7" i="2"/>
  <c r="K7" i="2" s="1"/>
  <c r="J5" i="2"/>
  <c r="F6" i="3"/>
  <c r="G6" i="3" s="1"/>
  <c r="C17" i="3" s="1"/>
  <c r="D17" i="3" s="1"/>
  <c r="F7" i="3"/>
  <c r="G7" i="3" s="1"/>
  <c r="C18" i="3" s="1"/>
  <c r="D18" i="3" s="1"/>
  <c r="F8" i="3"/>
  <c r="G8" i="3" s="1"/>
  <c r="C19" i="3" s="1"/>
  <c r="D19" i="3" s="1"/>
  <c r="F5" i="3"/>
  <c r="G5" i="3" s="1"/>
  <c r="C16" i="3" s="1"/>
  <c r="G5" i="1"/>
  <c r="G6" i="1"/>
  <c r="G7" i="1"/>
  <c r="G4" i="1"/>
  <c r="F5" i="1"/>
  <c r="F6" i="1"/>
  <c r="F7" i="1"/>
  <c r="F4" i="1"/>
  <c r="D20" i="3" l="1"/>
  <c r="D25" i="3" s="1"/>
  <c r="E25" i="3" s="1"/>
  <c r="D21" i="3"/>
  <c r="J8" i="2"/>
  <c r="K5" i="2"/>
  <c r="K8" i="2"/>
</calcChain>
</file>

<file path=xl/sharedStrings.xml><?xml version="1.0" encoding="utf-8"?>
<sst xmlns="http://schemas.openxmlformats.org/spreadsheetml/2006/main" count="49" uniqueCount="36">
  <si>
    <t>n</t>
  </si>
  <si>
    <t>\theta_k</t>
  </si>
  <si>
    <t>\theta_k'</t>
  </si>
  <si>
    <t>d\theta</t>
  </si>
  <si>
    <t>d\theta/2</t>
  </si>
  <si>
    <t>Colour</t>
  </si>
  <si>
    <t>\lambda(A)</t>
  </si>
  <si>
    <t>n(order)</t>
  </si>
  <si>
    <t>\theta</t>
  </si>
  <si>
    <t>d</t>
  </si>
  <si>
    <t>Red</t>
  </si>
  <si>
    <t>Yellow</t>
  </si>
  <si>
    <t>Green</t>
  </si>
  <si>
    <t>Sin(\theta)</t>
  </si>
  <si>
    <t>Violet</t>
  </si>
  <si>
    <t>Blue</t>
  </si>
  <si>
    <t xml:space="preserve">Green </t>
  </si>
  <si>
    <t>n(Order)</t>
  </si>
  <si>
    <t>N(mm)</t>
  </si>
  <si>
    <t>\lambda(nm)</t>
  </si>
  <si>
    <t>Rydberg Const (1/nm)</t>
  </si>
  <si>
    <t>Relative Error</t>
  </si>
  <si>
    <t>% Error</t>
  </si>
  <si>
    <t>Real Rydberg Const</t>
  </si>
  <si>
    <t>Average</t>
  </si>
  <si>
    <t>\lambda</t>
  </si>
  <si>
    <t>delta\lambda</t>
  </si>
  <si>
    <t>مرتبه</t>
  </si>
  <si>
    <t>Variance</t>
  </si>
  <si>
    <t xml:space="preserve">Variance </t>
  </si>
  <si>
    <t>Error of dependent quantity</t>
  </si>
  <si>
    <t xml:space="preserve">Rydberg Constant dependent Error </t>
  </si>
  <si>
    <t>order</t>
  </si>
  <si>
    <t>sin(\theta)</t>
  </si>
  <si>
    <t>\theta(rad)</t>
  </si>
  <si>
    <t>\theta(deg)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</si>
</sst>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7"/>
  <sheetViews>
    <sheetView workbookViewId="0">
      <selection activeCell="F6" sqref="F6"/>
    </sheetView>
  </sheetViews>
  <sheetFormatPr defaultRowHeight="14.4" x14ac:dyDescent="0.3"/>
  <sheetData>
    <row r="3" spans="3:7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7" x14ac:dyDescent="0.3">
      <c r="C4">
        <v>1</v>
      </c>
      <c r="D4">
        <v>20.91</v>
      </c>
      <c r="E4">
        <v>20.91</v>
      </c>
      <c r="F4">
        <f>E4-D4</f>
        <v>0</v>
      </c>
      <c r="G4">
        <f>F4/2</f>
        <v>0</v>
      </c>
    </row>
    <row r="5" spans="3:7" x14ac:dyDescent="0.3">
      <c r="C5">
        <v>1</v>
      </c>
      <c r="D5">
        <v>20.91</v>
      </c>
      <c r="E5">
        <v>20.91</v>
      </c>
      <c r="F5">
        <f t="shared" ref="F5:F7" si="0">E5-D5</f>
        <v>0</v>
      </c>
      <c r="G5">
        <f t="shared" ref="G5:G7" si="1">F5/2</f>
        <v>0</v>
      </c>
    </row>
    <row r="6" spans="3:7" x14ac:dyDescent="0.3">
      <c r="C6">
        <v>1</v>
      </c>
      <c r="D6">
        <v>20.91</v>
      </c>
      <c r="E6">
        <v>20.91</v>
      </c>
      <c r="F6">
        <f t="shared" si="0"/>
        <v>0</v>
      </c>
      <c r="G6">
        <f t="shared" si="1"/>
        <v>0</v>
      </c>
    </row>
    <row r="7" spans="3:7" x14ac:dyDescent="0.3">
      <c r="C7">
        <v>1</v>
      </c>
      <c r="D7">
        <v>20.91</v>
      </c>
      <c r="E7">
        <v>20.91</v>
      </c>
      <c r="F7">
        <f t="shared" si="0"/>
        <v>0</v>
      </c>
      <c r="G7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2E81-178C-47EF-8736-50AECDC3F6A8}">
  <dimension ref="C4:K9"/>
  <sheetViews>
    <sheetView topLeftCell="B1" workbookViewId="0">
      <selection activeCell="J9" sqref="J9"/>
    </sheetView>
  </sheetViews>
  <sheetFormatPr defaultRowHeight="14.4" x14ac:dyDescent="0.3"/>
  <sheetData>
    <row r="4" spans="3:11" x14ac:dyDescent="0.3">
      <c r="C4" t="s">
        <v>5</v>
      </c>
      <c r="D4" t="s">
        <v>6</v>
      </c>
      <c r="E4" t="s">
        <v>7</v>
      </c>
      <c r="F4" t="s">
        <v>8</v>
      </c>
      <c r="I4" t="s">
        <v>27</v>
      </c>
      <c r="J4" t="s">
        <v>9</v>
      </c>
      <c r="K4" t="s">
        <v>18</v>
      </c>
    </row>
    <row r="5" spans="3:11" x14ac:dyDescent="0.3">
      <c r="C5" t="s">
        <v>10</v>
      </c>
      <c r="D5">
        <v>6154.4</v>
      </c>
      <c r="E5">
        <v>1</v>
      </c>
      <c r="F5">
        <v>21.89</v>
      </c>
      <c r="I5" s="1">
        <v>1</v>
      </c>
      <c r="J5">
        <f>D5/(SIN(RADIANS(F5)))</f>
        <v>16507.439553612163</v>
      </c>
      <c r="K5">
        <f>10000000/J5</f>
        <v>605.78746737326674</v>
      </c>
    </row>
    <row r="6" spans="3:11" x14ac:dyDescent="0.3">
      <c r="C6" t="s">
        <v>11</v>
      </c>
      <c r="D6">
        <v>5890</v>
      </c>
      <c r="E6">
        <v>1</v>
      </c>
      <c r="F6">
        <v>21.01</v>
      </c>
      <c r="I6" s="1">
        <v>2</v>
      </c>
      <c r="J6">
        <f>D6/(SIN(RADIANS(F6)))</f>
        <v>16428.152365239115</v>
      </c>
      <c r="K6">
        <f t="shared" ref="K6:K7" si="0">10000000/J6</f>
        <v>608.71117930214348</v>
      </c>
    </row>
    <row r="7" spans="3:11" x14ac:dyDescent="0.3">
      <c r="C7" t="s">
        <v>12</v>
      </c>
      <c r="D7">
        <v>5682.7</v>
      </c>
      <c r="E7">
        <v>1</v>
      </c>
      <c r="F7">
        <v>20.11</v>
      </c>
      <c r="I7" s="1">
        <v>3</v>
      </c>
      <c r="J7">
        <f>D7/(SIN(RADIANS(F7)))</f>
        <v>16527.952498404371</v>
      </c>
      <c r="K7">
        <f t="shared" si="0"/>
        <v>605.03562077428603</v>
      </c>
    </row>
    <row r="8" spans="3:11" x14ac:dyDescent="0.3">
      <c r="I8" t="s">
        <v>24</v>
      </c>
      <c r="J8">
        <f>AVERAGE(J5:J7)</f>
        <v>16487.848139085214</v>
      </c>
      <c r="K8">
        <f>AVERAGE(K5:K7)</f>
        <v>606.5114224832322</v>
      </c>
    </row>
    <row r="9" spans="3:11" x14ac:dyDescent="0.3">
      <c r="I9" t="s">
        <v>28</v>
      </c>
      <c r="J9">
        <f>_xlfn.STDEV.S(J5:J7)</f>
        <v>52.705638098079099</v>
      </c>
      <c r="K9">
        <f>_xlfn.STDEV.S(K5:K7)</f>
        <v>1.9417816236281831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2667-8691-44ED-BEEA-879761F8B9CA}">
  <dimension ref="C4:J25"/>
  <sheetViews>
    <sheetView topLeftCell="B13" workbookViewId="0">
      <selection activeCell="H15" sqref="H15"/>
    </sheetView>
  </sheetViews>
  <sheetFormatPr defaultRowHeight="14.4" x14ac:dyDescent="0.3"/>
  <cols>
    <col min="10" max="10" width="12" bestFit="1" customWidth="1"/>
  </cols>
  <sheetData>
    <row r="4" spans="3:10" x14ac:dyDescent="0.3">
      <c r="C4" t="s">
        <v>5</v>
      </c>
      <c r="D4" t="s">
        <v>17</v>
      </c>
      <c r="E4" t="s">
        <v>8</v>
      </c>
      <c r="F4" t="s">
        <v>13</v>
      </c>
      <c r="G4" t="s">
        <v>6</v>
      </c>
      <c r="H4" t="s">
        <v>30</v>
      </c>
      <c r="J4" t="s">
        <v>31</v>
      </c>
    </row>
    <row r="5" spans="3:10" x14ac:dyDescent="0.3">
      <c r="C5" t="s">
        <v>14</v>
      </c>
      <c r="D5">
        <v>1</v>
      </c>
      <c r="E5">
        <v>14.41</v>
      </c>
      <c r="F5">
        <f>SIN(RADIANS(E5))</f>
        <v>0.24885893302864365</v>
      </c>
      <c r="G5">
        <f>16487.85*F5</f>
        <v>4103.1487589363214</v>
      </c>
      <c r="H5">
        <f>((52.705*SIN(RADIANS(E5)))^2+(16487.85*COS(RADIANS(E5))*RADIANS(1/60))^2)^0.5</f>
        <v>13.914400512258521</v>
      </c>
      <c r="J5">
        <f>ABS(H5/(G5^2)*1/(1/4-1/36))</f>
        <v>3.7191396729311357E-6</v>
      </c>
    </row>
    <row r="6" spans="3:10" x14ac:dyDescent="0.3">
      <c r="C6" t="s">
        <v>15</v>
      </c>
      <c r="D6">
        <v>1</v>
      </c>
      <c r="E6">
        <v>15.37</v>
      </c>
      <c r="F6">
        <f t="shared" ref="F6:F8" si="0">SIN(RADIANS(E6))</f>
        <v>0.26505128193479954</v>
      </c>
      <c r="G6">
        <f t="shared" ref="G6:G8" si="1">16487.85*F6</f>
        <v>4370.1257788486846</v>
      </c>
      <c r="H6">
        <f>((52.705*SIN(RADIANS(E6)))^2+(16487.85*COS(RADIANS(E6))*RADIANS(1/60))^2)^0.5</f>
        <v>14.715110944173583</v>
      </c>
      <c r="J6">
        <f t="shared" ref="J6:J8" si="2">ABS(H6/(G6^2)*1/(1/4-1/36))</f>
        <v>3.4672741436942072E-6</v>
      </c>
    </row>
    <row r="7" spans="3:10" x14ac:dyDescent="0.3">
      <c r="C7" t="s">
        <v>16</v>
      </c>
      <c r="D7">
        <v>1</v>
      </c>
      <c r="E7">
        <v>17.32</v>
      </c>
      <c r="F7">
        <f t="shared" si="0"/>
        <v>0.29770813034431065</v>
      </c>
      <c r="G7">
        <f t="shared" si="1"/>
        <v>4908.5669968974416</v>
      </c>
      <c r="H7">
        <f>((52.705*SIN(RADIANS(E7)))^2+(16487.85*COS(RADIANS(E7))*RADIANS(1/60))^2)^0.5</f>
        <v>16.34510095813194</v>
      </c>
      <c r="J7">
        <f t="shared" si="2"/>
        <v>3.0527460298028767E-6</v>
      </c>
    </row>
    <row r="8" spans="3:10" x14ac:dyDescent="0.3">
      <c r="C8" t="s">
        <v>10</v>
      </c>
      <c r="D8">
        <v>1</v>
      </c>
      <c r="E8">
        <v>23.62</v>
      </c>
      <c r="F8">
        <f t="shared" si="0"/>
        <v>0.40066887909520993</v>
      </c>
      <c r="G8">
        <f t="shared" si="1"/>
        <v>6606.1683781899565</v>
      </c>
      <c r="H8">
        <f>((52.705*SIN(RADIANS(E8)))^2+(16487.85*COS(RADIANS(E8))*RADIANS(1/60))^2)^0.5</f>
        <v>21.569617526336177</v>
      </c>
      <c r="J8">
        <f t="shared" si="2"/>
        <v>2.2241070175669432E-6</v>
      </c>
    </row>
    <row r="15" spans="3:10" x14ac:dyDescent="0.3">
      <c r="C15" t="s">
        <v>19</v>
      </c>
      <c r="D15" t="s">
        <v>20</v>
      </c>
    </row>
    <row r="16" spans="3:10" x14ac:dyDescent="0.3">
      <c r="C16">
        <f>G5*0.1</f>
        <v>410.31487589363218</v>
      </c>
      <c r="D16">
        <f>1/(1/4-1/36)/C16</f>
        <v>1.0967187066272869E-2</v>
      </c>
    </row>
    <row r="17" spans="3:5" x14ac:dyDescent="0.3">
      <c r="C17">
        <f>G6*0.1</f>
        <v>437.01257788486851</v>
      </c>
      <c r="D17">
        <f>1/(1/4-1/25)/C17</f>
        <v>1.0896493608839083E-2</v>
      </c>
    </row>
    <row r="18" spans="3:5" x14ac:dyDescent="0.3">
      <c r="C18">
        <f>G7*0.1</f>
        <v>490.85669968974418</v>
      </c>
      <c r="D18">
        <f>1/(1/4-1/16)/C18</f>
        <v>1.0865357112787445E-2</v>
      </c>
    </row>
    <row r="19" spans="3:5" x14ac:dyDescent="0.3">
      <c r="C19">
        <f>G8*0.1</f>
        <v>660.61683781899569</v>
      </c>
      <c r="D19">
        <f>1/(1/4-1/9)/C19</f>
        <v>1.0898904762661754E-2</v>
      </c>
    </row>
    <row r="20" spans="3:5" x14ac:dyDescent="0.3">
      <c r="C20" t="s">
        <v>24</v>
      </c>
      <c r="D20">
        <f>AVERAGE(D16:D19)</f>
        <v>1.0906985637640289E-2</v>
      </c>
    </row>
    <row r="21" spans="3:5" x14ac:dyDescent="0.3">
      <c r="C21" t="s">
        <v>29</v>
      </c>
      <c r="D21">
        <f>_xlfn.STDEV.S(D16:D19)</f>
        <v>4.2943875386413712E-5</v>
      </c>
    </row>
    <row r="24" spans="3:5" x14ac:dyDescent="0.3">
      <c r="C24" t="s">
        <v>23</v>
      </c>
      <c r="D24" t="s">
        <v>21</v>
      </c>
      <c r="E24" t="s">
        <v>22</v>
      </c>
    </row>
    <row r="25" spans="3:5" x14ac:dyDescent="0.3">
      <c r="C25">
        <v>1.0973729999999999E-2</v>
      </c>
      <c r="D25">
        <f>(C25-D20)/C25</f>
        <v>6.0821946922067953E-3</v>
      </c>
      <c r="E25">
        <f>D25*100</f>
        <v>0.60821946922067949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B677-F54D-4A79-A9F5-C7969A9CF53C}">
  <dimension ref="B3:F5"/>
  <sheetViews>
    <sheetView workbookViewId="0">
      <selection activeCell="B6" sqref="B6"/>
    </sheetView>
  </sheetViews>
  <sheetFormatPr defaultRowHeight="14.4" x14ac:dyDescent="0.3"/>
  <sheetData>
    <row r="3" spans="2:6" x14ac:dyDescent="0.3">
      <c r="B3" t="s">
        <v>8</v>
      </c>
      <c r="C3" t="s">
        <v>7</v>
      </c>
      <c r="D3" t="s">
        <v>25</v>
      </c>
      <c r="F3" t="s">
        <v>26</v>
      </c>
    </row>
    <row r="4" spans="2:6" x14ac:dyDescent="0.3">
      <c r="B4">
        <v>45.55</v>
      </c>
      <c r="C4">
        <v>2</v>
      </c>
      <c r="D4">
        <f>16487.85*SIN(RADIANS(B4))/2</f>
        <v>5885.023438093298</v>
      </c>
      <c r="F4">
        <f>D5-D4</f>
        <v>6.0423586765746222</v>
      </c>
    </row>
    <row r="5" spans="2:6" x14ac:dyDescent="0.3">
      <c r="B5">
        <v>45.61</v>
      </c>
      <c r="C5">
        <v>2</v>
      </c>
      <c r="D5">
        <f>16487.85*SIN(RADIANS(B5))/2</f>
        <v>5891.0657967698726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C22B-290A-4FBA-BAD9-E41EB5652347}">
  <dimension ref="B2:F10"/>
  <sheetViews>
    <sheetView tabSelected="1" workbookViewId="0">
      <selection activeCell="B2" sqref="B2"/>
    </sheetView>
  </sheetViews>
  <sheetFormatPr defaultRowHeight="14.4" x14ac:dyDescent="0.3"/>
  <sheetData>
    <row r="2" spans="2:6" x14ac:dyDescent="0.3">
      <c r="B2" t="s">
        <v>25</v>
      </c>
      <c r="C2" t="s">
        <v>32</v>
      </c>
      <c r="D2" t="s">
        <v>33</v>
      </c>
      <c r="E2" t="s">
        <v>34</v>
      </c>
      <c r="F2" t="s">
        <v>35</v>
      </c>
    </row>
    <row r="3" spans="2:6" x14ac:dyDescent="0.3">
      <c r="B3">
        <v>5682.2</v>
      </c>
      <c r="C3">
        <v>1</v>
      </c>
      <c r="D3">
        <f>C3*B3/16666.67</f>
        <v>0.34093193181361364</v>
      </c>
      <c r="E3">
        <f>ASIN(D3)</f>
        <v>0.34790804359135186</v>
      </c>
      <c r="F3">
        <f>DEGREES(E3)</f>
        <v>19.93366255643793</v>
      </c>
    </row>
    <row r="4" spans="2:6" x14ac:dyDescent="0.3">
      <c r="B4">
        <v>5800</v>
      </c>
      <c r="C4">
        <v>1</v>
      </c>
      <c r="D4">
        <f t="shared" ref="D4:D5" si="0">C4*B4/16666.67</f>
        <v>0.34799993040001398</v>
      </c>
      <c r="E4">
        <f t="shared" ref="E4:E5" si="1">ASIN(D4)</f>
        <v>0.35543683664027254</v>
      </c>
      <c r="F4">
        <f t="shared" ref="F4:F5" si="2">DEGREES(E4)</f>
        <v>20.365030622968515</v>
      </c>
    </row>
    <row r="5" spans="2:6" x14ac:dyDescent="0.3">
      <c r="B5">
        <v>6154.3</v>
      </c>
      <c r="C5">
        <v>1</v>
      </c>
      <c r="D5">
        <f t="shared" si="0"/>
        <v>0.36925792614841479</v>
      </c>
      <c r="E5">
        <f t="shared" si="1"/>
        <v>0.37821038713863192</v>
      </c>
      <c r="F5">
        <f t="shared" si="2"/>
        <v>21.669858951052561</v>
      </c>
    </row>
    <row r="7" spans="2:6" x14ac:dyDescent="0.3">
      <c r="B7" t="s">
        <v>25</v>
      </c>
      <c r="C7" t="s">
        <v>32</v>
      </c>
      <c r="D7" t="s">
        <v>33</v>
      </c>
      <c r="E7" t="s">
        <v>34</v>
      </c>
      <c r="F7" t="s">
        <v>35</v>
      </c>
    </row>
    <row r="8" spans="2:6" x14ac:dyDescent="0.3">
      <c r="B8">
        <v>5682.2</v>
      </c>
      <c r="C8">
        <v>2</v>
      </c>
      <c r="D8">
        <f>C8*B8/16666.67</f>
        <v>0.68186386362722728</v>
      </c>
      <c r="E8">
        <f>ASIN(D8)</f>
        <v>0.75030769345303239</v>
      </c>
      <c r="F8">
        <f>DEGREES(E8)</f>
        <v>42.989464171054301</v>
      </c>
    </row>
    <row r="9" spans="2:6" x14ac:dyDescent="0.3">
      <c r="B9">
        <v>5800</v>
      </c>
      <c r="C9">
        <v>2</v>
      </c>
      <c r="D9">
        <f t="shared" ref="D9:D10" si="3">C9*B9/16666.67</f>
        <v>0.69599986080002796</v>
      </c>
      <c r="E9">
        <f t="shared" ref="E9:E10" si="4">ASIN(D9)</f>
        <v>0.7698114452688164</v>
      </c>
      <c r="F9">
        <f t="shared" ref="F9:F10" si="5">DEGREES(E9)</f>
        <v>44.106946834769346</v>
      </c>
    </row>
    <row r="10" spans="2:6" x14ac:dyDescent="0.3">
      <c r="B10">
        <v>6154.3</v>
      </c>
      <c r="C10">
        <v>2</v>
      </c>
      <c r="D10">
        <f t="shared" si="3"/>
        <v>0.73851585229682959</v>
      </c>
      <c r="E10">
        <f t="shared" si="4"/>
        <v>0.83086646802540187</v>
      </c>
      <c r="F10">
        <f t="shared" si="5"/>
        <v>47.605141956796892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I</vt:lpstr>
      <vt:lpstr>Table II</vt:lpstr>
      <vt:lpstr>Table III</vt:lpstr>
      <vt:lpstr>Table IV</vt:lpstr>
      <vt:lpstr>Table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2021-04-07T15:47:29Z</dcterms:modified>
</cp:coreProperties>
</file>