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euil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<sst xmlns="http://schemas.openxmlformats.org/spreadsheetml/2006/main" count="132" uniqueCount="88">
  <si>
    <t>Indicateur</t>
  </si>
  <si>
    <t>Nantes-St Nazaire</t>
  </si>
  <si>
    <t>Nantes</t>
  </si>
  <si>
    <t>St-Nazaire</t>
  </si>
  <si>
    <t>Lyon</t>
  </si>
  <si>
    <t>Aix-Marseille</t>
  </si>
  <si>
    <t>Toulouse</t>
  </si>
  <si>
    <t>Lille</t>
  </si>
  <si>
    <t>Bordeaux</t>
  </si>
  <si>
    <t>Nice</t>
  </si>
  <si>
    <t>Strasbourg</t>
  </si>
  <si>
    <t>Grenoble</t>
  </si>
  <si>
    <t>Rennes</t>
  </si>
  <si>
    <t>RNSN</t>
  </si>
  <si>
    <t>RN</t>
  </si>
  <si>
    <t>RSN</t>
  </si>
  <si>
    <t>ERNSN</t>
  </si>
  <si>
    <t>ERN</t>
  </si>
  <si>
    <t>ERSN</t>
  </si>
  <si>
    <t>Echelle</t>
  </si>
  <si>
    <t>Source</t>
  </si>
  <si>
    <t>Moyenne</t>
  </si>
  <si>
    <t>Mediane</t>
  </si>
  <si>
    <t>Max</t>
  </si>
  <si>
    <t>Min</t>
  </si>
  <si>
    <t>Type</t>
  </si>
  <si>
    <t>Revenu médian par UC 2014</t>
  </si>
  <si>
    <t>EPCI</t>
  </si>
  <si>
    <t>Insee, Filosofi</t>
  </si>
  <si>
    <t>n</t>
  </si>
  <si>
    <t>Loyer mensuel médian au m2 (parc privé) - 2016*</t>
  </si>
  <si>
    <t>Observatoire des loyers</t>
  </si>
  <si>
    <t>Nombre d'années de revenus nécessaires pour l'achat d'un T3 dans l'ancien en 2013 (* 2015 pour Lyon et Bordeaux)</t>
  </si>
  <si>
    <t>null</t>
  </si>
  <si>
    <t>Observ'agglo</t>
  </si>
  <si>
    <t>Rapport interdécile 2014</t>
  </si>
  <si>
    <t>Part du logement social dans le parc de logement</t>
  </si>
  <si>
    <t>Insee</t>
  </si>
  <si>
    <t>p</t>
  </si>
  <si>
    <t>Nombre d'associations  (communes centres)</t>
  </si>
  <si>
    <t>Commune</t>
  </si>
  <si>
    <t>Dataasso</t>
  </si>
  <si>
    <t>Nombre de places en crèches (2015)</t>
  </si>
  <si>
    <t>CAF</t>
  </si>
  <si>
    <t>Places en crèches pour 10 000 hab (2015)</t>
  </si>
  <si>
    <t>Part des établissements de services aux personnes en 2016</t>
  </si>
  <si>
    <t>Aire Urbaine</t>
  </si>
  <si>
    <t>Insee, Sirene</t>
  </si>
  <si>
    <t>Evolution annuelle moyenne du nombre d'établissements des services aux personnes 2011-2016</t>
  </si>
  <si>
    <t>Nombre de licences sportives  pour 10 000 hab - football (département)</t>
  </si>
  <si>
    <t>Département</t>
  </si>
  <si>
    <t>Insee, Ministère de la Jeunesse et des Sports</t>
  </si>
  <si>
    <t>Nombre d'associations sportives (communes centres)</t>
  </si>
  <si>
    <t>Qualité de l’air 2016  (Jours avec un indice très bon à bon -1 à 4-)</t>
  </si>
  <si>
    <t>ATMO et AirPL</t>
  </si>
  <si>
    <t>Part du couvert végétal sur le territoire urbain</t>
  </si>
  <si>
    <t>34.6%</t>
  </si>
  <si>
    <t>33.2%</t>
  </si>
  <si>
    <t>27.6%</t>
  </si>
  <si>
    <t>47.2%</t>
  </si>
  <si>
    <t>36.9%</t>
  </si>
  <si>
    <t>28.5%</t>
  </si>
  <si>
    <t>38.7%</t>
  </si>
  <si>
    <t>41.2%</t>
  </si>
  <si>
    <t>35.6%</t>
  </si>
  <si>
    <t>Kilomètres de cours d'eau</t>
  </si>
  <si>
    <t>Aire urbaine</t>
  </si>
  <si>
    <t>Auran</t>
  </si>
  <si>
    <t>Nombre de kilomètres parcourus en transport en commun par habitant en 2014</t>
  </si>
  <si>
    <t>Nombre de femmes dans l'exécutif</t>
  </si>
  <si>
    <t>47.6%</t>
  </si>
  <si>
    <t>23.8%</t>
  </si>
  <si>
    <t>9.5%</t>
  </si>
  <si>
    <t>28.6%</t>
  </si>
  <si>
    <t>19.0%</t>
  </si>
  <si>
    <t>31.6%</t>
  </si>
  <si>
    <t>25.0%</t>
  </si>
  <si>
    <t>Taux de travail féminin</t>
  </si>
  <si>
    <t>90.2</t>
  </si>
  <si>
    <t>86.6</t>
  </si>
  <si>
    <t>82.1</t>
  </si>
  <si>
    <t>89.1</t>
  </si>
  <si>
    <t>84.6</t>
  </si>
  <si>
    <t>87.8</t>
  </si>
  <si>
    <t>84.4</t>
  </si>
  <si>
    <t>85.3</t>
  </si>
  <si>
    <t>89.5</t>
  </si>
  <si>
    <t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</si>
</sst>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GENERAL"/>
    <numFmt numFmtId="166" formatCode="#,##0"/>
    <numFmt numFmtId="167" formatCode="#,##0.0"/>
    <numFmt numFmtId="168" formatCode="0.00%"/>
    <numFmt numFmtId="169" formatCode="0.0%"/>
    <numFmt numFmtId="170" formatCode="0%"/>
    <numFmt numFmtId="171" formatCode="0.00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b val="true"/>
      <sz val="12"/>
      <name val="Calibri"/>
      <family val="2"/>
    </font>
    <font>
      <b val="true"/>
      <sz val="12"/>
      <name val="Klavika light"/>
      <family val="0"/>
    </font>
    <font>
      <b val="true"/>
      <sz val="12"/>
      <color rgb="FF000000"/>
      <name val="Calibri"/>
      <family val="2"/>
    </font>
    <font>
      <b val="true"/>
      <sz val="10"/>
      <color rgb="FF000000"/>
      <name val="Klavika light"/>
      <family val="0"/>
    </font>
    <font>
      <b val="true"/>
      <sz val="9"/>
      <name val="Klavika light"/>
      <family val="0"/>
    </font>
    <font>
      <b val="true"/>
      <sz val="15"/>
      <name val="Klavika light"/>
      <family val="0"/>
    </font>
    <font>
      <sz val="9"/>
      <color rgb="FF000000"/>
      <name val="Klavika light"/>
      <family val="0"/>
    </font>
    <font>
      <sz val="11"/>
      <name val="Calibri"/>
      <family val="2"/>
    </font>
    <font>
      <b val="true"/>
      <sz val="9"/>
      <color rgb="FF000000"/>
      <name val="Klavika light plain"/>
      <family val="0"/>
    </font>
    <font>
      <i val="true"/>
      <sz val="10"/>
      <color rgb="FF000000"/>
      <name val="Klavika light"/>
      <family val="0"/>
    </font>
    <font>
      <i val="true"/>
      <sz val="9"/>
      <color rgb="FF000000"/>
      <name val="Klavika light plain"/>
      <family val="0"/>
    </font>
    <font>
      <i val="true"/>
      <sz val="9"/>
      <name val="Klavika light"/>
      <family val="0"/>
    </font>
  </fonts>
  <fills count="6">
    <fill>
      <patternFill patternType="none"/>
    </fill>
    <fill>
      <patternFill patternType="gray125"/>
    </fill>
    <fill>
      <patternFill patternType="solid">
        <fgColor rgb="FFA6A6A6"/>
        <bgColor rgb="FFBFBFBF"/>
      </patternFill>
    </fill>
    <fill>
      <patternFill patternType="solid">
        <fgColor rgb="FFBFBFBF"/>
        <bgColor rgb="FFCCCCFF"/>
      </patternFill>
    </fill>
    <fill>
      <patternFill patternType="solid">
        <fgColor rgb="FFFFF2CC"/>
        <bgColor rgb="FFF2F2F2"/>
      </patternFill>
    </fill>
    <fill>
      <patternFill patternType="solid">
        <fgColor rgb="FFF2F2F2"/>
        <bgColor rgb="FFFFF2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4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4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3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4" fillId="4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3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1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1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9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5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9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" xfId="20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4.05"/>
  <cols>
    <col collapsed="false" hidden="false" max="1025" min="1" style="1" width="10.7295918367347"/>
  </cols>
  <sheetData>
    <row r="1" customFormat="false" ht="48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</row>
    <row r="2" customFormat="false" ht="39.55" hidden="false" customHeight="false" outlineLevel="0" collapsed="false">
      <c r="A2" s="7" t="s">
        <v>26</v>
      </c>
      <c r="B2" s="8"/>
      <c r="C2" s="8" t="n">
        <v>21847.3</v>
      </c>
      <c r="D2" s="8" t="n">
        <v>19965.7</v>
      </c>
      <c r="E2" s="8" t="n">
        <v>21057.3</v>
      </c>
      <c r="F2" s="8" t="n">
        <v>18792</v>
      </c>
      <c r="G2" s="8" t="n">
        <v>21883.8</v>
      </c>
      <c r="H2" s="8" t="n">
        <v>19308.5</v>
      </c>
      <c r="I2" s="8" t="n">
        <v>21323.5</v>
      </c>
      <c r="J2" s="8" t="n">
        <v>21323.5</v>
      </c>
      <c r="K2" s="8" t="n">
        <v>20054</v>
      </c>
      <c r="L2" s="8" t="n">
        <v>21407.4</v>
      </c>
      <c r="M2" s="8" t="n">
        <v>21908</v>
      </c>
      <c r="N2" s="8"/>
      <c r="O2" s="8" t="n">
        <v>3</v>
      </c>
      <c r="P2" s="8" t="n">
        <v>9</v>
      </c>
      <c r="Q2" s="9"/>
      <c r="R2" s="8" t="n">
        <v>0</v>
      </c>
      <c r="S2" s="10" t="n">
        <v>1</v>
      </c>
      <c r="T2" s="11" t="s">
        <v>27</v>
      </c>
      <c r="U2" s="11" t="s">
        <v>28</v>
      </c>
      <c r="V2" s="12" t="n">
        <f aca="false">AVERAGE(C2:M2)</f>
        <v>20806.4545454545</v>
      </c>
      <c r="W2" s="13" t="n">
        <f aca="false">MEDIAN(C2:M2)</f>
        <v>21323.5</v>
      </c>
      <c r="X2" s="13" t="n">
        <f aca="false">MAX(C2:M2)</f>
        <v>21908</v>
      </c>
      <c r="Y2" s="13" t="n">
        <f aca="false">MIN(C2:M2)</f>
        <v>18792</v>
      </c>
      <c r="Z2" s="1" t="s">
        <v>29</v>
      </c>
    </row>
    <row r="3" customFormat="false" ht="77.6" hidden="false" customHeight="false" outlineLevel="0" collapsed="false">
      <c r="A3" s="7" t="s">
        <v>30</v>
      </c>
      <c r="B3" s="14"/>
      <c r="C3" s="14" t="n">
        <v>10.7</v>
      </c>
      <c r="D3" s="14"/>
      <c r="E3" s="14" t="n">
        <v>11.1</v>
      </c>
      <c r="F3" s="14" t="n">
        <v>11.8</v>
      </c>
      <c r="G3" s="14" t="n">
        <v>10.5</v>
      </c>
      <c r="H3" s="14" t="n">
        <v>11.1</v>
      </c>
      <c r="I3" s="14" t="n">
        <v>11.1</v>
      </c>
      <c r="J3" s="14" t="n">
        <v>13.5</v>
      </c>
      <c r="K3" s="14" t="n">
        <v>9.8</v>
      </c>
      <c r="L3" s="14"/>
      <c r="M3" s="14" t="n">
        <v>10.4</v>
      </c>
      <c r="N3" s="14"/>
      <c r="O3" s="8" t="n">
        <v>4</v>
      </c>
      <c r="P3" s="14"/>
      <c r="Q3" s="15" t="n">
        <v>0</v>
      </c>
      <c r="R3" s="16" t="n">
        <v>0</v>
      </c>
      <c r="S3" s="16" t="n">
        <v>0</v>
      </c>
      <c r="T3" s="11" t="s">
        <v>27</v>
      </c>
      <c r="U3" s="17" t="s">
        <v>31</v>
      </c>
      <c r="V3" s="18" t="n">
        <f aca="false">AVERAGE(C3,E3,F3,G3,H3,I3,J3,K3,M3)</f>
        <v>11.1111111111111</v>
      </c>
      <c r="W3" s="18" t="n">
        <f aca="false">MEDIAN(M3,E3:K3,C3)</f>
        <v>11.1</v>
      </c>
      <c r="X3" s="18" t="n">
        <f aca="false">MAX(M3,E3:K3,C3)</f>
        <v>13.5</v>
      </c>
      <c r="Y3" s="18" t="n">
        <f aca="false">MIN(C3,M3,E3:K3)</f>
        <v>9.8</v>
      </c>
      <c r="Z3" s="1" t="s">
        <v>29</v>
      </c>
    </row>
    <row r="4" customFormat="false" ht="166.3" hidden="false" customHeight="false" outlineLevel="0" collapsed="false">
      <c r="A4" s="7" t="s">
        <v>32</v>
      </c>
      <c r="B4" s="14"/>
      <c r="C4" s="14" t="n">
        <v>14</v>
      </c>
      <c r="D4" s="14" t="s">
        <v>33</v>
      </c>
      <c r="E4" s="14" t="n">
        <v>18.5</v>
      </c>
      <c r="F4" s="14" t="n">
        <v>16.5</v>
      </c>
      <c r="G4" s="14" t="n">
        <v>14</v>
      </c>
      <c r="H4" s="14" t="n">
        <v>17.5</v>
      </c>
      <c r="I4" s="14" t="n">
        <v>17</v>
      </c>
      <c r="J4" s="14" t="n">
        <v>25.5</v>
      </c>
      <c r="K4" s="14" t="n">
        <v>15.5</v>
      </c>
      <c r="L4" s="14" t="n">
        <v>13</v>
      </c>
      <c r="M4" s="14" t="n">
        <v>13</v>
      </c>
      <c r="N4" s="14"/>
      <c r="O4" s="8" t="n">
        <v>3</v>
      </c>
      <c r="P4" s="14"/>
      <c r="Q4" s="15" t="n">
        <v>0</v>
      </c>
      <c r="R4" s="16" t="n">
        <v>0</v>
      </c>
      <c r="S4" s="16" t="n">
        <v>0</v>
      </c>
      <c r="T4" s="11" t="s">
        <v>27</v>
      </c>
      <c r="U4" s="17" t="s">
        <v>34</v>
      </c>
      <c r="V4" s="18" t="n">
        <f aca="false">AVERAGE(C4,E4,F4,G4,H4,I4,J4,K4,L4,L4:M4)</f>
        <v>16.1363636363636</v>
      </c>
      <c r="W4" s="18" t="n">
        <f aca="false">MEDIAN(C4,E4:M4)</f>
        <v>16</v>
      </c>
      <c r="X4" s="18" t="n">
        <f aca="false">MAX(E4:M4,C4)</f>
        <v>25.5</v>
      </c>
      <c r="Y4" s="18" t="n">
        <f aca="false">MIN(C4,E4:M4)</f>
        <v>13</v>
      </c>
      <c r="Z4" s="1" t="s">
        <v>29</v>
      </c>
    </row>
    <row r="5" customFormat="false" ht="39.55" hidden="false" customHeight="false" outlineLevel="0" collapsed="false">
      <c r="A5" s="7" t="s">
        <v>35</v>
      </c>
      <c r="B5" s="8"/>
      <c r="C5" s="14" t="n">
        <v>3.3</v>
      </c>
      <c r="D5" s="14" t="n">
        <v>2.9</v>
      </c>
      <c r="E5" s="14" t="n">
        <v>3.9</v>
      </c>
      <c r="F5" s="14" t="n">
        <v>4.1</v>
      </c>
      <c r="G5" s="14" t="n">
        <v>3.9</v>
      </c>
      <c r="H5" s="14" t="n">
        <v>3.7</v>
      </c>
      <c r="I5" s="14" t="n">
        <v>3.6</v>
      </c>
      <c r="J5" s="14" t="n">
        <v>3.9</v>
      </c>
      <c r="K5" s="14" t="n">
        <v>4.1</v>
      </c>
      <c r="L5" s="14" t="n">
        <v>3.5</v>
      </c>
      <c r="M5" s="14" t="n">
        <v>3.5</v>
      </c>
      <c r="N5" s="8"/>
      <c r="O5" s="8" t="n">
        <v>2</v>
      </c>
      <c r="P5" s="8" t="n">
        <v>1</v>
      </c>
      <c r="Q5" s="19"/>
      <c r="R5" s="20" t="n">
        <v>0</v>
      </c>
      <c r="S5" s="16" t="n">
        <v>0</v>
      </c>
      <c r="T5" s="11" t="s">
        <v>27</v>
      </c>
      <c r="U5" s="11" t="s">
        <v>28</v>
      </c>
      <c r="V5" s="21" t="n">
        <f aca="false">AVERAGE(C5:M5)</f>
        <v>3.67272727272727</v>
      </c>
      <c r="W5" s="18" t="n">
        <f aca="false">MEDIAN(C5:M5)</f>
        <v>3.7</v>
      </c>
      <c r="X5" s="18" t="n">
        <f aca="false">MAX(C5:M5)</f>
        <v>4.1</v>
      </c>
      <c r="Y5" s="18" t="n">
        <f aca="false">MIN(C5:M5)</f>
        <v>2.9</v>
      </c>
      <c r="Z5" s="1" t="s">
        <v>29</v>
      </c>
    </row>
    <row r="6" customFormat="false" ht="64.9" hidden="false" customHeight="false" outlineLevel="0" collapsed="false">
      <c r="A6" s="7" t="s">
        <v>36</v>
      </c>
      <c r="B6" s="22" t="n">
        <v>0.166486520671753</v>
      </c>
      <c r="C6" s="23" t="n">
        <v>0.163519745087334</v>
      </c>
      <c r="D6" s="23" t="n">
        <v>0.181744335940949</v>
      </c>
      <c r="E6" s="23" t="n">
        <v>0.200369913686806</v>
      </c>
      <c r="F6" s="23" t="n">
        <v>0.158680446951476</v>
      </c>
      <c r="G6" s="23" t="n">
        <v>0.130151472315254</v>
      </c>
      <c r="H6" s="23" t="n">
        <v>0.230089111365287</v>
      </c>
      <c r="I6" s="23" t="n">
        <v>0.173989785495404</v>
      </c>
      <c r="J6" s="23" t="n">
        <v>0.0964176197998521</v>
      </c>
      <c r="K6" s="23" t="n">
        <v>0.196542577517607</v>
      </c>
      <c r="L6" s="23" t="n">
        <v>0.159183294572886</v>
      </c>
      <c r="M6" s="23" t="n">
        <v>0.170952952034073</v>
      </c>
      <c r="N6" s="8" t="n">
        <v>6</v>
      </c>
      <c r="O6" s="8" t="n">
        <v>7</v>
      </c>
      <c r="P6" s="8" t="n">
        <v>4</v>
      </c>
      <c r="Q6" s="24"/>
      <c r="R6" s="16"/>
      <c r="S6" s="16"/>
      <c r="T6" s="11" t="s">
        <v>27</v>
      </c>
      <c r="U6" s="11" t="s">
        <v>37</v>
      </c>
      <c r="V6" s="25" t="n">
        <f aca="false">AVERAGE(B6:M6)</f>
        <v>0.169010647953223</v>
      </c>
      <c r="W6" s="25" t="n">
        <f aca="false">MEDIAN(B6:M6)</f>
        <v>0.168719736352913</v>
      </c>
      <c r="X6" s="25" t="n">
        <f aca="false">MAX(B6:M6)</f>
        <v>0.230089111365287</v>
      </c>
      <c r="Y6" s="25" t="n">
        <f aca="false">MIN(B6:M6)</f>
        <v>0.0964176197998521</v>
      </c>
      <c r="Z6" s="1" t="s">
        <v>38</v>
      </c>
    </row>
    <row r="7" customFormat="false" ht="64.9" hidden="false" customHeight="false" outlineLevel="0" collapsed="false">
      <c r="A7" s="7" t="s">
        <v>39</v>
      </c>
      <c r="B7" s="26"/>
      <c r="C7" s="8" t="n">
        <v>22852</v>
      </c>
      <c r="D7" s="26"/>
      <c r="E7" s="8" t="n">
        <v>43530</v>
      </c>
      <c r="F7" s="8" t="n">
        <v>44823</v>
      </c>
      <c r="G7" s="8" t="n">
        <v>30191</v>
      </c>
      <c r="H7" s="8" t="n">
        <v>54181</v>
      </c>
      <c r="I7" s="8" t="n">
        <v>32572</v>
      </c>
      <c r="J7" s="8" t="n">
        <v>17260</v>
      </c>
      <c r="K7" s="26"/>
      <c r="L7" s="26"/>
      <c r="M7" s="8" t="n">
        <v>21611</v>
      </c>
      <c r="N7" s="14"/>
      <c r="O7" s="8" t="n">
        <v>6</v>
      </c>
      <c r="P7" s="14"/>
      <c r="Q7" s="24"/>
      <c r="R7" s="16"/>
      <c r="S7" s="16"/>
      <c r="T7" s="11" t="s">
        <v>40</v>
      </c>
      <c r="U7" s="11" t="s">
        <v>41</v>
      </c>
      <c r="V7" s="13" t="n">
        <f aca="false">AVERAGE(C7,E7:J7,M7)</f>
        <v>33377.5</v>
      </c>
      <c r="W7" s="13" t="n">
        <f aca="false">MEDIAN(M7,E7:J7,C7)</f>
        <v>31381.5</v>
      </c>
      <c r="X7" s="13" t="n">
        <f aca="false">MAX(M7,E7:J7,C7)</f>
        <v>54181</v>
      </c>
      <c r="Y7" s="13" t="n">
        <f aca="false">MIN(E7:J7,C7,M7)</f>
        <v>17260</v>
      </c>
      <c r="Z7" s="1" t="s">
        <v>29</v>
      </c>
    </row>
    <row r="8" customFormat="false" ht="52.2" hidden="false" customHeight="false" outlineLevel="0" collapsed="false">
      <c r="A8" s="7" t="s">
        <v>42</v>
      </c>
      <c r="B8" s="8" t="n">
        <v>5657</v>
      </c>
      <c r="C8" s="8" t="n">
        <v>5033</v>
      </c>
      <c r="D8" s="8" t="n">
        <v>624</v>
      </c>
      <c r="E8" s="8" t="n">
        <v>11834</v>
      </c>
      <c r="F8" s="8" t="n">
        <v>16000</v>
      </c>
      <c r="G8" s="8" t="n">
        <v>8493</v>
      </c>
      <c r="H8" s="8" t="n">
        <v>7381</v>
      </c>
      <c r="I8" s="8" t="n">
        <v>6863</v>
      </c>
      <c r="J8" s="8" t="n">
        <v>4407</v>
      </c>
      <c r="K8" s="8" t="n">
        <v>5494</v>
      </c>
      <c r="L8" s="8" t="n">
        <v>3917</v>
      </c>
      <c r="M8" s="8" t="n">
        <v>2934</v>
      </c>
      <c r="N8" s="8" t="n">
        <v>6</v>
      </c>
      <c r="O8" s="8" t="n">
        <v>7</v>
      </c>
      <c r="P8" s="8" t="n">
        <v>11</v>
      </c>
      <c r="Q8" s="10" t="n">
        <v>1</v>
      </c>
      <c r="R8" s="8" t="n">
        <v>0</v>
      </c>
      <c r="S8" s="8" t="n">
        <v>0</v>
      </c>
      <c r="T8" s="11" t="s">
        <v>27</v>
      </c>
      <c r="U8" s="11" t="s">
        <v>43</v>
      </c>
      <c r="V8" s="12" t="n">
        <f aca="false">AVERAGE(B8:M8)</f>
        <v>6553.08333333333</v>
      </c>
      <c r="W8" s="13" t="n">
        <f aca="false">MEDIAN(B8:M8)</f>
        <v>5575.5</v>
      </c>
      <c r="X8" s="13" t="n">
        <f aca="false">MAX(B8:M8)</f>
        <v>16000</v>
      </c>
      <c r="Y8" s="13" t="n">
        <f aca="false">MIN(B8:M8)</f>
        <v>624</v>
      </c>
      <c r="Z8" s="1" t="s">
        <v>29</v>
      </c>
    </row>
    <row r="9" customFormat="false" ht="64.9" hidden="false" customHeight="false" outlineLevel="0" collapsed="false">
      <c r="A9" s="7" t="s">
        <v>44</v>
      </c>
      <c r="B9" s="14" t="n">
        <v>76.301077009192</v>
      </c>
      <c r="C9" s="14" t="n">
        <v>81.2770492862218</v>
      </c>
      <c r="D9" s="14" t="n">
        <v>51.0784594605656</v>
      </c>
      <c r="E9" s="14" t="n">
        <v>87.3695805610435</v>
      </c>
      <c r="F9" s="14" t="n">
        <v>94.2878643857646</v>
      </c>
      <c r="G9" s="14" t="n">
        <v>113.707108802963</v>
      </c>
      <c r="H9" s="14" t="n">
        <v>68.6370327525394</v>
      </c>
      <c r="I9" s="14" t="n">
        <v>90.1919091431177</v>
      </c>
      <c r="J9" s="14" t="n">
        <v>84.2091183551802</v>
      </c>
      <c r="K9" s="14" t="n">
        <v>113.5</v>
      </c>
      <c r="L9" s="14" t="n">
        <v>88.2052252081841</v>
      </c>
      <c r="M9" s="14" t="n">
        <v>67.7778162791504</v>
      </c>
      <c r="N9" s="8" t="n">
        <v>8</v>
      </c>
      <c r="O9" s="8" t="n">
        <v>8</v>
      </c>
      <c r="P9" s="8" t="n">
        <v>11</v>
      </c>
      <c r="Q9" s="8" t="n">
        <v>0</v>
      </c>
      <c r="R9" s="10" t="n">
        <v>-1</v>
      </c>
      <c r="S9" s="8" t="n">
        <v>0</v>
      </c>
      <c r="T9" s="11" t="s">
        <v>27</v>
      </c>
      <c r="U9" s="11" t="s">
        <v>43</v>
      </c>
      <c r="V9" s="27" t="n">
        <f aca="false">AVERAGE(B9:M9)</f>
        <v>84.7118534369935</v>
      </c>
      <c r="W9" s="27" t="n">
        <f aca="false">MEDIAN(B9:M9)</f>
        <v>85.7893494581119</v>
      </c>
      <c r="X9" s="27" t="n">
        <f aca="false">MAX(B9:M9)</f>
        <v>113.707108802963</v>
      </c>
      <c r="Y9" s="27" t="n">
        <f aca="false">MIN(B9:M9)</f>
        <v>51.0784594605656</v>
      </c>
      <c r="Z9" s="1" t="s">
        <v>29</v>
      </c>
    </row>
    <row r="10" customFormat="false" ht="90.25" hidden="false" customHeight="false" outlineLevel="0" collapsed="false">
      <c r="A10" s="7" t="s">
        <v>45</v>
      </c>
      <c r="B10" s="23" t="n">
        <v>0.2208</v>
      </c>
      <c r="C10" s="23" t="n">
        <v>0.222457272436727</v>
      </c>
      <c r="D10" s="23" t="n">
        <v>0.215216691032535</v>
      </c>
      <c r="E10" s="23" t="n">
        <v>0.205237800446801</v>
      </c>
      <c r="F10" s="23" t="n">
        <v>0.232138221831097</v>
      </c>
      <c r="G10" s="23" t="n">
        <v>0.247960574397061</v>
      </c>
      <c r="H10" s="23" t="n">
        <v>0.215216691032535</v>
      </c>
      <c r="I10" s="23" t="n">
        <v>0.228059332509271</v>
      </c>
      <c r="J10" s="23" t="n">
        <v>0.20341890910215</v>
      </c>
      <c r="K10" s="23" t="n">
        <v>0.216552946389012</v>
      </c>
      <c r="L10" s="23" t="n">
        <v>0.244529991750795</v>
      </c>
      <c r="M10" s="23" t="n">
        <v>0.232138221831097</v>
      </c>
      <c r="N10" s="8" t="n">
        <v>6</v>
      </c>
      <c r="O10" s="8" t="n">
        <v>6</v>
      </c>
      <c r="P10" s="8" t="n">
        <v>8</v>
      </c>
      <c r="Q10" s="8" t="n">
        <v>0</v>
      </c>
      <c r="R10" s="8" t="n">
        <v>0</v>
      </c>
      <c r="S10" s="10" t="n">
        <v>1</v>
      </c>
      <c r="T10" s="11" t="s">
        <v>46</v>
      </c>
      <c r="U10" s="11" t="s">
        <v>47</v>
      </c>
      <c r="V10" s="28" t="n">
        <f aca="false">AVERAGE(B10:M10)</f>
        <v>0.223643887729923</v>
      </c>
      <c r="W10" s="28" t="n">
        <f aca="false">MEDIAN(B10:M10)</f>
        <v>0.221628636218364</v>
      </c>
      <c r="X10" s="28" t="n">
        <f aca="false">MAX(B10:M10)</f>
        <v>0.247960574397061</v>
      </c>
      <c r="Y10" s="28" t="n">
        <f aca="false">MIN(B10:M10)</f>
        <v>0.20341890910215</v>
      </c>
      <c r="Z10" s="1" t="s">
        <v>38</v>
      </c>
    </row>
    <row r="11" customFormat="false" ht="115.65" hidden="false" customHeight="false" outlineLevel="0" collapsed="false">
      <c r="A11" s="29" t="s">
        <v>48</v>
      </c>
      <c r="B11" s="30" t="n">
        <v>0.0723168597812449</v>
      </c>
      <c r="C11" s="30" t="n">
        <v>0.0758169048728132</v>
      </c>
      <c r="D11" s="30" t="n">
        <v>0.0579340289461772</v>
      </c>
      <c r="E11" s="30" t="n">
        <v>0.0719178581521662</v>
      </c>
      <c r="F11" s="30" t="n">
        <v>0.048912556596499</v>
      </c>
      <c r="G11" s="30" t="n">
        <v>0.0660622732402922</v>
      </c>
      <c r="H11" s="30" t="n">
        <v>0.0667517532486153</v>
      </c>
      <c r="I11" s="30" t="n">
        <v>0.0793665246088975</v>
      </c>
      <c r="J11" s="30" t="n">
        <v>0.0522852570293126</v>
      </c>
      <c r="K11" s="30" t="n">
        <v>0.0664246930962458</v>
      </c>
      <c r="L11" s="30" t="n">
        <v>0.0596213198187883</v>
      </c>
      <c r="M11" s="30" t="n">
        <v>0.0663579556867724</v>
      </c>
      <c r="N11" s="8" t="n">
        <v>2</v>
      </c>
      <c r="O11" s="31" t="n">
        <v>2</v>
      </c>
      <c r="P11" s="31" t="n">
        <v>9</v>
      </c>
      <c r="Q11" s="24"/>
      <c r="R11" s="16"/>
      <c r="S11" s="16"/>
      <c r="T11" s="11" t="s">
        <v>46</v>
      </c>
      <c r="U11" s="11" t="s">
        <v>47</v>
      </c>
      <c r="V11" s="32" t="n">
        <f aca="false">AVERAGE(B11:M11)</f>
        <v>0.0653139987564854</v>
      </c>
      <c r="W11" s="32" t="n">
        <f aca="false">MEDIAN(B11:M11)</f>
        <v>0.0663913243915091</v>
      </c>
      <c r="X11" s="32" t="n">
        <f aca="false">MAX(B11:M11)</f>
        <v>0.0793665246088975</v>
      </c>
      <c r="Y11" s="32" t="n">
        <f aca="false">MIN(B11:M11)</f>
        <v>0.048912556596499</v>
      </c>
      <c r="Z11" s="1" t="s">
        <v>38</v>
      </c>
    </row>
    <row r="12" customFormat="false" ht="102.95" hidden="false" customHeight="false" outlineLevel="0" collapsed="false">
      <c r="A12" s="7" t="s">
        <v>49</v>
      </c>
      <c r="B12" s="8" t="n">
        <v>397</v>
      </c>
      <c r="C12" s="8"/>
      <c r="D12" s="8"/>
      <c r="E12" s="8" t="n">
        <v>256</v>
      </c>
      <c r="F12" s="8" t="n">
        <v>215</v>
      </c>
      <c r="G12" s="8" t="n">
        <v>289</v>
      </c>
      <c r="H12" s="8" t="n">
        <v>351</v>
      </c>
      <c r="I12" s="8" t="n">
        <v>275</v>
      </c>
      <c r="J12" s="8" t="n">
        <v>219</v>
      </c>
      <c r="K12" s="8" t="n">
        <v>443</v>
      </c>
      <c r="L12" s="8" t="n">
        <v>301</v>
      </c>
      <c r="M12" s="8" t="n">
        <v>438</v>
      </c>
      <c r="N12" s="20" t="n">
        <v>3</v>
      </c>
      <c r="O12" s="16" t="n">
        <v>3</v>
      </c>
      <c r="P12" s="16" t="n">
        <v>3</v>
      </c>
      <c r="Q12" s="20" t="n">
        <v>0</v>
      </c>
      <c r="R12" s="16" t="n">
        <v>0</v>
      </c>
      <c r="S12" s="16" t="n">
        <v>0</v>
      </c>
      <c r="T12" s="11" t="s">
        <v>50</v>
      </c>
      <c r="U12" s="17" t="s">
        <v>51</v>
      </c>
      <c r="V12" s="33" t="n">
        <f aca="false">AVERAGE(E12:M12,B12)</f>
        <v>318.4</v>
      </c>
      <c r="W12" s="33" t="n">
        <f aca="false">MEDIAN(E12:M12,B12)</f>
        <v>295</v>
      </c>
      <c r="X12" s="33" t="n">
        <f aca="false">MAX(E12:M12,B12)</f>
        <v>443</v>
      </c>
      <c r="Y12" s="33" t="n">
        <f aca="false">MIN(E12:M12,B12)</f>
        <v>215</v>
      </c>
      <c r="Z12" s="1" t="s">
        <v>29</v>
      </c>
    </row>
    <row r="13" customFormat="false" ht="77.6" hidden="false" customHeight="false" outlineLevel="0" collapsed="false">
      <c r="A13" s="34" t="s">
        <v>52</v>
      </c>
      <c r="B13" s="9" t="n">
        <v>4231</v>
      </c>
      <c r="C13" s="9" t="n">
        <v>4185</v>
      </c>
      <c r="D13" s="9" t="n">
        <v>846</v>
      </c>
      <c r="E13" s="9" t="n">
        <v>6624</v>
      </c>
      <c r="F13" s="9" t="n">
        <v>7605</v>
      </c>
      <c r="G13" s="9" t="n">
        <v>6080</v>
      </c>
      <c r="H13" s="9" t="n">
        <v>11066</v>
      </c>
      <c r="I13" s="9" t="n">
        <v>6365</v>
      </c>
      <c r="J13" s="9" t="n">
        <v>3193</v>
      </c>
      <c r="K13" s="9"/>
      <c r="L13" s="9"/>
      <c r="M13" s="9" t="n">
        <v>4406</v>
      </c>
      <c r="N13" s="9" t="n">
        <v>7</v>
      </c>
      <c r="O13" s="9" t="n">
        <v>7</v>
      </c>
      <c r="P13" s="9" t="n">
        <v>9</v>
      </c>
      <c r="Q13" s="9"/>
      <c r="R13" s="9"/>
      <c r="S13" s="9"/>
      <c r="T13" s="35" t="s">
        <v>40</v>
      </c>
      <c r="U13" s="35" t="s">
        <v>41</v>
      </c>
      <c r="V13" s="33" t="n">
        <f aca="false">AVERAGE(B13:J13,M13)</f>
        <v>5460.1</v>
      </c>
      <c r="W13" s="33" t="n">
        <f aca="false">MEDIAN(M13,B13:J13)</f>
        <v>5243</v>
      </c>
      <c r="X13" s="33" t="n">
        <f aca="false">MAX(M13,B13:J13)</f>
        <v>11066</v>
      </c>
      <c r="Y13" s="33" t="n">
        <f aca="false">MIN(M13,B13:J13)</f>
        <v>846</v>
      </c>
      <c r="Z13" s="1" t="s">
        <v>29</v>
      </c>
    </row>
    <row r="14" customFormat="false" ht="90.25" hidden="false" customHeight="false" outlineLevel="0" collapsed="false">
      <c r="A14" s="7" t="s">
        <v>53</v>
      </c>
      <c r="B14" s="36"/>
      <c r="C14" s="36" t="n">
        <v>0.808743169</v>
      </c>
      <c r="D14" s="36" t="n">
        <f aca="false">302/366</f>
        <v>0.825136612021858</v>
      </c>
      <c r="E14" s="36" t="n">
        <f aca="false">246/366</f>
        <v>0.672131147540984</v>
      </c>
      <c r="F14" s="36"/>
      <c r="G14" s="36" t="n">
        <v>0.78</v>
      </c>
      <c r="H14" s="36" t="n">
        <v>0.74</v>
      </c>
      <c r="I14" s="36" t="n">
        <v>0.76</v>
      </c>
      <c r="J14" s="36" t="n">
        <v>0.54</v>
      </c>
      <c r="K14" s="36" t="n">
        <f aca="false">259/366</f>
        <v>0.707650273224044</v>
      </c>
      <c r="L14" s="36" t="n">
        <f aca="false">232/366</f>
        <v>0.633879781420765</v>
      </c>
      <c r="M14" s="36" t="n">
        <v>0.75</v>
      </c>
      <c r="N14" s="8"/>
      <c r="O14" s="8" t="n">
        <v>2</v>
      </c>
      <c r="P14" s="8" t="n">
        <v>1</v>
      </c>
      <c r="Q14" s="9"/>
      <c r="R14" s="8" t="n">
        <v>0</v>
      </c>
      <c r="S14" s="10" t="n">
        <v>1</v>
      </c>
      <c r="T14" s="11" t="s">
        <v>27</v>
      </c>
      <c r="U14" s="11" t="s">
        <v>54</v>
      </c>
      <c r="V14" s="37" t="n">
        <f aca="false">AVERAGE(C14:E14,G14:M14)</f>
        <v>0.721754098320765</v>
      </c>
      <c r="W14" s="37" t="n">
        <f aca="false">MEDIAN(G14:M14,C14:E14)</f>
        <v>0.745</v>
      </c>
      <c r="X14" s="37" t="n">
        <f aca="false">MAX(G14:M14,C14:E14)</f>
        <v>0.825136612021858</v>
      </c>
      <c r="Y14" s="37" t="n">
        <f aca="false">MIN(G14:M14,C14:E14)</f>
        <v>0.54</v>
      </c>
      <c r="Z14" s="1" t="s">
        <v>38</v>
      </c>
    </row>
    <row r="15" customFormat="false" ht="77.6" hidden="false" customHeight="false" outlineLevel="0" collapsed="false">
      <c r="A15" s="34" t="s">
        <v>55</v>
      </c>
      <c r="B15" s="9"/>
      <c r="C15" s="9" t="s">
        <v>56</v>
      </c>
      <c r="D15" s="9"/>
      <c r="E15" s="19" t="s">
        <v>57</v>
      </c>
      <c r="F15" s="19"/>
      <c r="G15" s="19" t="s">
        <v>58</v>
      </c>
      <c r="H15" s="19" t="s">
        <v>59</v>
      </c>
      <c r="I15" s="19" t="s">
        <v>60</v>
      </c>
      <c r="J15" s="19" t="s">
        <v>61</v>
      </c>
      <c r="K15" s="19" t="s">
        <v>62</v>
      </c>
      <c r="L15" s="19" t="s">
        <v>63</v>
      </c>
      <c r="M15" s="19" t="s">
        <v>64</v>
      </c>
      <c r="N15" s="9"/>
      <c r="O15" s="9" t="n">
        <v>6</v>
      </c>
      <c r="P15" s="9"/>
      <c r="Q15" s="9"/>
      <c r="R15" s="9"/>
      <c r="S15" s="9"/>
      <c r="T15" s="35" t="s">
        <v>27</v>
      </c>
      <c r="U15" s="35" t="s">
        <v>34</v>
      </c>
      <c r="V15" s="32" t="n">
        <f aca="false">0.359</f>
        <v>0.359</v>
      </c>
      <c r="W15" s="32" t="n">
        <v>0.356</v>
      </c>
      <c r="X15" s="32" t="str">
        <f aca="false">H15</f>
        <v>47.2%</v>
      </c>
      <c r="Y15" s="32" t="str">
        <f aca="false">G15</f>
        <v>27.6%</v>
      </c>
      <c r="Z15" s="1" t="s">
        <v>38</v>
      </c>
    </row>
    <row r="16" customFormat="false" ht="39.55" hidden="false" customHeight="false" outlineLevel="0" collapsed="false">
      <c r="A16" s="7" t="s">
        <v>65</v>
      </c>
      <c r="B16" s="38" t="n">
        <f aca="false">C16+D16</f>
        <v>3694.06</v>
      </c>
      <c r="C16" s="38" t="n">
        <v>2823.28</v>
      </c>
      <c r="D16" s="38" t="n">
        <v>870.78</v>
      </c>
      <c r="E16" s="8" t="n">
        <v>3340.4</v>
      </c>
      <c r="F16" s="8" t="n">
        <v>1075.414</v>
      </c>
      <c r="G16" s="8" t="n">
        <v>7105.11100000001</v>
      </c>
      <c r="H16" s="8" t="n">
        <v>844.086</v>
      </c>
      <c r="I16" s="8" t="n">
        <v>6278.92800000001</v>
      </c>
      <c r="J16" s="8" t="n">
        <v>1932.425</v>
      </c>
      <c r="K16" s="8" t="n">
        <v>1669.751</v>
      </c>
      <c r="L16" s="8" t="n">
        <v>1685.07</v>
      </c>
      <c r="M16" s="8" t="n">
        <v>3402.584</v>
      </c>
      <c r="N16" s="8" t="n">
        <v>3</v>
      </c>
      <c r="O16" s="8" t="n">
        <v>5</v>
      </c>
      <c r="P16" s="8" t="n">
        <v>10</v>
      </c>
      <c r="Q16" s="9"/>
      <c r="R16" s="9"/>
      <c r="S16" s="9"/>
      <c r="T16" s="35" t="s">
        <v>66</v>
      </c>
      <c r="U16" s="35" t="s">
        <v>67</v>
      </c>
      <c r="V16" s="33" t="n">
        <f aca="false">AVERAGE(B16:M16)</f>
        <v>2893.49075</v>
      </c>
      <c r="W16" s="33" t="n">
        <f aca="false">MEDIAN(B16:P16)</f>
        <v>1685.07</v>
      </c>
      <c r="X16" s="33" t="n">
        <f aca="false">G16</f>
        <v>7105.11100000001</v>
      </c>
      <c r="Y16" s="33" t="n">
        <f aca="false">H16</f>
        <v>844.086</v>
      </c>
      <c r="Z16" s="1" t="s">
        <v>29</v>
      </c>
    </row>
    <row r="17" customFormat="false" ht="128.35" hidden="false" customHeight="false" outlineLevel="0" collapsed="false">
      <c r="A17" s="34" t="s">
        <v>68</v>
      </c>
      <c r="B17" s="9"/>
      <c r="C17" s="9" t="n">
        <v>43</v>
      </c>
      <c r="D17" s="9"/>
      <c r="E17" s="9" t="n">
        <v>42</v>
      </c>
      <c r="F17" s="9" t="n">
        <v>27</v>
      </c>
      <c r="G17" s="9" t="n">
        <v>39</v>
      </c>
      <c r="H17" s="9" t="n">
        <v>39</v>
      </c>
      <c r="I17" s="9" t="n">
        <v>44</v>
      </c>
      <c r="J17" s="9" t="n">
        <v>35</v>
      </c>
      <c r="K17" s="9" t="n">
        <v>37</v>
      </c>
      <c r="L17" s="9" t="n">
        <v>37</v>
      </c>
      <c r="M17" s="9" t="n">
        <v>52</v>
      </c>
      <c r="N17" s="9"/>
      <c r="O17" s="9" t="n">
        <v>3</v>
      </c>
      <c r="P17" s="9"/>
      <c r="Q17" s="9"/>
      <c r="R17" s="9"/>
      <c r="S17" s="9"/>
      <c r="T17" s="35" t="s">
        <v>27</v>
      </c>
      <c r="U17" s="35" t="s">
        <v>34</v>
      </c>
      <c r="V17" s="33" t="n">
        <f aca="false">AVERAGE(E17:M17,C17)</f>
        <v>39.5</v>
      </c>
      <c r="W17" s="33" t="n">
        <f aca="false">MEDIAN(E17:M17,C17)</f>
        <v>39</v>
      </c>
      <c r="X17" s="33" t="n">
        <f aca="false">M17</f>
        <v>52</v>
      </c>
      <c r="Y17" s="33" t="n">
        <f aca="false">F17</f>
        <v>27</v>
      </c>
      <c r="Z17" s="1" t="s">
        <v>29</v>
      </c>
    </row>
    <row r="18" customFormat="false" ht="52.2" hidden="false" customHeight="false" outlineLevel="0" collapsed="false">
      <c r="A18" s="34" t="s">
        <v>69</v>
      </c>
      <c r="B18" s="9"/>
      <c r="C18" s="9" t="s">
        <v>70</v>
      </c>
      <c r="D18" s="9"/>
      <c r="E18" s="19" t="s">
        <v>56</v>
      </c>
      <c r="F18" s="19"/>
      <c r="G18" s="19" t="s">
        <v>71</v>
      </c>
      <c r="H18" s="19" t="s">
        <v>72</v>
      </c>
      <c r="I18" s="19" t="s">
        <v>73</v>
      </c>
      <c r="J18" s="19" t="s">
        <v>74</v>
      </c>
      <c r="K18" s="19" t="s">
        <v>71</v>
      </c>
      <c r="L18" s="19" t="s">
        <v>75</v>
      </c>
      <c r="M18" s="19" t="s">
        <v>76</v>
      </c>
      <c r="N18" s="9"/>
      <c r="O18" s="9" t="n">
        <v>1</v>
      </c>
      <c r="P18" s="9"/>
      <c r="Q18" s="9"/>
      <c r="R18" s="9"/>
      <c r="S18" s="9"/>
      <c r="T18" s="35" t="s">
        <v>27</v>
      </c>
      <c r="U18" s="35" t="s">
        <v>34</v>
      </c>
      <c r="V18" s="32" t="n">
        <f aca="false">(0.476+0.346+0.238+0.095+0.286+0.19+0.238+0.316+0.25)/9</f>
        <v>0.270555555555556</v>
      </c>
      <c r="W18" s="32" t="n">
        <v>0.25</v>
      </c>
      <c r="X18" s="32" t="str">
        <f aca="false">C18</f>
        <v>47.6%</v>
      </c>
      <c r="Y18" s="32" t="str">
        <f aca="false">H18</f>
        <v>9.5%</v>
      </c>
      <c r="Z18" s="1" t="s">
        <v>38</v>
      </c>
    </row>
    <row r="19" customFormat="false" ht="39.55" hidden="false" customHeight="false" outlineLevel="0" collapsed="false">
      <c r="A19" s="34" t="s">
        <v>77</v>
      </c>
      <c r="B19" s="9"/>
      <c r="C19" s="39" t="s">
        <v>78</v>
      </c>
      <c r="D19" s="39"/>
      <c r="E19" s="39" t="s">
        <v>79</v>
      </c>
      <c r="F19" s="39" t="s">
        <v>80</v>
      </c>
      <c r="G19" s="39" t="s">
        <v>81</v>
      </c>
      <c r="H19" s="39" t="s">
        <v>82</v>
      </c>
      <c r="I19" s="39" t="s">
        <v>83</v>
      </c>
      <c r="J19" s="39" t="s">
        <v>84</v>
      </c>
      <c r="K19" s="39" t="s">
        <v>85</v>
      </c>
      <c r="L19" s="39" t="s">
        <v>83</v>
      </c>
      <c r="M19" s="39" t="s">
        <v>86</v>
      </c>
      <c r="N19" s="9"/>
      <c r="O19" s="9" t="n">
        <v>1</v>
      </c>
      <c r="P19" s="9"/>
      <c r="Q19" s="9"/>
      <c r="R19" s="9"/>
      <c r="S19" s="9"/>
      <c r="T19" s="35" t="s">
        <v>27</v>
      </c>
      <c r="U19" s="35" t="s">
        <v>34</v>
      </c>
      <c r="V19" s="27" t="n">
        <f aca="false">(90.2+86.6+82.1+89.1+84.6+87.8+84.4+85.3+87.8+89.5)/10</f>
        <v>86.74</v>
      </c>
      <c r="W19" s="27" t="n">
        <f aca="false">(86.6+87.8)/2</f>
        <v>87.2</v>
      </c>
      <c r="X19" s="33" t="str">
        <f aca="false">C19</f>
        <v>90.2</v>
      </c>
      <c r="Y19" s="27" t="str">
        <f aca="false">F19</f>
        <v>82.1</v>
      </c>
      <c r="Z19" s="1" t="s">
        <v>38</v>
      </c>
    </row>
    <row r="20" customFormat="false" ht="14.15" hidden="false" customHeight="false" outlineLevel="0" collapsed="false">
      <c r="A20" s="40" t="s">
        <v>21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2" t="n">
        <f aca="false">AVERAGE(N16,N13,N12,N11,N10,N9,N8,N6)</f>
        <v>5.125</v>
      </c>
      <c r="O20" s="42" t="n">
        <f aca="false">AVERAGE(O2:O19)</f>
        <v>4.22222222222222</v>
      </c>
      <c r="P20" s="42" t="n">
        <f aca="false">AVERAGE(P16,P8:P14,P5:P6,P2)</f>
        <v>6.90909090909091</v>
      </c>
      <c r="Q20" s="42" t="n">
        <f aca="false">AVERAGE(Q12,Q8:Q10,Q3:Q4)</f>
        <v>0.166666666666667</v>
      </c>
      <c r="R20" s="42" t="n">
        <f aca="false">AVERAGE(R14,R12,R10,R9,R8,R2:R5)</f>
        <v>-0.111111111111111</v>
      </c>
      <c r="S20" s="42" t="n">
        <f aca="false">AVERAGE(S14,S12,S8:S10,S2:S5)</f>
        <v>0.333333333333333</v>
      </c>
      <c r="T20" s="41"/>
      <c r="U20" s="41"/>
      <c r="V20" s="41"/>
      <c r="W20" s="41"/>
      <c r="X20" s="41"/>
      <c r="Y20" s="41"/>
    </row>
    <row r="21" customFormat="false" ht="14.15" hidden="false" customHeight="false" outlineLevel="0" collapsed="false">
      <c r="A21" s="40" t="s">
        <v>22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2" t="n">
        <f aca="false">MEDIAN(N16,N8:N13,N6)</f>
        <v>6</v>
      </c>
      <c r="O21" s="42" t="n">
        <f aca="false">MEDIAN(O2:O19)</f>
        <v>3.5</v>
      </c>
      <c r="P21" s="42" t="n">
        <f aca="false">MEDIAN(P16,P8:P14,P5:P6,P2)</f>
        <v>9</v>
      </c>
      <c r="Q21" s="42" t="n">
        <f aca="false">MEDIAN(Q12,Q8:Q10,Q3:Q4)</f>
        <v>0</v>
      </c>
      <c r="R21" s="42" t="n">
        <f aca="false">MEDIAN(R14,R12,R10,R9,R8,R2:R5)</f>
        <v>0</v>
      </c>
      <c r="S21" s="42" t="n">
        <f aca="false">MEDIAN(S14,S12,S8:S10,S2:S5)</f>
        <v>0</v>
      </c>
      <c r="T21" s="41"/>
      <c r="U21" s="41"/>
      <c r="V21" s="41"/>
      <c r="W21" s="41"/>
      <c r="X21" s="41"/>
      <c r="Y21" s="41"/>
    </row>
    <row r="22" customFormat="false" ht="14.15" hidden="false" customHeight="false" outlineLevel="0" collapsed="false">
      <c r="A22" s="40" t="s">
        <v>24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2" t="n">
        <f aca="false">MIN(N16,N8:N13,N6)</f>
        <v>2</v>
      </c>
      <c r="O22" s="42" t="n">
        <f aca="false">MIN(O2:O19)</f>
        <v>1</v>
      </c>
      <c r="P22" s="42" t="n">
        <f aca="false">MIN(P16,P8:P14,P5:P6,P2)</f>
        <v>1</v>
      </c>
      <c r="Q22" s="42" t="n">
        <f aca="false">MIN(Q12,Q8:Q10,Q3:Q4)</f>
        <v>0</v>
      </c>
      <c r="R22" s="42" t="n">
        <f aca="false">MIN(R14,R12,R10,R9,R8,R2:R5)</f>
        <v>-1</v>
      </c>
      <c r="S22" s="42" t="n">
        <f aca="false">MIN(S14,S12,S8:S10,S2:S5)</f>
        <v>0</v>
      </c>
      <c r="T22" s="41"/>
      <c r="U22" s="41"/>
      <c r="V22" s="41"/>
      <c r="W22" s="41"/>
      <c r="X22" s="41"/>
      <c r="Y22" s="41"/>
    </row>
    <row r="23" customFormat="false" ht="14.15" hidden="false" customHeight="false" outlineLevel="0" collapsed="false">
      <c r="A23" s="40" t="s">
        <v>23</v>
      </c>
      <c r="B23" s="41"/>
      <c r="C23" s="41" t="s">
        <v>87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2" t="n">
        <f aca="false">MAX(N16,N8:N13,N6)</f>
        <v>8</v>
      </c>
      <c r="O23" s="42" t="n">
        <f aca="false">MAX(O2:O19)</f>
        <v>8</v>
      </c>
      <c r="P23" s="42" t="n">
        <f aca="false">MAX(P16,P8:P14,P5:P6,P2)</f>
        <v>11</v>
      </c>
      <c r="Q23" s="42" t="n">
        <f aca="false">MAX(Q12,Q8:Q10,Q3:Q4)</f>
        <v>1</v>
      </c>
      <c r="R23" s="42" t="n">
        <f aca="false">MAX(R14,R12,R10,R9,R8,R2:R5)</f>
        <v>0</v>
      </c>
      <c r="S23" s="42" t="n">
        <f aca="false">MAX(S14,S12,S8:S10,S2:S5)</f>
        <v>1</v>
      </c>
      <c r="T23" s="41"/>
      <c r="U23" s="41"/>
      <c r="V23" s="41"/>
      <c r="W23" s="41"/>
      <c r="X23" s="41"/>
      <c r="Y23" s="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2018-02-02T17:14:06Z</dcterms:modified>
  <cp:revision>0</cp:revision>
</cp:coreProperties>
</file>