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couba\Desktop\HyblabDDJ2018\nantes-st-nazaire-dev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1" l="1"/>
  <c r="R23" i="1"/>
  <c r="Q23" i="1"/>
  <c r="P23" i="1"/>
  <c r="O23" i="1"/>
  <c r="N23" i="1"/>
  <c r="S22" i="1"/>
  <c r="R22" i="1"/>
  <c r="Q22" i="1"/>
  <c r="P22" i="1"/>
  <c r="O22" i="1"/>
  <c r="N22" i="1"/>
  <c r="S21" i="1"/>
  <c r="R21" i="1"/>
  <c r="Q21" i="1"/>
  <c r="P21" i="1"/>
  <c r="O21" i="1"/>
  <c r="N21" i="1"/>
  <c r="S20" i="1"/>
  <c r="R20" i="1"/>
  <c r="Q20" i="1"/>
  <c r="P20" i="1"/>
  <c r="O20" i="1"/>
  <c r="N20" i="1"/>
  <c r="Y19" i="1"/>
  <c r="X19" i="1"/>
  <c r="W19" i="1"/>
  <c r="V19" i="1"/>
  <c r="Y18" i="1"/>
  <c r="X18" i="1"/>
  <c r="V18" i="1"/>
  <c r="Y17" i="1"/>
  <c r="X17" i="1"/>
  <c r="W17" i="1"/>
  <c r="V17" i="1"/>
  <c r="Y16" i="1"/>
  <c r="X16" i="1"/>
  <c r="V16" i="1"/>
  <c r="B16" i="1"/>
  <c r="W16" i="1" s="1"/>
  <c r="Y15" i="1"/>
  <c r="X15" i="1"/>
  <c r="V15" i="1"/>
  <c r="V14" i="1"/>
  <c r="L14" i="1"/>
  <c r="W14" i="1" s="1"/>
  <c r="K14" i="1"/>
  <c r="E14" i="1"/>
  <c r="D14" i="1"/>
  <c r="Y13" i="1"/>
  <c r="X13" i="1"/>
  <c r="W13" i="1"/>
  <c r="V13" i="1"/>
  <c r="Y12" i="1"/>
  <c r="X12" i="1"/>
  <c r="W12" i="1"/>
  <c r="V12" i="1"/>
  <c r="Y11" i="1"/>
  <c r="X11" i="1"/>
  <c r="W11" i="1"/>
  <c r="V11" i="1"/>
  <c r="Y10" i="1"/>
  <c r="X10" i="1"/>
  <c r="W10" i="1"/>
  <c r="V10" i="1"/>
  <c r="Y9" i="1"/>
  <c r="X9" i="1"/>
  <c r="W9" i="1"/>
  <c r="V9" i="1"/>
  <c r="Y8" i="1"/>
  <c r="X8" i="1"/>
  <c r="W8" i="1"/>
  <c r="V8" i="1"/>
  <c r="Y7" i="1"/>
  <c r="X7" i="1"/>
  <c r="W7" i="1"/>
  <c r="V7" i="1"/>
  <c r="Y6" i="1"/>
  <c r="X6" i="1"/>
  <c r="W6" i="1"/>
  <c r="V6" i="1"/>
  <c r="Y5" i="1"/>
  <c r="X5" i="1"/>
  <c r="W5" i="1"/>
  <c r="V5" i="1"/>
  <c r="Y4" i="1"/>
  <c r="X4" i="1"/>
  <c r="W4" i="1"/>
  <c r="V4" i="1"/>
  <c r="Y3" i="1"/>
  <c r="X3" i="1"/>
  <c r="W3" i="1"/>
  <c r="V3" i="1"/>
  <c r="Y2" i="1"/>
  <c r="X2" i="1"/>
  <c r="W2" i="1"/>
  <c r="V2" i="1"/>
  <c r="X14" i="1" l="1"/>
  <c r="Y14" i="1"/>
</calcChain>
</file>

<file path=xl/sharedStrings.xml><?xml version="1.0" encoding="utf-8"?>
<sst xmlns="http://schemas.openxmlformats.org/spreadsheetml/2006/main" count="131" uniqueCount="87">
  <si>
    <t>Indicateur</t>
  </si>
  <si>
    <t>Nantes-St Nazaire</t>
  </si>
  <si>
    <t>Nantes</t>
  </si>
  <si>
    <t>St-Nazaire</t>
  </si>
  <si>
    <t>Lyon</t>
  </si>
  <si>
    <t>Aix-Marseille</t>
  </si>
  <si>
    <t>Toulouse</t>
  </si>
  <si>
    <t>Lille</t>
  </si>
  <si>
    <t>Bordeaux</t>
  </si>
  <si>
    <t>Nice</t>
  </si>
  <si>
    <t>Strasbourg</t>
  </si>
  <si>
    <t>Grenoble</t>
  </si>
  <si>
    <t>Rennes</t>
  </si>
  <si>
    <t>RNSN</t>
  </si>
  <si>
    <t>RN</t>
  </si>
  <si>
    <t>RSN</t>
  </si>
  <si>
    <t>ERNSN</t>
  </si>
  <si>
    <t>ERN</t>
  </si>
  <si>
    <t>Echelle</t>
  </si>
  <si>
    <t>Source</t>
  </si>
  <si>
    <t>Moyenne</t>
  </si>
  <si>
    <t>Mediane</t>
  </si>
  <si>
    <t>Max</t>
  </si>
  <si>
    <t>Min</t>
  </si>
  <si>
    <t>Revenu médian par UC 2014</t>
  </si>
  <si>
    <t>EPCI</t>
  </si>
  <si>
    <t>Insee, Filosofi</t>
  </si>
  <si>
    <t>Loyer mensuel médian au m2 (parc privé) - 2016*</t>
  </si>
  <si>
    <t>Observatoire des loyers</t>
  </si>
  <si>
    <t>Nombre d'années de revenus nécessaires pour l'achat d'un T3 dans l'ancien en 2013 (* 2015 pour Lyon et Bordeaux)</t>
  </si>
  <si>
    <t>Observ'agglo</t>
  </si>
  <si>
    <t>Rapport interdécile 2014</t>
  </si>
  <si>
    <t>Part du logement social dans le parc de logement</t>
  </si>
  <si>
    <t>Insee</t>
  </si>
  <si>
    <t>Nombre d'associations  (communes centres)</t>
  </si>
  <si>
    <t>Commune</t>
  </si>
  <si>
    <t>Dataasso</t>
  </si>
  <si>
    <t>Nombre de places en crèches (2015)</t>
  </si>
  <si>
    <t>CAF</t>
  </si>
  <si>
    <t>Places en crèches pour 10 000 hab (2015)</t>
  </si>
  <si>
    <t>Part des établissements de services aux personnes en 2016</t>
  </si>
  <si>
    <t>Aire Urbaine</t>
  </si>
  <si>
    <t>Insee, Sirene</t>
  </si>
  <si>
    <t>Evolution annuelle moyenne du nombre d'établissements des services aux personnes 2011-2016</t>
  </si>
  <si>
    <t>Nombre de licences sportives  pour 10 000 hab - football (département)</t>
  </si>
  <si>
    <t>Département</t>
  </si>
  <si>
    <t>Insee, Ministère de la Jeunesse et des Sports</t>
  </si>
  <si>
    <t>Nombre d'associations sportives (communes centres)</t>
  </si>
  <si>
    <t>Qualité de l’air 2016  (Jours avec un indice très bon à bon -1 à 4-)</t>
  </si>
  <si>
    <t>ATMO et AirPL</t>
  </si>
  <si>
    <t>Part du couvert végétal sur le territoire urbain</t>
  </si>
  <si>
    <t>34.6%</t>
  </si>
  <si>
    <t>33.2%</t>
  </si>
  <si>
    <t>27.6%</t>
  </si>
  <si>
    <t>47.2%</t>
  </si>
  <si>
    <t>36.9%</t>
  </si>
  <si>
    <t>28.5%</t>
  </si>
  <si>
    <t>38.7%</t>
  </si>
  <si>
    <t>41.2%</t>
  </si>
  <si>
    <t>35.6%</t>
  </si>
  <si>
    <t>Kilomètres de cours d'eau</t>
  </si>
  <si>
    <t>Aire urbaine</t>
  </si>
  <si>
    <t>Auran</t>
  </si>
  <si>
    <t>Nombre de kilomètres parcourus en transport en commun par habitant en 2014</t>
  </si>
  <si>
    <t>Nombre de femmes dans l'exécutif</t>
  </si>
  <si>
    <t>47.6%</t>
  </si>
  <si>
    <t>23.8%</t>
  </si>
  <si>
    <t>9.5%</t>
  </si>
  <si>
    <t>28.6%</t>
  </si>
  <si>
    <t>19.0%</t>
  </si>
  <si>
    <t>31.6%</t>
  </si>
  <si>
    <t>25.0%</t>
  </si>
  <si>
    <t>Taux de travail féminin</t>
  </si>
  <si>
    <t>90.2</t>
  </si>
  <si>
    <t>86.6</t>
  </si>
  <si>
    <t>82.1</t>
  </si>
  <si>
    <t>89.1</t>
  </si>
  <si>
    <t>84.6</t>
  </si>
  <si>
    <t>87.8</t>
  </si>
  <si>
    <t>84.4</t>
  </si>
  <si>
    <t>85.3</t>
  </si>
  <si>
    <t>89.5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</si>
  <si>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</si>
  <si>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Type</t>
  </si>
  <si>
    <t>p</t>
  </si>
  <si>
    <t>n</t>
  </si>
  <si>
    <t>ERSN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</si>
</sst>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%"/>
  </numFmts>
  <fonts count="14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Klavika light"/>
    </font>
    <font>
      <b/>
      <sz val="12"/>
      <color rgb="FF000000"/>
      <name val="Calibri"/>
      <family val="2"/>
    </font>
    <font>
      <b/>
      <sz val="10"/>
      <color rgb="FF000000"/>
      <name val="Klavika light"/>
    </font>
    <font>
      <b/>
      <sz val="9"/>
      <name val="Klavika light"/>
    </font>
    <font>
      <b/>
      <sz val="15"/>
      <name val="Klavika light"/>
    </font>
    <font>
      <sz val="9"/>
      <color rgb="FF000000"/>
      <name val="Klavika light"/>
    </font>
    <font>
      <sz val="11"/>
      <name val="Calibri"/>
      <family val="2"/>
    </font>
    <font>
      <b/>
      <sz val="9"/>
      <color rgb="FF000000"/>
      <name val="Klavika light plain"/>
    </font>
    <font>
      <i/>
      <sz val="10"/>
      <color rgb="FF000000"/>
      <name val="Klavika light"/>
    </font>
    <font>
      <i/>
      <sz val="9"/>
      <color rgb="FF000000"/>
      <name val="Klavika light plain"/>
    </font>
    <font>
      <i/>
      <sz val="9"/>
      <name val="Klavika light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3" fontId="0" fillId="4" borderId="1" xfId="0" applyNumberFormat="1" applyFont="1" applyFill="1" applyBorder="1"/>
    <xf numFmtId="3" fontId="0" fillId="4" borderId="1" xfId="0" applyNumberFormat="1" applyFont="1" applyFill="1" applyBorder="1" applyAlignment="1"/>
    <xf numFmtId="164" fontId="5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/>
    <xf numFmtId="0" fontId="7" fillId="0" borderId="1" xfId="0" applyFont="1" applyBorder="1" applyAlignment="1">
      <alignment vertical="center" wrapText="1"/>
    </xf>
    <xf numFmtId="164" fontId="0" fillId="4" borderId="1" xfId="0" applyNumberFormat="1" applyFont="1" applyFill="1" applyBorder="1" applyAlignment="1"/>
    <xf numFmtId="164" fontId="5" fillId="3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vertical="center" wrapText="1"/>
    </xf>
    <xf numFmtId="164" fontId="0" fillId="4" borderId="1" xfId="0" applyNumberFormat="1" applyFont="1" applyFill="1" applyBorder="1"/>
    <xf numFmtId="165" fontId="5" fillId="0" borderId="1" xfId="0" applyNumberFormat="1" applyFont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vertical="center" wrapText="1"/>
    </xf>
    <xf numFmtId="165" fontId="0" fillId="4" borderId="1" xfId="0" applyNumberFormat="1" applyFont="1" applyFill="1" applyBorder="1" applyAlignment="1"/>
    <xf numFmtId="165" fontId="9" fillId="0" borderId="1" xfId="0" applyNumberFormat="1" applyFont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right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/>
    </xf>
    <xf numFmtId="3" fontId="0" fillId="4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9" fontId="5" fillId="0" borderId="1" xfId="0" applyNumberFormat="1" applyFont="1" applyBorder="1" applyAlignment="1">
      <alignment horizontal="center" vertical="center" wrapText="1"/>
    </xf>
    <xf numFmtId="9" fontId="0" fillId="4" borderId="1" xfId="0" applyNumberFormat="1" applyFont="1" applyFill="1" applyBorder="1" applyAlignment="1">
      <alignment horizontal="center"/>
    </xf>
    <xf numFmtId="9" fontId="13" fillId="4" borderId="1" xfId="0" applyNumberFormat="1" applyFont="1" applyFill="1" applyBorder="1" applyAlignment="1">
      <alignment horizontal="center"/>
    </xf>
    <xf numFmtId="10" fontId="13" fillId="4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 vertical="center" wrapText="1"/>
    </xf>
    <xf numFmtId="3" fontId="13" fillId="4" borderId="1" xfId="0" applyNumberFormat="1" applyFont="1" applyFill="1" applyBorder="1" applyAlignment="1">
      <alignment horizontal="center"/>
    </xf>
    <xf numFmtId="164" fontId="13" fillId="4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 vertical="center" wrapText="1"/>
    </xf>
    <xf numFmtId="0" fontId="0" fillId="0" borderId="0" xfId="0" applyFont="1" applyAlignment="1"/>
    <xf numFmtId="3" fontId="0" fillId="0" borderId="1" xfId="0" applyNumberFormat="1" applyFont="1" applyBorder="1" applyAlignment="1"/>
    <xf numFmtId="10" fontId="5" fillId="0" borderId="1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zoomScale="70" zoomScaleNormal="70" workbookViewId="0">
      <selection activeCell="S2" sqref="S2"/>
    </sheetView>
  </sheetViews>
  <sheetFormatPr baseColWidth="10" defaultRowHeight="14.4"/>
  <sheetData>
    <row r="1" spans="1:26" ht="31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86</v>
      </c>
      <c r="T1" s="3" t="s">
        <v>18</v>
      </c>
      <c r="U1" s="3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4" t="s">
        <v>83</v>
      </c>
    </row>
    <row r="2" spans="1:26" ht="39.6">
      <c r="A2" s="5" t="s">
        <v>24</v>
      </c>
      <c r="B2" s="6"/>
      <c r="C2" s="6">
        <v>21847.3</v>
      </c>
      <c r="D2" s="6">
        <v>19965.7</v>
      </c>
      <c r="E2" s="6">
        <v>21057.3</v>
      </c>
      <c r="F2" s="6">
        <v>18792</v>
      </c>
      <c r="G2" s="6">
        <v>21883.8</v>
      </c>
      <c r="H2" s="6">
        <v>19308.5</v>
      </c>
      <c r="I2" s="6">
        <v>21323.5</v>
      </c>
      <c r="J2" s="6">
        <v>21323.5</v>
      </c>
      <c r="K2" s="6">
        <v>20054</v>
      </c>
      <c r="L2" s="6">
        <v>21407.4</v>
      </c>
      <c r="M2" s="6">
        <v>21908</v>
      </c>
      <c r="N2" s="6"/>
      <c r="O2" s="6">
        <v>3</v>
      </c>
      <c r="P2" s="6">
        <v>9</v>
      </c>
      <c r="Q2" s="7"/>
      <c r="R2" s="6">
        <v>0</v>
      </c>
      <c r="S2" s="8">
        <v>1</v>
      </c>
      <c r="T2" s="9" t="s">
        <v>25</v>
      </c>
      <c r="U2" s="9" t="s">
        <v>26</v>
      </c>
      <c r="V2" s="10">
        <f>AVERAGE(C2:M2)</f>
        <v>20806.454545454544</v>
      </c>
      <c r="W2" s="11">
        <f>MEDIAN(C2:M2)</f>
        <v>21323.5</v>
      </c>
      <c r="X2" s="11">
        <f>MAX(C2:M2)</f>
        <v>21908</v>
      </c>
      <c r="Y2" s="11">
        <f>MIN(C2:M2)</f>
        <v>18792</v>
      </c>
      <c r="Z2" t="s">
        <v>85</v>
      </c>
    </row>
    <row r="3" spans="1:26" ht="79.2">
      <c r="A3" s="5" t="s">
        <v>27</v>
      </c>
      <c r="B3" s="12"/>
      <c r="C3" s="12">
        <v>10.7</v>
      </c>
      <c r="D3" s="12"/>
      <c r="E3" s="12">
        <v>11.1</v>
      </c>
      <c r="F3" s="12">
        <v>11.8</v>
      </c>
      <c r="G3" s="12">
        <v>10.5</v>
      </c>
      <c r="H3" s="12">
        <v>11.1</v>
      </c>
      <c r="I3" s="12">
        <v>11.1</v>
      </c>
      <c r="J3" s="12">
        <v>13.5</v>
      </c>
      <c r="K3" s="12">
        <v>9.8000000000000007</v>
      </c>
      <c r="L3" s="12"/>
      <c r="M3" s="12">
        <v>10.4</v>
      </c>
      <c r="N3" s="12"/>
      <c r="O3" s="6">
        <v>4</v>
      </c>
      <c r="P3" s="12"/>
      <c r="Q3" s="13">
        <v>0</v>
      </c>
      <c r="R3" s="14">
        <v>0</v>
      </c>
      <c r="S3" s="14">
        <v>0</v>
      </c>
      <c r="T3" s="9" t="s">
        <v>25</v>
      </c>
      <c r="U3" s="15" t="s">
        <v>28</v>
      </c>
      <c r="V3" s="16">
        <f>AVERAGE(C3,E3,F3,G3,H3,I3,J3,K3,M3,)</f>
        <v>10</v>
      </c>
      <c r="W3" s="16">
        <f>MEDIAN(M3,E3:K3,C3)</f>
        <v>11.1</v>
      </c>
      <c r="X3" s="16">
        <f>MAX(M3,E3:K3,C3)</f>
        <v>13.5</v>
      </c>
      <c r="Y3" s="16">
        <f>MIN(C3,M3,E3:K3)</f>
        <v>9.8000000000000007</v>
      </c>
      <c r="Z3" t="s">
        <v>85</v>
      </c>
    </row>
    <row r="4" spans="1:26" ht="158.4">
      <c r="A4" s="5" t="s">
        <v>29</v>
      </c>
      <c r="B4" s="12"/>
      <c r="C4" s="12">
        <v>14</v>
      </c>
      <c r="D4" s="12"/>
      <c r="E4" s="12">
        <v>18.5</v>
      </c>
      <c r="F4" s="12">
        <v>16.5</v>
      </c>
      <c r="G4" s="12">
        <v>14</v>
      </c>
      <c r="H4" s="12">
        <v>17.5</v>
      </c>
      <c r="I4" s="12">
        <v>17</v>
      </c>
      <c r="J4" s="12">
        <v>25.5</v>
      </c>
      <c r="K4" s="12">
        <v>15.5</v>
      </c>
      <c r="L4" s="12">
        <v>13</v>
      </c>
      <c r="M4" s="12">
        <v>13</v>
      </c>
      <c r="N4" s="12"/>
      <c r="O4" s="6">
        <v>3</v>
      </c>
      <c r="P4" s="12"/>
      <c r="Q4" s="13">
        <v>0</v>
      </c>
      <c r="R4" s="14">
        <v>0</v>
      </c>
      <c r="S4" s="14">
        <v>0</v>
      </c>
      <c r="T4" s="9" t="s">
        <v>25</v>
      </c>
      <c r="U4" s="15" t="s">
        <v>30</v>
      </c>
      <c r="V4" s="16">
        <f>AVERAGE(C4,E4,F4,G4,H4,I4,J4,K4,L4,L4:M4)</f>
        <v>16.136363636363637</v>
      </c>
      <c r="W4" s="16">
        <f>MEDIAN(C4,E4:M4)</f>
        <v>16</v>
      </c>
      <c r="X4" s="16">
        <f>MAX(E4:M4,C4)</f>
        <v>25.5</v>
      </c>
      <c r="Y4" s="16">
        <f>MIN(C4,E4:M4)</f>
        <v>13</v>
      </c>
      <c r="Z4" t="s">
        <v>85</v>
      </c>
    </row>
    <row r="5" spans="1:26" ht="39.6">
      <c r="A5" s="5" t="s">
        <v>31</v>
      </c>
      <c r="B5" s="6"/>
      <c r="C5" s="12">
        <v>3.3</v>
      </c>
      <c r="D5" s="12">
        <v>2.9</v>
      </c>
      <c r="E5" s="12">
        <v>3.9</v>
      </c>
      <c r="F5" s="12">
        <v>4.0999999999999996</v>
      </c>
      <c r="G5" s="12">
        <v>3.9</v>
      </c>
      <c r="H5" s="12">
        <v>3.7</v>
      </c>
      <c r="I5" s="12">
        <v>3.6</v>
      </c>
      <c r="J5" s="12">
        <v>3.9</v>
      </c>
      <c r="K5" s="12">
        <v>4.0999999999999996</v>
      </c>
      <c r="L5" s="12">
        <v>3.5</v>
      </c>
      <c r="M5" s="12">
        <v>3.5</v>
      </c>
      <c r="N5" s="6"/>
      <c r="O5" s="6">
        <v>2</v>
      </c>
      <c r="P5" s="6">
        <v>1</v>
      </c>
      <c r="Q5" s="17"/>
      <c r="R5" s="18">
        <v>0</v>
      </c>
      <c r="S5" s="14">
        <v>0</v>
      </c>
      <c r="T5" s="9" t="s">
        <v>25</v>
      </c>
      <c r="U5" s="9" t="s">
        <v>26</v>
      </c>
      <c r="V5" s="19">
        <f>AVERAGE(C5:M5)</f>
        <v>3.6727272727272724</v>
      </c>
      <c r="W5" s="16">
        <f>MEDIAN(C5:M5)</f>
        <v>3.7</v>
      </c>
      <c r="X5" s="16">
        <f>MAX(C5:M5)</f>
        <v>4.0999999999999996</v>
      </c>
      <c r="Y5" s="16">
        <f>MIN(C5:M5)</f>
        <v>2.9</v>
      </c>
      <c r="Z5" t="s">
        <v>85</v>
      </c>
    </row>
    <row r="6" spans="1:26" ht="66">
      <c r="A6" s="5" t="s">
        <v>32</v>
      </c>
      <c r="B6" s="43">
        <v>0.16648652067175293</v>
      </c>
      <c r="C6" s="20">
        <v>0.16351974508733438</v>
      </c>
      <c r="D6" s="20">
        <v>0.18174433594094899</v>
      </c>
      <c r="E6" s="20">
        <v>0.2003699136868064</v>
      </c>
      <c r="F6" s="20">
        <v>0.15868044695147598</v>
      </c>
      <c r="G6" s="20">
        <v>0.13015147231525379</v>
      </c>
      <c r="H6" s="20">
        <v>0.23008911136528701</v>
      </c>
      <c r="I6" s="20">
        <v>0.17398978549540348</v>
      </c>
      <c r="J6" s="20">
        <v>9.6417619799852125E-2</v>
      </c>
      <c r="K6" s="20">
        <v>0.19654257751760723</v>
      </c>
      <c r="L6" s="20">
        <v>0.15918329457288594</v>
      </c>
      <c r="M6" s="20">
        <v>0.17095295203407312</v>
      </c>
      <c r="N6" s="6">
        <v>6</v>
      </c>
      <c r="O6" s="6">
        <v>7</v>
      </c>
      <c r="P6" s="6">
        <v>4</v>
      </c>
      <c r="Q6" s="21"/>
      <c r="R6" s="14"/>
      <c r="S6" s="14"/>
      <c r="T6" s="9" t="s">
        <v>25</v>
      </c>
      <c r="U6" s="9" t="s">
        <v>33</v>
      </c>
      <c r="V6" s="22">
        <f>AVERAGE(B6:M6)</f>
        <v>0.16901064795322343</v>
      </c>
      <c r="W6" s="22">
        <f>MEDIAN(B6:M6)</f>
        <v>0.16871973635291304</v>
      </c>
      <c r="X6" s="22">
        <f>MAX(B6:M6)</f>
        <v>0.23008911136528701</v>
      </c>
      <c r="Y6" s="22">
        <f>MIN(B6:M6)</f>
        <v>9.6417619799852125E-2</v>
      </c>
      <c r="Z6" t="s">
        <v>84</v>
      </c>
    </row>
    <row r="7" spans="1:26" ht="66">
      <c r="A7" s="5" t="s">
        <v>34</v>
      </c>
      <c r="B7" s="23"/>
      <c r="C7" s="6">
        <v>22852</v>
      </c>
      <c r="D7" s="23"/>
      <c r="E7" s="6">
        <v>43530</v>
      </c>
      <c r="F7" s="6">
        <v>44823</v>
      </c>
      <c r="G7" s="6">
        <v>30191</v>
      </c>
      <c r="H7" s="6">
        <v>54181</v>
      </c>
      <c r="I7" s="6">
        <v>32572</v>
      </c>
      <c r="J7" s="6">
        <v>17260</v>
      </c>
      <c r="K7" s="23"/>
      <c r="L7" s="23"/>
      <c r="M7" s="6">
        <v>21611</v>
      </c>
      <c r="N7" s="12"/>
      <c r="O7" s="6">
        <v>6</v>
      </c>
      <c r="P7" s="12"/>
      <c r="Q7" s="21"/>
      <c r="R7" s="14"/>
      <c r="S7" s="14"/>
      <c r="T7" s="9" t="s">
        <v>35</v>
      </c>
      <c r="U7" s="9" t="s">
        <v>36</v>
      </c>
      <c r="V7" s="11">
        <f>AVERAGE(C7,E7:J7,M7)</f>
        <v>33377.5</v>
      </c>
      <c r="W7" s="11">
        <f>MEDIAN(M7,E7:J7,C7)</f>
        <v>31381.5</v>
      </c>
      <c r="X7" s="11">
        <f>MAX(M7,E7:J7,C7)</f>
        <v>54181</v>
      </c>
      <c r="Y7" s="11">
        <f>MIN(E7:J7,C7,M7)</f>
        <v>17260</v>
      </c>
      <c r="Z7" t="s">
        <v>85</v>
      </c>
    </row>
    <row r="8" spans="1:26" ht="52.8">
      <c r="A8" s="5" t="s">
        <v>37</v>
      </c>
      <c r="B8" s="6">
        <v>5657</v>
      </c>
      <c r="C8" s="6">
        <v>5033</v>
      </c>
      <c r="D8" s="6">
        <v>624</v>
      </c>
      <c r="E8" s="6">
        <v>11834</v>
      </c>
      <c r="F8" s="6">
        <v>16000</v>
      </c>
      <c r="G8" s="6">
        <v>8493</v>
      </c>
      <c r="H8" s="6">
        <v>7381</v>
      </c>
      <c r="I8" s="6">
        <v>6863</v>
      </c>
      <c r="J8" s="6">
        <v>4407</v>
      </c>
      <c r="K8" s="6">
        <v>5494</v>
      </c>
      <c r="L8" s="6">
        <v>3917</v>
      </c>
      <c r="M8" s="6">
        <v>2934</v>
      </c>
      <c r="N8" s="6">
        <v>6</v>
      </c>
      <c r="O8" s="6">
        <v>7</v>
      </c>
      <c r="P8" s="6">
        <v>11</v>
      </c>
      <c r="Q8" s="8">
        <v>1</v>
      </c>
      <c r="R8" s="6">
        <v>0</v>
      </c>
      <c r="S8" s="6">
        <v>0</v>
      </c>
      <c r="T8" s="9" t="s">
        <v>25</v>
      </c>
      <c r="U8" s="9" t="s">
        <v>38</v>
      </c>
      <c r="V8" s="10">
        <f>AVERAGE(B8:M8)</f>
        <v>6553.083333333333</v>
      </c>
      <c r="W8" s="11">
        <f>MEDIAN(B8:M8)</f>
        <v>5575.5</v>
      </c>
      <c r="X8" s="11">
        <f>MAX(B8:M8)</f>
        <v>16000</v>
      </c>
      <c r="Y8" s="11">
        <f>MIN(B8:M8)</f>
        <v>624</v>
      </c>
      <c r="Z8" t="s">
        <v>85</v>
      </c>
    </row>
    <row r="9" spans="1:26" ht="52.8">
      <c r="A9" s="5" t="s">
        <v>39</v>
      </c>
      <c r="B9" s="12">
        <v>76.301077009192014</v>
      </c>
      <c r="C9" s="12">
        <v>81.277049286221825</v>
      </c>
      <c r="D9" s="12">
        <v>51.078459460565625</v>
      </c>
      <c r="E9" s="12">
        <v>87.369580561043534</v>
      </c>
      <c r="F9" s="12">
        <v>94.287864385764649</v>
      </c>
      <c r="G9" s="12">
        <v>113.70710880296257</v>
      </c>
      <c r="H9" s="12">
        <v>68.637032752539369</v>
      </c>
      <c r="I9" s="12">
        <v>90.191909143117726</v>
      </c>
      <c r="J9" s="12">
        <v>84.209118355180195</v>
      </c>
      <c r="K9" s="12">
        <v>113.5</v>
      </c>
      <c r="L9" s="12">
        <v>88.205225208184146</v>
      </c>
      <c r="M9" s="12">
        <v>67.777816279150358</v>
      </c>
      <c r="N9" s="6">
        <v>8</v>
      </c>
      <c r="O9" s="6">
        <v>8</v>
      </c>
      <c r="P9" s="6">
        <v>11</v>
      </c>
      <c r="Q9" s="6">
        <v>0</v>
      </c>
      <c r="R9" s="8">
        <v>-1</v>
      </c>
      <c r="S9" s="6">
        <v>0</v>
      </c>
      <c r="T9" s="9" t="s">
        <v>25</v>
      </c>
      <c r="U9" s="9" t="s">
        <v>38</v>
      </c>
      <c r="V9" s="24">
        <f>AVERAGE(B9:M9)</f>
        <v>84.711853436993508</v>
      </c>
      <c r="W9" s="24">
        <f>MEDIAN(B9:M9)</f>
        <v>85.789349458111872</v>
      </c>
      <c r="X9" s="24">
        <f>MAX(B9:M9)</f>
        <v>113.70710880296257</v>
      </c>
      <c r="Y9" s="24">
        <f>MIN(B9:M9)</f>
        <v>51.078459460565625</v>
      </c>
      <c r="Z9" t="s">
        <v>85</v>
      </c>
    </row>
    <row r="10" spans="1:26" ht="92.4">
      <c r="A10" s="5" t="s">
        <v>40</v>
      </c>
      <c r="B10" s="20">
        <v>0.2208</v>
      </c>
      <c r="C10" s="20">
        <v>0.222457272436727</v>
      </c>
      <c r="D10" s="20">
        <v>0.21521669103253499</v>
      </c>
      <c r="E10" s="20">
        <v>0.20523780044680101</v>
      </c>
      <c r="F10" s="20">
        <v>0.232138221831097</v>
      </c>
      <c r="G10" s="20">
        <v>0.24796057439706101</v>
      </c>
      <c r="H10" s="20">
        <v>0.21521669103253499</v>
      </c>
      <c r="I10" s="20">
        <v>0.22805933250927099</v>
      </c>
      <c r="J10" s="20">
        <v>0.20341890910214999</v>
      </c>
      <c r="K10" s="20">
        <v>0.21655294638901201</v>
      </c>
      <c r="L10" s="20">
        <v>0.24452999175079501</v>
      </c>
      <c r="M10" s="20">
        <v>0.232138221831097</v>
      </c>
      <c r="N10" s="6">
        <v>6</v>
      </c>
      <c r="O10" s="6">
        <v>6</v>
      </c>
      <c r="P10" s="6">
        <v>8</v>
      </c>
      <c r="Q10" s="6">
        <v>0</v>
      </c>
      <c r="R10" s="6">
        <v>0</v>
      </c>
      <c r="S10" s="8">
        <v>1</v>
      </c>
      <c r="T10" s="9" t="s">
        <v>41</v>
      </c>
      <c r="U10" s="9" t="s">
        <v>42</v>
      </c>
      <c r="V10" s="25">
        <f>AVERAGE(B10:M10)</f>
        <v>0.22364388772992341</v>
      </c>
      <c r="W10" s="25">
        <f>MEDIAN(B10:M10)</f>
        <v>0.22162863621836348</v>
      </c>
      <c r="X10" s="25">
        <f>MAX(B10:M10)</f>
        <v>0.24796057439706101</v>
      </c>
      <c r="Y10" s="25">
        <f>MIN(B10:M10)</f>
        <v>0.20341890910214999</v>
      </c>
      <c r="Z10" t="s">
        <v>84</v>
      </c>
    </row>
    <row r="11" spans="1:26" ht="132">
      <c r="A11" s="26" t="s">
        <v>43</v>
      </c>
      <c r="B11" s="27">
        <v>7.2316859781244899E-2</v>
      </c>
      <c r="C11" s="27">
        <v>7.5816904872813229E-2</v>
      </c>
      <c r="D11" s="27">
        <v>5.7934028946177163E-2</v>
      </c>
      <c r="E11" s="27">
        <v>7.1917858152166225E-2</v>
      </c>
      <c r="F11" s="27">
        <v>4.8912556596498957E-2</v>
      </c>
      <c r="G11" s="27">
        <v>6.6062273240292235E-2</v>
      </c>
      <c r="H11" s="27">
        <v>6.6751753248615264E-2</v>
      </c>
      <c r="I11" s="27">
        <v>7.9366524608897482E-2</v>
      </c>
      <c r="J11" s="27">
        <v>5.2285257029312637E-2</v>
      </c>
      <c r="K11" s="27">
        <v>6.6424693096245768E-2</v>
      </c>
      <c r="L11" s="27">
        <v>5.9621319818788265E-2</v>
      </c>
      <c r="M11" s="27">
        <v>6.6357955686772385E-2</v>
      </c>
      <c r="N11" s="6">
        <v>2</v>
      </c>
      <c r="O11" s="28">
        <v>2</v>
      </c>
      <c r="P11" s="28">
        <v>9</v>
      </c>
      <c r="Q11" s="21"/>
      <c r="R11" s="14"/>
      <c r="S11" s="14"/>
      <c r="T11" s="9" t="s">
        <v>41</v>
      </c>
      <c r="U11" s="9" t="s">
        <v>42</v>
      </c>
      <c r="V11" s="29">
        <f>AVERAGE(B11:M11)</f>
        <v>6.5313998756485372E-2</v>
      </c>
      <c r="W11" s="29">
        <f>MEDIAN(B11:M11)</f>
        <v>6.6391324391509077E-2</v>
      </c>
      <c r="X11" s="29">
        <f>MAX(B11:M11)</f>
        <v>7.9366524608897482E-2</v>
      </c>
      <c r="Y11" s="29">
        <f>MIN(B11:M11)</f>
        <v>4.8912556596498957E-2</v>
      </c>
      <c r="Z11" t="s">
        <v>84</v>
      </c>
    </row>
    <row r="12" spans="1:26" ht="105.6">
      <c r="A12" s="5" t="s">
        <v>44</v>
      </c>
      <c r="B12" s="6">
        <v>397</v>
      </c>
      <c r="C12" s="6"/>
      <c r="D12" s="6"/>
      <c r="E12" s="6">
        <v>256</v>
      </c>
      <c r="F12" s="6">
        <v>215</v>
      </c>
      <c r="G12" s="6">
        <v>289</v>
      </c>
      <c r="H12" s="6">
        <v>351</v>
      </c>
      <c r="I12" s="6">
        <v>275</v>
      </c>
      <c r="J12" s="6">
        <v>219</v>
      </c>
      <c r="K12" s="6">
        <v>443</v>
      </c>
      <c r="L12" s="6">
        <v>301</v>
      </c>
      <c r="M12" s="6">
        <v>438</v>
      </c>
      <c r="N12" s="18">
        <v>3</v>
      </c>
      <c r="O12" s="14">
        <v>3</v>
      </c>
      <c r="P12" s="14">
        <v>3</v>
      </c>
      <c r="Q12" s="18">
        <v>0</v>
      </c>
      <c r="R12" s="14">
        <v>0</v>
      </c>
      <c r="S12" s="14">
        <v>0</v>
      </c>
      <c r="T12" s="9" t="s">
        <v>45</v>
      </c>
      <c r="U12" s="15" t="s">
        <v>46</v>
      </c>
      <c r="V12" s="30">
        <f>AVERAGE(E12:M12,B12)</f>
        <v>318.39999999999998</v>
      </c>
      <c r="W12" s="30">
        <f>MEDIAN(E12:M12,B12)</f>
        <v>295</v>
      </c>
      <c r="X12" s="30">
        <f>MAX(E12:M12,B12)</f>
        <v>443</v>
      </c>
      <c r="Y12" s="30">
        <f>MIN(E12:M12,B12)</f>
        <v>215</v>
      </c>
      <c r="Z12" t="s">
        <v>85</v>
      </c>
    </row>
    <row r="13" spans="1:26" ht="79.2">
      <c r="A13" s="31" t="s">
        <v>47</v>
      </c>
      <c r="B13" s="7">
        <v>4231</v>
      </c>
      <c r="C13" s="7">
        <v>4185</v>
      </c>
      <c r="D13" s="7">
        <v>846</v>
      </c>
      <c r="E13" s="7">
        <v>6624</v>
      </c>
      <c r="F13" s="7">
        <v>7605</v>
      </c>
      <c r="G13" s="7">
        <v>6080</v>
      </c>
      <c r="H13" s="7">
        <v>11066</v>
      </c>
      <c r="I13" s="7">
        <v>6365</v>
      </c>
      <c r="J13" s="7">
        <v>3193</v>
      </c>
      <c r="K13" s="7"/>
      <c r="L13" s="7"/>
      <c r="M13" s="7">
        <v>4406</v>
      </c>
      <c r="N13" s="7">
        <v>7</v>
      </c>
      <c r="O13" s="7">
        <v>7</v>
      </c>
      <c r="P13" s="7">
        <v>9</v>
      </c>
      <c r="Q13" s="7"/>
      <c r="R13" s="7"/>
      <c r="S13" s="7"/>
      <c r="T13" s="32" t="s">
        <v>35</v>
      </c>
      <c r="U13" s="32" t="s">
        <v>36</v>
      </c>
      <c r="V13" s="30">
        <f>AVERAGE(B13:J13,M13)</f>
        <v>5460.1</v>
      </c>
      <c r="W13" s="30">
        <f>MEDIAN(M13,B13:J13)</f>
        <v>5243</v>
      </c>
      <c r="X13" s="30">
        <f>MAX(M13,B13:J13)</f>
        <v>11066</v>
      </c>
      <c r="Y13" s="30">
        <f>MIN(M13,B13:J13)</f>
        <v>846</v>
      </c>
      <c r="Z13" t="s">
        <v>85</v>
      </c>
    </row>
    <row r="14" spans="1:26" ht="79.2">
      <c r="A14" s="5" t="s">
        <v>48</v>
      </c>
      <c r="B14" s="33"/>
      <c r="C14" s="33">
        <v>0.80874316899999998</v>
      </c>
      <c r="D14" s="33">
        <f>302/366</f>
        <v>0.82513661202185795</v>
      </c>
      <c r="E14" s="33">
        <f>246/366</f>
        <v>0.67213114754098358</v>
      </c>
      <c r="F14" s="33"/>
      <c r="G14" s="33">
        <v>0.78</v>
      </c>
      <c r="H14" s="33">
        <v>0.74</v>
      </c>
      <c r="I14" s="33">
        <v>0.76</v>
      </c>
      <c r="J14" s="33">
        <v>0.54</v>
      </c>
      <c r="K14" s="33">
        <f>259/366</f>
        <v>0.70765027322404372</v>
      </c>
      <c r="L14" s="33">
        <f>232/366</f>
        <v>0.63387978142076506</v>
      </c>
      <c r="M14" s="33">
        <v>0.75</v>
      </c>
      <c r="N14" s="6"/>
      <c r="O14" s="6">
        <v>2</v>
      </c>
      <c r="P14" s="6">
        <v>1</v>
      </c>
      <c r="Q14" s="7"/>
      <c r="R14" s="6">
        <v>0</v>
      </c>
      <c r="S14" s="8">
        <v>1</v>
      </c>
      <c r="T14" s="9" t="s">
        <v>25</v>
      </c>
      <c r="U14" s="9" t="s">
        <v>49</v>
      </c>
      <c r="V14" s="34">
        <f>AVERAGE(C14:E14,G14:M14)</f>
        <v>0.72175409832076498</v>
      </c>
      <c r="W14" s="34">
        <f>MEDIAN(G14:M14,C14:E14)</f>
        <v>0.745</v>
      </c>
      <c r="X14" s="34">
        <f>MAX(G14:M14,C14:E14)</f>
        <v>0.82513661202185795</v>
      </c>
      <c r="Y14" s="35">
        <f>MIN(G14:M14,C14:E14)</f>
        <v>0.54</v>
      </c>
      <c r="Z14" t="s">
        <v>84</v>
      </c>
    </row>
    <row r="15" spans="1:26" ht="66">
      <c r="A15" s="31" t="s">
        <v>50</v>
      </c>
      <c r="B15" s="7"/>
      <c r="C15" s="7" t="s">
        <v>51</v>
      </c>
      <c r="D15" s="7"/>
      <c r="E15" s="17" t="s">
        <v>52</v>
      </c>
      <c r="F15" s="17"/>
      <c r="G15" s="17" t="s">
        <v>53</v>
      </c>
      <c r="H15" s="17" t="s">
        <v>54</v>
      </c>
      <c r="I15" s="17" t="s">
        <v>55</v>
      </c>
      <c r="J15" s="17" t="s">
        <v>56</v>
      </c>
      <c r="K15" s="17" t="s">
        <v>57</v>
      </c>
      <c r="L15" s="17" t="s">
        <v>58</v>
      </c>
      <c r="M15" s="17" t="s">
        <v>59</v>
      </c>
      <c r="N15" s="7"/>
      <c r="O15" s="7">
        <v>6</v>
      </c>
      <c r="P15" s="7"/>
      <c r="Q15" s="7"/>
      <c r="R15" s="7"/>
      <c r="S15" s="7"/>
      <c r="T15" s="32" t="s">
        <v>25</v>
      </c>
      <c r="U15" s="32" t="s">
        <v>30</v>
      </c>
      <c r="V15" s="36">
        <f>35.9%</f>
        <v>0.35899999999999999</v>
      </c>
      <c r="W15" s="29">
        <v>0.35599999999999998</v>
      </c>
      <c r="X15" s="29" t="str">
        <f>H15</f>
        <v>47.2%</v>
      </c>
      <c r="Y15" s="29" t="str">
        <f>G15</f>
        <v>27.6%</v>
      </c>
      <c r="Z15" t="s">
        <v>84</v>
      </c>
    </row>
    <row r="16" spans="1:26" ht="39.6">
      <c r="A16" s="5" t="s">
        <v>60</v>
      </c>
      <c r="B16" s="37">
        <f>C16+D16</f>
        <v>3694.0599999999995</v>
      </c>
      <c r="C16" s="37">
        <v>2823.2799999999997</v>
      </c>
      <c r="D16" s="37">
        <v>870.78</v>
      </c>
      <c r="E16" s="6">
        <v>3340.3999999999969</v>
      </c>
      <c r="F16" s="6">
        <v>1075.4139999999998</v>
      </c>
      <c r="G16" s="6">
        <v>7105.1110000000081</v>
      </c>
      <c r="H16" s="6">
        <v>844.08600000000035</v>
      </c>
      <c r="I16" s="6">
        <v>6278.928000000009</v>
      </c>
      <c r="J16" s="6">
        <v>1932.4249999999997</v>
      </c>
      <c r="K16" s="6">
        <v>1669.7509999999993</v>
      </c>
      <c r="L16" s="6">
        <v>1685.069999999999</v>
      </c>
      <c r="M16" s="6">
        <v>3402.5840000000012</v>
      </c>
      <c r="N16" s="6">
        <v>3</v>
      </c>
      <c r="O16" s="6">
        <v>5</v>
      </c>
      <c r="P16" s="6">
        <v>10</v>
      </c>
      <c r="Q16" s="7"/>
      <c r="R16" s="7"/>
      <c r="S16" s="7"/>
      <c r="T16" s="32" t="s">
        <v>61</v>
      </c>
      <c r="U16" s="32" t="s">
        <v>62</v>
      </c>
      <c r="V16" s="30">
        <f>AVERAGE(B16:M16)</f>
        <v>2893.4907500000013</v>
      </c>
      <c r="W16" s="38">
        <f>MEDIAN(B16:P16)</f>
        <v>1685.069999999999</v>
      </c>
      <c r="X16" s="30">
        <f>G16</f>
        <v>7105.1110000000081</v>
      </c>
      <c r="Y16" s="30">
        <f>H16</f>
        <v>844.08600000000035</v>
      </c>
      <c r="Z16" t="s">
        <v>85</v>
      </c>
    </row>
    <row r="17" spans="1:26" ht="105.6">
      <c r="A17" s="31" t="s">
        <v>63</v>
      </c>
      <c r="B17" s="7"/>
      <c r="C17" s="7">
        <v>43</v>
      </c>
      <c r="D17" s="7"/>
      <c r="E17" s="7">
        <v>42</v>
      </c>
      <c r="F17" s="7">
        <v>27</v>
      </c>
      <c r="G17" s="7">
        <v>39</v>
      </c>
      <c r="H17" s="7">
        <v>39</v>
      </c>
      <c r="I17" s="7">
        <v>44</v>
      </c>
      <c r="J17" s="7">
        <v>35</v>
      </c>
      <c r="K17" s="7">
        <v>37</v>
      </c>
      <c r="L17" s="7">
        <v>37</v>
      </c>
      <c r="M17" s="7">
        <v>52</v>
      </c>
      <c r="N17" s="7"/>
      <c r="O17" s="7">
        <v>3</v>
      </c>
      <c r="P17" s="7"/>
      <c r="Q17" s="7"/>
      <c r="R17" s="7"/>
      <c r="S17" s="7"/>
      <c r="T17" s="32" t="s">
        <v>25</v>
      </c>
      <c r="U17" s="32" t="s">
        <v>30</v>
      </c>
      <c r="V17" s="30">
        <f>AVERAGE(E17:M17,C17)</f>
        <v>39.5</v>
      </c>
      <c r="W17" s="30">
        <f>MEDIAN(E17:M17,C17)</f>
        <v>39</v>
      </c>
      <c r="X17" s="30">
        <f>M17</f>
        <v>52</v>
      </c>
      <c r="Y17" s="30">
        <f>F17</f>
        <v>27</v>
      </c>
      <c r="Z17" t="s">
        <v>85</v>
      </c>
    </row>
    <row r="18" spans="1:26" ht="52.8">
      <c r="A18" s="31" t="s">
        <v>64</v>
      </c>
      <c r="B18" s="7"/>
      <c r="C18" s="7" t="s">
        <v>65</v>
      </c>
      <c r="D18" s="7"/>
      <c r="E18" s="17" t="s">
        <v>51</v>
      </c>
      <c r="F18" s="17"/>
      <c r="G18" s="17" t="s">
        <v>66</v>
      </c>
      <c r="H18" s="17" t="s">
        <v>67</v>
      </c>
      <c r="I18" s="17" t="s">
        <v>68</v>
      </c>
      <c r="J18" s="17" t="s">
        <v>69</v>
      </c>
      <c r="K18" s="17" t="s">
        <v>66</v>
      </c>
      <c r="L18" s="17" t="s">
        <v>70</v>
      </c>
      <c r="M18" s="17" t="s">
        <v>71</v>
      </c>
      <c r="N18" s="7"/>
      <c r="O18" s="7">
        <v>1</v>
      </c>
      <c r="P18" s="7"/>
      <c r="Q18" s="7"/>
      <c r="R18" s="7"/>
      <c r="S18" s="7"/>
      <c r="T18" s="32" t="s">
        <v>25</v>
      </c>
      <c r="U18" s="32" t="s">
        <v>30</v>
      </c>
      <c r="V18" s="29">
        <f>(47.6%+34.6%+23.8%+9.5%+28.6%+19%+23.8%+31.6%+25%)/9</f>
        <v>0.27055555555555555</v>
      </c>
      <c r="W18" s="29">
        <v>0.25</v>
      </c>
      <c r="X18" s="29" t="str">
        <f>C18</f>
        <v>47.6%</v>
      </c>
      <c r="Y18" s="29" t="str">
        <f>H18</f>
        <v>9.5%</v>
      </c>
      <c r="Z18" t="s">
        <v>84</v>
      </c>
    </row>
    <row r="19" spans="1:26" ht="39.6">
      <c r="A19" s="31" t="s">
        <v>72</v>
      </c>
      <c r="B19" s="7"/>
      <c r="C19" s="45" t="s">
        <v>73</v>
      </c>
      <c r="D19" s="45"/>
      <c r="E19" s="45" t="s">
        <v>74</v>
      </c>
      <c r="F19" s="45" t="s">
        <v>75</v>
      </c>
      <c r="G19" s="45" t="s">
        <v>76</v>
      </c>
      <c r="H19" s="45" t="s">
        <v>77</v>
      </c>
      <c r="I19" s="45" t="s">
        <v>78</v>
      </c>
      <c r="J19" s="45" t="s">
        <v>79</v>
      </c>
      <c r="K19" s="45" t="s">
        <v>80</v>
      </c>
      <c r="L19" s="45" t="s">
        <v>78</v>
      </c>
      <c r="M19" s="45" t="s">
        <v>81</v>
      </c>
      <c r="N19" s="7"/>
      <c r="O19" s="7">
        <v>1</v>
      </c>
      <c r="P19" s="7"/>
      <c r="Q19" s="7"/>
      <c r="R19" s="7"/>
      <c r="S19" s="7"/>
      <c r="T19" s="32" t="s">
        <v>25</v>
      </c>
      <c r="U19" s="32" t="s">
        <v>30</v>
      </c>
      <c r="V19" s="24">
        <f>(90.2+86.6+82.1+89.1+84.6+87.8+84.4+85.3+87.8+89.5)/10</f>
        <v>86.739999999999981</v>
      </c>
      <c r="W19" s="39">
        <f>(86.6+87.8)/2</f>
        <v>87.199999999999989</v>
      </c>
      <c r="X19" s="30" t="str">
        <f>C19</f>
        <v>90.2</v>
      </c>
      <c r="Y19" s="24" t="str">
        <f>F19</f>
        <v>82.1</v>
      </c>
      <c r="Z19" t="s">
        <v>84</v>
      </c>
    </row>
    <row r="20" spans="1:26">
      <c r="A20" s="40" t="s">
        <v>20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2">
        <f>AVERAGE(N16,N13,N12,N11,N10,N9,N8,N6)</f>
        <v>5.125</v>
      </c>
      <c r="O20" s="42">
        <f>AVERAGE(O2:O19)</f>
        <v>4.2222222222222223</v>
      </c>
      <c r="P20" s="42">
        <f>AVERAGE(P16,P8:P14,P5:P6,P2)</f>
        <v>6.9090909090909092</v>
      </c>
      <c r="Q20" s="42">
        <f>AVERAGE(Q12,Q8:Q10,Q3:Q4)</f>
        <v>0.16666666666666666</v>
      </c>
      <c r="R20" s="42">
        <f>AVERAGE(R14,R12,R10,R9,R8,R2:R5)</f>
        <v>-0.1111111111111111</v>
      </c>
      <c r="S20" s="42">
        <f>AVERAGE(S14,S12,S8:S10,S2:S5)</f>
        <v>0.33333333333333331</v>
      </c>
      <c r="T20" s="41"/>
      <c r="U20" s="41"/>
      <c r="V20" s="41"/>
      <c r="W20" s="41"/>
      <c r="X20" s="41"/>
      <c r="Y20" s="41"/>
    </row>
    <row r="21" spans="1:26">
      <c r="A21" s="40" t="s">
        <v>21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2">
        <f>MEDIAN(N16,N8:N13,N6)</f>
        <v>6</v>
      </c>
      <c r="O21" s="42">
        <f>MEDIAN(O2:O19)</f>
        <v>3.5</v>
      </c>
      <c r="P21" s="42">
        <f>MEDIAN(P16,P8:P14,P5:P6,P2)</f>
        <v>9</v>
      </c>
      <c r="Q21" s="42">
        <f>MEDIAN(Q12,Q8:Q10,Q3:Q4)</f>
        <v>0</v>
      </c>
      <c r="R21" s="42">
        <f>MEDIAN(R14,R12,R10,R9,R8,R2:R5)</f>
        <v>0</v>
      </c>
      <c r="S21" s="42">
        <f>MEDIAN(S14,S12,S8:S10,S2:S5)</f>
        <v>0</v>
      </c>
      <c r="T21" s="41"/>
      <c r="U21" s="41"/>
      <c r="V21" s="41"/>
      <c r="W21" s="41"/>
      <c r="X21" s="41"/>
      <c r="Y21" s="41"/>
    </row>
    <row r="22" spans="1:26">
      <c r="A22" s="40" t="s">
        <v>23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2">
        <f>MIN(N16,N8:N13,N6)</f>
        <v>2</v>
      </c>
      <c r="O22" s="42">
        <f>MIN(O2:O19)</f>
        <v>1</v>
      </c>
      <c r="P22" s="42">
        <f>MIN(P16,P8:P14,P5:P6,P2)</f>
        <v>1</v>
      </c>
      <c r="Q22" s="42">
        <f>MIN(Q12,Q8:Q10,Q3:Q4)</f>
        <v>0</v>
      </c>
      <c r="R22" s="42">
        <f>MIN(R14,R12,R10,R9,R8,R2:R5)</f>
        <v>-1</v>
      </c>
      <c r="S22" s="42">
        <f>MIN(S14,S12,S8:S10,S2:S5)</f>
        <v>0</v>
      </c>
      <c r="T22" s="41"/>
      <c r="U22" s="41"/>
      <c r="V22" s="41"/>
      <c r="W22" s="41"/>
      <c r="X22" s="41"/>
      <c r="Y22" s="41"/>
    </row>
    <row r="23" spans="1:26">
      <c r="A23" s="40" t="s">
        <v>22</v>
      </c>
      <c r="B23" s="41"/>
      <c r="C23" s="41" t="s">
        <v>82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>
        <f>MAX(N16,N8:N13,N6)</f>
        <v>8</v>
      </c>
      <c r="O23" s="42">
        <f>MAX(O2:O19)</f>
        <v>8</v>
      </c>
      <c r="P23" s="42">
        <f>MAX(P16,P8:P14,P5:P6,P2)</f>
        <v>11</v>
      </c>
      <c r="Q23" s="42">
        <f>MAX(Q12,Q8:Q10,Q3:Q4)</f>
        <v>1</v>
      </c>
      <c r="R23" s="42">
        <f>MAX(R14,R12,R10,R9,R8,R2:R5)</f>
        <v>0</v>
      </c>
      <c r="S23" s="42">
        <f>MAX(S14,S12,S8:S10,S2:S5)</f>
        <v>1</v>
      </c>
      <c r="T23" s="41"/>
      <c r="U23" s="41"/>
      <c r="V23" s="41"/>
      <c r="W23" s="41"/>
      <c r="X23" s="41"/>
      <c r="Y23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Yacouba</dc:creator>
  <cp:lastModifiedBy>Yacouba</cp:lastModifiedBy>
  <dcterms:created xsi:type="dcterms:W3CDTF">2018-01-19T13:26:33Z</dcterms:created>
  <dcterms:modified xsi:type="dcterms:W3CDTF">2018-01-28T16:45:34Z</dcterms:modified>
</cp:coreProperties>
</file>