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Y19" i="1"/>
  <c r="X19"/>
  <c r="W19"/>
  <c r="V19"/>
  <c r="Y18"/>
  <c r="X18"/>
  <c r="V18"/>
  <c r="Y17"/>
  <c r="X17"/>
  <c r="W17"/>
  <c r="V17"/>
  <c r="Y16"/>
  <c r="X16"/>
  <c r="W16"/>
  <c r="B16"/>
  <c r="V16" s="1"/>
  <c r="Y15"/>
  <c r="X15"/>
  <c r="V15"/>
  <c r="L14"/>
  <c r="K14"/>
  <c r="E14"/>
  <c r="D14"/>
  <c r="Y13"/>
  <c r="X13"/>
  <c r="W13"/>
  <c r="V13"/>
  <c r="Y12"/>
  <c r="X12"/>
  <c r="W12"/>
  <c r="V12"/>
  <c r="Y11"/>
  <c r="X11"/>
  <c r="W11"/>
  <c r="V11"/>
  <c r="Y10"/>
  <c r="X10"/>
  <c r="W10"/>
  <c r="V10"/>
  <c r="Y9"/>
  <c r="X9"/>
  <c r="W9"/>
  <c r="V9"/>
  <c r="Y8"/>
  <c r="X8"/>
  <c r="W8"/>
  <c r="V8"/>
  <c r="Y7"/>
  <c r="X7"/>
  <c r="W7"/>
  <c r="V7"/>
  <c r="Y6"/>
  <c r="X6"/>
  <c r="W6"/>
  <c r="V6"/>
  <c r="Y5"/>
  <c r="X5"/>
  <c r="W5"/>
  <c r="V5"/>
  <c r="Y4"/>
  <c r="X4"/>
  <c r="W4"/>
  <c r="V4"/>
  <c r="Y3"/>
  <c r="X3"/>
  <c r="W3"/>
  <c r="V3"/>
  <c r="Y2"/>
  <c r="X2"/>
  <c r="W2"/>
  <c r="V2"/>
  <c r="Y14" l="1"/>
  <c r="V14"/>
  <c r="X14"/>
  <c r="W14"/>
</calcChain>
</file>

<file path=xl/sharedStrings.xml><?xml version="1.0" encoding="utf-8"?>
<sst xmlns="http://schemas.openxmlformats.org/spreadsheetml/2006/main" count="238" uniqueCount="127">
  <si>
    <t>Indicateur</t>
  </si>
  <si>
    <t>Nantes-St Nazaire</t>
  </si>
  <si>
    <t>Nantes</t>
  </si>
  <si>
    <t>St-Nazaire</t>
  </si>
  <si>
    <t>Lyon</t>
  </si>
  <si>
    <t>Aix-Marseille</t>
  </si>
  <si>
    <t>Toulouse</t>
  </si>
  <si>
    <t>Lille</t>
  </si>
  <si>
    <t>Bordeaux</t>
  </si>
  <si>
    <t>Nice</t>
  </si>
  <si>
    <t>Strasbourg</t>
  </si>
  <si>
    <t>Grenoble</t>
  </si>
  <si>
    <t>Rennes</t>
  </si>
  <si>
    <t>RNSN</t>
  </si>
  <si>
    <t>RN</t>
  </si>
  <si>
    <t>RSN</t>
  </si>
  <si>
    <t>ERNSN</t>
  </si>
  <si>
    <t>ERN</t>
  </si>
  <si>
    <t>ERSN</t>
  </si>
  <si>
    <t>Echelle</t>
  </si>
  <si>
    <t>Source</t>
  </si>
  <si>
    <t>Moyenne</t>
  </si>
  <si>
    <t>Mediane</t>
  </si>
  <si>
    <t>Max</t>
  </si>
  <si>
    <t>Min</t>
  </si>
  <si>
    <t>Type</t>
  </si>
  <si>
    <t>Revenu médian par UC 2014</t>
  </si>
  <si>
    <t>EPCI</t>
  </si>
  <si>
    <t>Insee, Filosofi</t>
  </si>
  <si>
    <t>n</t>
  </si>
  <si>
    <t>Loyer mensuel médian au m2 (parc privé) - 2016*</t>
  </si>
  <si>
    <t>Observatoire des loyers</t>
  </si>
  <si>
    <t>Nombre d'années de revenus nécessaires pour l'achat d'un T3 dans l'ancien en 2013 (* 2015 pour Lyon et Bordeaux)</t>
  </si>
  <si>
    <t>null</t>
  </si>
  <si>
    <t>Observ'agglo</t>
  </si>
  <si>
    <t>Rapport interdécile 2014</t>
  </si>
  <si>
    <t>Part du logement social dans le parc de logement</t>
  </si>
  <si>
    <t>Insee</t>
  </si>
  <si>
    <t>p</t>
  </si>
  <si>
    <t>Nombre d'associations  (communes centres)</t>
  </si>
  <si>
    <t>Commune</t>
  </si>
  <si>
    <t>Dataasso</t>
  </si>
  <si>
    <t>Nombre de places en crèches (2015)</t>
  </si>
  <si>
    <t>CAF</t>
  </si>
  <si>
    <t>Places en crèches pour 10 000 hab (2015)</t>
  </si>
  <si>
    <t>Part des établissements de services aux personnes en 2016</t>
  </si>
  <si>
    <t>Aire Urbaine</t>
  </si>
  <si>
    <t>Insee, Sirene</t>
  </si>
  <si>
    <t>Evolution annuelle moyenne du nombre d'établissements des services aux personnes 2011-2016</t>
  </si>
  <si>
    <t>Nombre de licences sportives  pour 10 000 hab - football (département)</t>
  </si>
  <si>
    <t>Département</t>
  </si>
  <si>
    <t>Insee, Ministère de la Jeunesse et des Sports</t>
  </si>
  <si>
    <t>Nombre d'associations sportives (communes centres)</t>
  </si>
  <si>
    <t>Qualité de l’air 2016  (Jours avec un indice très bon à bon -1 à 4-)</t>
  </si>
  <si>
    <t>ATMO et AirPL</t>
  </si>
  <si>
    <t>Part du couvert végétal sur le territoire urbain</t>
  </si>
  <si>
    <t>34.6%</t>
  </si>
  <si>
    <t>33.2%</t>
  </si>
  <si>
    <t>27.6%</t>
  </si>
  <si>
    <t>47.2%</t>
  </si>
  <si>
    <t>36.9%</t>
  </si>
  <si>
    <t>28.5%</t>
  </si>
  <si>
    <t>38.7%</t>
  </si>
  <si>
    <t>41.2%</t>
  </si>
  <si>
    <t>35.6%</t>
  </si>
  <si>
    <t>Kilomètres de cours d'eau</t>
  </si>
  <si>
    <t>Aire urbaine</t>
  </si>
  <si>
    <t>Auran</t>
  </si>
  <si>
    <t>Nombre de kilomètres parcourus en transport en commun par habitant en 2014</t>
  </si>
  <si>
    <t>Nombre de femmes dans l'exécutif</t>
  </si>
  <si>
    <t>47.6%</t>
  </si>
  <si>
    <t>23.8%</t>
  </si>
  <si>
    <t>9.5%</t>
  </si>
  <si>
    <t>28.6%</t>
  </si>
  <si>
    <t>19.0%</t>
  </si>
  <si>
    <t>31.6%</t>
  </si>
  <si>
    <t>25.0%</t>
  </si>
  <si>
    <t>Taux de travail féminin</t>
  </si>
  <si>
    <t>90.2</t>
  </si>
  <si>
    <t>86.6</t>
  </si>
  <si>
    <t>82.1</t>
  </si>
  <si>
    <t>89.1</t>
  </si>
  <si>
    <t>84.6</t>
  </si>
  <si>
    <t>87.8</t>
  </si>
  <si>
    <t>84.4</t>
  </si>
  <si>
    <t>85.3</t>
  </si>
  <si>
    <t>89.5</t>
  </si>
  <si>
    <t>Taux de chômage 2016</t>
  </si>
  <si>
    <t>Zone d'emploi</t>
  </si>
  <si>
    <t>INSEE</t>
  </si>
  <si>
    <t>Evolution annuelle moyenne 2009-2014 de la part des cadres dans pop act.</t>
  </si>
  <si>
    <t>Insee, RGP</t>
  </si>
  <si>
    <t>Evolution annuelle 2011-2016 du Nombre d'établissements 2016</t>
  </si>
  <si>
    <t>Aéroport</t>
  </si>
  <si>
    <t>Temps de connexion à Paris (train)</t>
  </si>
  <si>
    <t>1h56</t>
  </si>
  <si>
    <t>2h31</t>
  </si>
  <si>
    <t>1h57</t>
  </si>
  <si>
    <t>3h05</t>
  </si>
  <si>
    <t>4h17</t>
  </si>
  <si>
    <t>1h01</t>
  </si>
  <si>
    <t>2h04</t>
  </si>
  <si>
    <t>5h33</t>
  </si>
  <si>
    <t>1h46</t>
  </si>
  <si>
    <t>3h01</t>
  </si>
  <si>
    <t>1h25</t>
  </si>
  <si>
    <t>Gare</t>
  </si>
  <si>
    <t>SNCF</t>
  </si>
  <si>
    <t>Nombre de congrès internationaux en 2016</t>
  </si>
  <si>
    <t>ICCA</t>
  </si>
  <si>
    <t>Part des emplois salariés privés dans les industries culturelles et créatives en 2016</t>
  </si>
  <si>
    <t>URSSAF, ACOSS</t>
  </si>
  <si>
    <t>Evolution annuelle moyenne du nombre d'emplois dans les ICC 2011-2016</t>
  </si>
  <si>
    <t>Evolution annuelle moyenne 2009-2014</t>
  </si>
  <si>
    <t>Taux de réussite au baccalauréat général</t>
  </si>
  <si>
    <t>Académie</t>
  </si>
  <si>
    <t>Rectorat</t>
  </si>
  <si>
    <t>Nombre d'emplois dans la l'industrie navale</t>
  </si>
  <si>
    <t>Evolution annuelle moyenne 2011-2016</t>
  </si>
  <si>
    <t>Nombre d'emplois dans l'aéronautique</t>
  </si>
  <si>
    <t>Part des emplois privés dans le numérique en 2016</t>
  </si>
  <si>
    <t>Périmètres French Tech</t>
  </si>
  <si>
    <t>URSSAF, ACOSS ; Insee, Sirene</t>
  </si>
  <si>
    <t>Evolution annuelle moyenne du nombre d'emplois dans le numérique 2011-2016</t>
  </si>
  <si>
    <t>Evolution annuelle de la part des emploi "conception recherche" 2009-2014</t>
  </si>
  <si>
    <t>Qualité de l’air 2016 (Jours avec un indice très bon à bon -1 à 4-)</t>
  </si>
  <si>
    <t>Evolution moyenne annuelle du nombre de passagers 2011-2016 (en pourcentages)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</si>
</sst>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21">
    <font>
      <sz val="10"/>
      <name val="Arial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2"/>
      <name val="Klavika light"/>
    </font>
    <font>
      <b/>
      <sz val="12"/>
      <color rgb="FF000000"/>
      <name val="Calibri"/>
      <family val="2"/>
    </font>
    <font>
      <b/>
      <sz val="10"/>
      <color rgb="FF000000"/>
      <name val="Klavika light"/>
    </font>
    <font>
      <b/>
      <sz val="9"/>
      <name val="Klavika light"/>
    </font>
    <font>
      <b/>
      <sz val="15"/>
      <name val="Klavika light"/>
    </font>
    <font>
      <sz val="9"/>
      <color rgb="FF000000"/>
      <name val="Klavika light"/>
    </font>
    <font>
      <sz val="11"/>
      <name val="Calibri"/>
      <family val="2"/>
    </font>
    <font>
      <b/>
      <sz val="9"/>
      <color rgb="FF000000"/>
      <name val="Klavika light plain"/>
    </font>
    <font>
      <i/>
      <sz val="10"/>
      <color rgb="FF000000"/>
      <name val="Klavika light"/>
    </font>
    <font>
      <i/>
      <sz val="9"/>
      <color rgb="FF000000"/>
      <name val="Klavika light plain"/>
    </font>
    <font>
      <i/>
      <sz val="9"/>
      <name val="Klavika light"/>
    </font>
    <font>
      <sz val="10"/>
      <color rgb="FF000000"/>
      <name val="Klavika light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0000"/>
      <name val="Klavika light plain"/>
    </font>
    <font>
      <b/>
      <sz val="10"/>
      <color theme="1"/>
      <name val="Klavika light"/>
    </font>
    <font>
      <i/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EAD1DC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A84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3" fontId="7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3" fontId="1" fillId="4" borderId="1" xfId="1" applyNumberFormat="1" applyFont="1" applyFill="1" applyBorder="1"/>
    <xf numFmtId="3" fontId="1" fillId="4" borderId="1" xfId="1" applyNumberFormat="1" applyFont="1" applyFill="1" applyBorder="1" applyAlignment="1"/>
    <xf numFmtId="164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vertical="center" wrapText="1"/>
    </xf>
    <xf numFmtId="0" fontId="9" fillId="0" borderId="1" xfId="1" applyFont="1" applyBorder="1" applyAlignment="1"/>
    <xf numFmtId="0" fontId="8" fillId="0" borderId="1" xfId="1" applyFont="1" applyBorder="1" applyAlignment="1">
      <alignment vertical="center" wrapText="1"/>
    </xf>
    <xf numFmtId="164" fontId="1" fillId="4" borderId="1" xfId="1" applyNumberFormat="1" applyFont="1" applyFill="1" applyBorder="1" applyAlignment="1"/>
    <xf numFmtId="164" fontId="6" fillId="3" borderId="1" xfId="1" applyNumberFormat="1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vertical="center" wrapText="1"/>
    </xf>
    <xf numFmtId="164" fontId="1" fillId="4" borderId="1" xfId="1" applyNumberFormat="1" applyFont="1" applyFill="1" applyBorder="1"/>
    <xf numFmtId="10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vertical="center" wrapText="1"/>
    </xf>
    <xf numFmtId="165" fontId="1" fillId="4" borderId="1" xfId="1" applyNumberFormat="1" applyFont="1" applyFill="1" applyBorder="1" applyAlignment="1"/>
    <xf numFmtId="165" fontId="10" fillId="0" borderId="1" xfId="1" applyNumberFormat="1" applyFont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center"/>
    </xf>
    <xf numFmtId="0" fontId="11" fillId="0" borderId="1" xfId="1" applyFont="1" applyBorder="1" applyAlignment="1">
      <alignment horizontal="right" vertical="center" wrapText="1"/>
    </xf>
    <xf numFmtId="10" fontId="12" fillId="0" borderId="1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  <xf numFmtId="10" fontId="1" fillId="4" borderId="1" xfId="1" applyNumberFormat="1" applyFont="1" applyFill="1" applyBorder="1" applyAlignment="1">
      <alignment horizontal="center"/>
    </xf>
    <xf numFmtId="3" fontId="1" fillId="4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/>
    </xf>
    <xf numFmtId="9" fontId="6" fillId="0" borderId="1" xfId="1" applyNumberFormat="1" applyFont="1" applyBorder="1" applyAlignment="1">
      <alignment horizontal="center" vertical="center" wrapText="1"/>
    </xf>
    <xf numFmtId="9" fontId="1" fillId="4" borderId="1" xfId="1" applyNumberFormat="1" applyFont="1" applyFill="1" applyBorder="1" applyAlignment="1">
      <alignment horizontal="center"/>
    </xf>
    <xf numFmtId="3" fontId="6" fillId="5" borderId="1" xfId="1" applyNumberFormat="1" applyFont="1" applyFill="1" applyBorder="1" applyAlignment="1">
      <alignment horizontal="center" vertical="center" wrapText="1"/>
    </xf>
    <xf numFmtId="2" fontId="6" fillId="3" borderId="1" xfId="1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10" fontId="16" fillId="6" borderId="5" xfId="0" applyNumberFormat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10" fontId="18" fillId="6" borderId="4" xfId="0" applyNumberFormat="1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vertical="center" wrapText="1"/>
    </xf>
    <xf numFmtId="0" fontId="19" fillId="6" borderId="7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10" fontId="18" fillId="7" borderId="4" xfId="0" applyNumberFormat="1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vertical="center" wrapText="1"/>
    </xf>
    <xf numFmtId="0" fontId="19" fillId="7" borderId="8" xfId="0" applyFont="1" applyFill="1" applyBorder="1" applyAlignment="1">
      <alignment vertical="center" wrapText="1"/>
    </xf>
    <xf numFmtId="0" fontId="19" fillId="7" borderId="7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10" fontId="16" fillId="8" borderId="9" xfId="0" applyNumberFormat="1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vertical="center" wrapText="1"/>
    </xf>
    <xf numFmtId="0" fontId="16" fillId="8" borderId="7" xfId="0" applyFont="1" applyFill="1" applyBorder="1" applyAlignment="1">
      <alignment vertical="center" wrapText="1"/>
    </xf>
    <xf numFmtId="0" fontId="16" fillId="9" borderId="10" xfId="0" applyFont="1" applyFill="1" applyBorder="1" applyAlignment="1">
      <alignment horizontal="center" vertical="center" wrapText="1"/>
    </xf>
    <xf numFmtId="10" fontId="16" fillId="9" borderId="9" xfId="0" applyNumberFormat="1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20" fillId="10" borderId="10" xfId="0" applyFont="1" applyFill="1" applyBorder="1" applyAlignment="1">
      <alignment horizontal="center" vertical="center" wrapText="1"/>
    </xf>
    <xf numFmtId="10" fontId="16" fillId="10" borderId="9" xfId="0" applyNumberFormat="1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7" fillId="10" borderId="5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10" fontId="16" fillId="9" borderId="5" xfId="0" applyNumberFormat="1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vertical="center" wrapText="1"/>
    </xf>
    <xf numFmtId="0" fontId="16" fillId="9" borderId="8" xfId="0" applyFont="1" applyFill="1" applyBorder="1" applyAlignment="1">
      <alignment vertical="center" wrapText="1"/>
    </xf>
    <xf numFmtId="0" fontId="16" fillId="9" borderId="7" xfId="0" applyFont="1" applyFill="1" applyBorder="1" applyAlignment="1">
      <alignment vertical="center" wrapText="1"/>
    </xf>
    <xf numFmtId="0" fontId="16" fillId="11" borderId="10" xfId="0" applyFont="1" applyFill="1" applyBorder="1" applyAlignment="1">
      <alignment horizontal="center" vertical="center" wrapText="1"/>
    </xf>
    <xf numFmtId="3" fontId="16" fillId="11" borderId="9" xfId="0" applyNumberFormat="1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10" fontId="16" fillId="11" borderId="9" xfId="0" applyNumberFormat="1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10" fontId="16" fillId="12" borderId="5" xfId="0" applyNumberFormat="1" applyFont="1" applyFill="1" applyBorder="1" applyAlignment="1">
      <alignment horizontal="center" vertical="center" wrapText="1"/>
    </xf>
    <xf numFmtId="0" fontId="16" fillId="1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vertical="center" wrapText="1"/>
    </xf>
    <xf numFmtId="0" fontId="16" fillId="11" borderId="8" xfId="0" applyFont="1" applyFill="1" applyBorder="1" applyAlignment="1">
      <alignment vertical="center" wrapText="1"/>
    </xf>
    <xf numFmtId="0" fontId="16" fillId="11" borderId="7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horizontal="center" vertical="center" wrapText="1"/>
    </xf>
    <xf numFmtId="10" fontId="16" fillId="13" borderId="9" xfId="0" applyNumberFormat="1" applyFont="1" applyFill="1" applyBorder="1" applyAlignment="1">
      <alignment horizontal="center" vertical="center" wrapText="1"/>
    </xf>
    <xf numFmtId="0" fontId="16" fillId="13" borderId="9" xfId="0" applyFont="1" applyFill="1" applyBorder="1" applyAlignment="1">
      <alignment horizontal="center" vertical="center" wrapText="1"/>
    </xf>
    <xf numFmtId="0" fontId="16" fillId="13" borderId="9" xfId="0" applyFont="1" applyFill="1" applyBorder="1" applyAlignment="1">
      <alignment horizontal="center" vertical="center"/>
    </xf>
    <xf numFmtId="0" fontId="17" fillId="13" borderId="9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9" fontId="19" fillId="14" borderId="4" xfId="0" applyNumberFormat="1" applyFont="1" applyFill="1" applyBorder="1" applyAlignment="1">
      <alignment horizontal="center" vertical="center" wrapText="1"/>
    </xf>
    <xf numFmtId="0" fontId="16" fillId="13" borderId="6" xfId="0" applyFont="1" applyFill="1" applyBorder="1" applyAlignment="1">
      <alignment vertical="center" wrapText="1"/>
    </xf>
    <xf numFmtId="0" fontId="16" fillId="13" borderId="8" xfId="0" applyFont="1" applyFill="1" applyBorder="1" applyAlignment="1">
      <alignment vertical="center" wrapText="1"/>
    </xf>
    <xf numFmtId="0" fontId="16" fillId="13" borderId="7" xfId="0" applyFont="1" applyFill="1" applyBorder="1" applyAlignment="1">
      <alignment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40"/>
  <sheetViews>
    <sheetView tabSelected="1" topLeftCell="A19" zoomScaleNormal="100" zoomScalePageLayoutView="60" workbookViewId="0">
      <selection activeCell="D23" sqref="D23"/>
    </sheetView>
  </sheetViews>
  <sheetFormatPr baseColWidth="10" defaultColWidth="9.140625" defaultRowHeight="15"/>
  <cols>
    <col min="1" max="1025" width="10.7109375" style="1"/>
  </cols>
  <sheetData>
    <row r="1" spans="1:26" ht="47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</row>
    <row r="2" spans="1:26" ht="51">
      <c r="A2" s="7" t="s">
        <v>26</v>
      </c>
      <c r="B2" s="8" t="s">
        <v>33</v>
      </c>
      <c r="C2" s="8">
        <v>21847.3</v>
      </c>
      <c r="D2" s="8">
        <v>19965.7</v>
      </c>
      <c r="E2" s="8">
        <v>21057.3</v>
      </c>
      <c r="F2" s="8">
        <v>18792</v>
      </c>
      <c r="G2" s="8">
        <v>21883.8</v>
      </c>
      <c r="H2" s="8">
        <v>19308.5</v>
      </c>
      <c r="I2" s="8">
        <v>21323.5</v>
      </c>
      <c r="J2" s="8">
        <v>21323.5</v>
      </c>
      <c r="K2" s="8">
        <v>20054</v>
      </c>
      <c r="L2" s="8">
        <v>21407.4</v>
      </c>
      <c r="M2" s="8">
        <v>21908</v>
      </c>
      <c r="N2" s="8"/>
      <c r="O2" s="8">
        <v>3</v>
      </c>
      <c r="P2" s="8">
        <v>9</v>
      </c>
      <c r="Q2" s="9"/>
      <c r="R2" s="8">
        <v>0</v>
      </c>
      <c r="S2" s="10">
        <v>1</v>
      </c>
      <c r="T2" s="11" t="s">
        <v>27</v>
      </c>
      <c r="U2" s="11" t="s">
        <v>28</v>
      </c>
      <c r="V2" s="12">
        <f>AVERAGE(C2:M2)</f>
        <v>20806.454545454544</v>
      </c>
      <c r="W2" s="13">
        <f>MEDIAN(C2:M2)</f>
        <v>21323.5</v>
      </c>
      <c r="X2" s="13">
        <f>MAX(C2:M2)</f>
        <v>21908</v>
      </c>
      <c r="Y2" s="13">
        <f>MIN(C2:M2)</f>
        <v>18792</v>
      </c>
      <c r="Z2" s="1" t="s">
        <v>29</v>
      </c>
    </row>
    <row r="3" spans="1:26" ht="76.5">
      <c r="A3" s="7" t="s">
        <v>30</v>
      </c>
      <c r="B3" s="14" t="s">
        <v>33</v>
      </c>
      <c r="C3" s="14">
        <v>10.7</v>
      </c>
      <c r="D3" s="14" t="s">
        <v>33</v>
      </c>
      <c r="E3" s="14">
        <v>11.1</v>
      </c>
      <c r="F3" s="14">
        <v>11.8</v>
      </c>
      <c r="G3" s="14">
        <v>10.5</v>
      </c>
      <c r="H3" s="14">
        <v>11.1</v>
      </c>
      <c r="I3" s="14">
        <v>11.1</v>
      </c>
      <c r="J3" s="14">
        <v>13.5</v>
      </c>
      <c r="K3" s="14">
        <v>9.8000000000000007</v>
      </c>
      <c r="L3" s="14" t="s">
        <v>33</v>
      </c>
      <c r="M3" s="14">
        <v>10.4</v>
      </c>
      <c r="N3" s="14"/>
      <c r="O3" s="8">
        <v>4</v>
      </c>
      <c r="P3" s="14"/>
      <c r="Q3" s="15">
        <v>0</v>
      </c>
      <c r="R3" s="16">
        <v>0</v>
      </c>
      <c r="S3" s="16">
        <v>0</v>
      </c>
      <c r="T3" s="11" t="s">
        <v>27</v>
      </c>
      <c r="U3" s="17" t="s">
        <v>31</v>
      </c>
      <c r="V3" s="18">
        <f>AVERAGE(C3,E3,F3,G3,H3,I3,J3,K3,M3)</f>
        <v>11.111111111111111</v>
      </c>
      <c r="W3" s="18">
        <f>MEDIAN(M3,E3:K3,C3)</f>
        <v>11.1</v>
      </c>
      <c r="X3" s="18">
        <f>MAX(M3,E3:K3,C3)</f>
        <v>13.5</v>
      </c>
      <c r="Y3" s="18">
        <f>MIN(C3,M3,E3:K3)</f>
        <v>9.8000000000000007</v>
      </c>
      <c r="Z3" s="1" t="s">
        <v>29</v>
      </c>
    </row>
    <row r="4" spans="1:26" ht="178.5">
      <c r="A4" s="7" t="s">
        <v>32</v>
      </c>
      <c r="B4" s="14" t="s">
        <v>33</v>
      </c>
      <c r="C4" s="14">
        <v>14</v>
      </c>
      <c r="D4" s="14" t="s">
        <v>33</v>
      </c>
      <c r="E4" s="14">
        <v>18.5</v>
      </c>
      <c r="F4" s="14">
        <v>16.5</v>
      </c>
      <c r="G4" s="14">
        <v>14</v>
      </c>
      <c r="H4" s="14">
        <v>17.5</v>
      </c>
      <c r="I4" s="14">
        <v>17</v>
      </c>
      <c r="J4" s="14">
        <v>25.5</v>
      </c>
      <c r="K4" s="14">
        <v>15.5</v>
      </c>
      <c r="L4" s="14">
        <v>13</v>
      </c>
      <c r="M4" s="14">
        <v>13</v>
      </c>
      <c r="N4" s="14"/>
      <c r="O4" s="8">
        <v>3</v>
      </c>
      <c r="P4" s="14"/>
      <c r="Q4" s="15">
        <v>0</v>
      </c>
      <c r="R4" s="16">
        <v>0</v>
      </c>
      <c r="S4" s="16">
        <v>0</v>
      </c>
      <c r="T4" s="11" t="s">
        <v>27</v>
      </c>
      <c r="U4" s="17" t="s">
        <v>34</v>
      </c>
      <c r="V4" s="18">
        <f>AVERAGE(C4,E4,F4,G4,H4,I4,J4,K4,L4,L4:M4)</f>
        <v>16.136363636363637</v>
      </c>
      <c r="W4" s="18">
        <f>MEDIAN(C4,E4:M4)</f>
        <v>16</v>
      </c>
      <c r="X4" s="18">
        <f>MAX(E4:M4,C4)</f>
        <v>25.5</v>
      </c>
      <c r="Y4" s="18">
        <f>MIN(C4,E4:M4)</f>
        <v>13</v>
      </c>
      <c r="Z4" s="1" t="s">
        <v>29</v>
      </c>
    </row>
    <row r="5" spans="1:26" ht="38.25">
      <c r="A5" s="7" t="s">
        <v>35</v>
      </c>
      <c r="B5" s="8" t="s">
        <v>33</v>
      </c>
      <c r="C5" s="14">
        <v>3.3</v>
      </c>
      <c r="D5" s="14">
        <v>2.9</v>
      </c>
      <c r="E5" s="14">
        <v>3.9</v>
      </c>
      <c r="F5" s="14">
        <v>4.0999999999999996</v>
      </c>
      <c r="G5" s="14">
        <v>3.9</v>
      </c>
      <c r="H5" s="14">
        <v>3.7</v>
      </c>
      <c r="I5" s="14">
        <v>3.6</v>
      </c>
      <c r="J5" s="14">
        <v>3.9</v>
      </c>
      <c r="K5" s="14">
        <v>4.0999999999999996</v>
      </c>
      <c r="L5" s="14">
        <v>3.5</v>
      </c>
      <c r="M5" s="14">
        <v>3.5</v>
      </c>
      <c r="N5" s="8"/>
      <c r="O5" s="8">
        <v>2</v>
      </c>
      <c r="P5" s="8">
        <v>1</v>
      </c>
      <c r="Q5" s="19"/>
      <c r="R5" s="20">
        <v>0</v>
      </c>
      <c r="S5" s="16">
        <v>0</v>
      </c>
      <c r="T5" s="11" t="s">
        <v>27</v>
      </c>
      <c r="U5" s="11" t="s">
        <v>28</v>
      </c>
      <c r="V5" s="21">
        <f>AVERAGE(C5:M5)</f>
        <v>3.6727272727272724</v>
      </c>
      <c r="W5" s="18">
        <f>MEDIAN(C5:M5)</f>
        <v>3.7</v>
      </c>
      <c r="X5" s="18">
        <f>MAX(C5:M5)</f>
        <v>4.0999999999999996</v>
      </c>
      <c r="Y5" s="18">
        <f>MIN(C5:M5)</f>
        <v>2.9</v>
      </c>
      <c r="Z5" s="1" t="s">
        <v>29</v>
      </c>
    </row>
    <row r="6" spans="1:26" ht="76.5">
      <c r="A6" s="7" t="s">
        <v>36</v>
      </c>
      <c r="B6" s="22">
        <v>0.16648652067175301</v>
      </c>
      <c r="C6" s="23">
        <v>0.163519745087334</v>
      </c>
      <c r="D6" s="23">
        <v>0.18174433594094899</v>
      </c>
      <c r="E6" s="23">
        <v>0.20036991368680601</v>
      </c>
      <c r="F6" s="23">
        <v>0.15868044695147601</v>
      </c>
      <c r="G6" s="23">
        <v>0.13015147231525401</v>
      </c>
      <c r="H6" s="23">
        <v>0.23008911136528701</v>
      </c>
      <c r="I6" s="23">
        <v>0.173989785495404</v>
      </c>
      <c r="J6" s="23">
        <v>9.6417619799852097E-2</v>
      </c>
      <c r="K6" s="23">
        <v>0.19654257751760701</v>
      </c>
      <c r="L6" s="23">
        <v>0.15918329457288599</v>
      </c>
      <c r="M6" s="23">
        <v>0.17095295203407301</v>
      </c>
      <c r="N6" s="8">
        <v>6</v>
      </c>
      <c r="O6" s="8">
        <v>7</v>
      </c>
      <c r="P6" s="8">
        <v>4</v>
      </c>
      <c r="Q6" s="24"/>
      <c r="R6" s="16"/>
      <c r="S6" s="16"/>
      <c r="T6" s="11" t="s">
        <v>27</v>
      </c>
      <c r="U6" s="11" t="s">
        <v>37</v>
      </c>
      <c r="V6" s="25">
        <f>AVERAGE(B6:M6)</f>
        <v>0.1690106479532234</v>
      </c>
      <c r="W6" s="25">
        <f>MEDIAN(B6:M6)</f>
        <v>0.16871973635291301</v>
      </c>
      <c r="X6" s="25">
        <f>MAX(B6:M6)</f>
        <v>0.23008911136528701</v>
      </c>
      <c r="Y6" s="25">
        <f>MIN(B6:M6)</f>
        <v>9.6417619799852097E-2</v>
      </c>
      <c r="Z6" s="1" t="s">
        <v>38</v>
      </c>
    </row>
    <row r="7" spans="1:26" ht="63.75">
      <c r="A7" s="7" t="s">
        <v>39</v>
      </c>
      <c r="B7" s="26" t="s">
        <v>33</v>
      </c>
      <c r="C7" s="8">
        <v>22852</v>
      </c>
      <c r="D7" s="26" t="s">
        <v>33</v>
      </c>
      <c r="E7" s="8">
        <v>43530</v>
      </c>
      <c r="F7" s="8">
        <v>44823</v>
      </c>
      <c r="G7" s="8">
        <v>30191</v>
      </c>
      <c r="H7" s="8">
        <v>54181</v>
      </c>
      <c r="I7" s="8">
        <v>32572</v>
      </c>
      <c r="J7" s="8">
        <v>17260</v>
      </c>
      <c r="K7" s="26" t="s">
        <v>33</v>
      </c>
      <c r="L7" s="26" t="s">
        <v>33</v>
      </c>
      <c r="M7" s="8">
        <v>21611</v>
      </c>
      <c r="N7" s="14"/>
      <c r="O7" s="8">
        <v>6</v>
      </c>
      <c r="P7" s="14"/>
      <c r="Q7" s="24"/>
      <c r="R7" s="16"/>
      <c r="S7" s="16"/>
      <c r="T7" s="11" t="s">
        <v>40</v>
      </c>
      <c r="U7" s="11" t="s">
        <v>41</v>
      </c>
      <c r="V7" s="13">
        <f>AVERAGE(C7,E7:J7,M7)</f>
        <v>33377.5</v>
      </c>
      <c r="W7" s="13">
        <f>MEDIAN(M7,E7:J7,C7)</f>
        <v>31381.5</v>
      </c>
      <c r="X7" s="13">
        <f>MAX(M7,E7:J7,C7)</f>
        <v>54181</v>
      </c>
      <c r="Y7" s="13">
        <f>MIN(E7:J7,C7,M7)</f>
        <v>17260</v>
      </c>
      <c r="Z7" s="1" t="s">
        <v>29</v>
      </c>
    </row>
    <row r="8" spans="1:26" ht="63.75">
      <c r="A8" s="7" t="s">
        <v>42</v>
      </c>
      <c r="B8" s="8">
        <v>5657</v>
      </c>
      <c r="C8" s="8">
        <v>5033</v>
      </c>
      <c r="D8" s="8">
        <v>624</v>
      </c>
      <c r="E8" s="8">
        <v>11834</v>
      </c>
      <c r="F8" s="8">
        <v>16000</v>
      </c>
      <c r="G8" s="8">
        <v>8493</v>
      </c>
      <c r="H8" s="8">
        <v>7381</v>
      </c>
      <c r="I8" s="8">
        <v>6863</v>
      </c>
      <c r="J8" s="8">
        <v>4407</v>
      </c>
      <c r="K8" s="8">
        <v>5494</v>
      </c>
      <c r="L8" s="8">
        <v>3917</v>
      </c>
      <c r="M8" s="8">
        <v>2934</v>
      </c>
      <c r="N8" s="8">
        <v>6</v>
      </c>
      <c r="O8" s="8">
        <v>7</v>
      </c>
      <c r="P8" s="8">
        <v>11</v>
      </c>
      <c r="Q8" s="10">
        <v>1</v>
      </c>
      <c r="R8" s="8">
        <v>0</v>
      </c>
      <c r="S8" s="8">
        <v>0</v>
      </c>
      <c r="T8" s="11" t="s">
        <v>27</v>
      </c>
      <c r="U8" s="11" t="s">
        <v>43</v>
      </c>
      <c r="V8" s="12">
        <f>AVERAGE(B8:M8)</f>
        <v>6553.083333333333</v>
      </c>
      <c r="W8" s="13">
        <f>MEDIAN(B8:M8)</f>
        <v>5575.5</v>
      </c>
      <c r="X8" s="13">
        <f>MAX(B8:M8)</f>
        <v>16000</v>
      </c>
      <c r="Y8" s="13">
        <f>MIN(B8:M8)</f>
        <v>624</v>
      </c>
      <c r="Z8" s="1" t="s">
        <v>29</v>
      </c>
    </row>
    <row r="9" spans="1:26" ht="63.75">
      <c r="A9" s="7" t="s">
        <v>44</v>
      </c>
      <c r="B9" s="14">
        <v>76.301077009191999</v>
      </c>
      <c r="C9" s="14">
        <v>81.277049286221796</v>
      </c>
      <c r="D9" s="14">
        <v>51.078459460565597</v>
      </c>
      <c r="E9" s="14">
        <v>87.369580561043506</v>
      </c>
      <c r="F9" s="14">
        <v>94.287864385764607</v>
      </c>
      <c r="G9" s="14">
        <v>113.70710880296301</v>
      </c>
      <c r="H9" s="14">
        <v>68.637032752539398</v>
      </c>
      <c r="I9" s="14">
        <v>90.191909143117698</v>
      </c>
      <c r="J9" s="14">
        <v>84.209118355180195</v>
      </c>
      <c r="K9" s="14">
        <v>113.5</v>
      </c>
      <c r="L9" s="14">
        <v>88.205225208184103</v>
      </c>
      <c r="M9" s="14">
        <v>67.7778162791504</v>
      </c>
      <c r="N9" s="8">
        <v>8</v>
      </c>
      <c r="O9" s="8">
        <v>8</v>
      </c>
      <c r="P9" s="8">
        <v>11</v>
      </c>
      <c r="Q9" s="8">
        <v>0</v>
      </c>
      <c r="R9" s="10">
        <v>-1</v>
      </c>
      <c r="S9" s="8">
        <v>0</v>
      </c>
      <c r="T9" s="11" t="s">
        <v>27</v>
      </c>
      <c r="U9" s="11" t="s">
        <v>43</v>
      </c>
      <c r="V9" s="27">
        <f>AVERAGE(B9:M9)</f>
        <v>84.711853436993522</v>
      </c>
      <c r="W9" s="27">
        <f>MEDIAN(B9:M9)</f>
        <v>85.789349458111843</v>
      </c>
      <c r="X9" s="27">
        <f>MAX(B9:M9)</f>
        <v>113.70710880296301</v>
      </c>
      <c r="Y9" s="27">
        <f>MIN(B9:M9)</f>
        <v>51.078459460565597</v>
      </c>
      <c r="Z9" s="1" t="s">
        <v>29</v>
      </c>
    </row>
    <row r="10" spans="1:26" ht="89.25">
      <c r="A10" s="7" t="s">
        <v>45</v>
      </c>
      <c r="B10" s="23">
        <v>0.2208</v>
      </c>
      <c r="C10" s="23">
        <v>0.222457272436727</v>
      </c>
      <c r="D10" s="23">
        <v>0.21521669103253499</v>
      </c>
      <c r="E10" s="23">
        <v>0.20523780044680101</v>
      </c>
      <c r="F10" s="23">
        <v>0.232138221831097</v>
      </c>
      <c r="G10" s="23">
        <v>0.24796057439706101</v>
      </c>
      <c r="H10" s="23">
        <v>0.21521669103253499</v>
      </c>
      <c r="I10" s="23">
        <v>0.22805933250927099</v>
      </c>
      <c r="J10" s="23">
        <v>0.20341890910214999</v>
      </c>
      <c r="K10" s="23">
        <v>0.21655294638901201</v>
      </c>
      <c r="L10" s="23">
        <v>0.24452999175079501</v>
      </c>
      <c r="M10" s="23">
        <v>0.232138221831097</v>
      </c>
      <c r="N10" s="8">
        <v>6</v>
      </c>
      <c r="O10" s="8">
        <v>6</v>
      </c>
      <c r="P10" s="8">
        <v>8</v>
      </c>
      <c r="Q10" s="8">
        <v>0</v>
      </c>
      <c r="R10" s="8">
        <v>0</v>
      </c>
      <c r="S10" s="10">
        <v>1</v>
      </c>
      <c r="T10" s="11" t="s">
        <v>46</v>
      </c>
      <c r="U10" s="11" t="s">
        <v>47</v>
      </c>
      <c r="V10" s="28">
        <f>AVERAGE(B10:M10)</f>
        <v>0.22364388772992341</v>
      </c>
      <c r="W10" s="28">
        <f>MEDIAN(B10:M10)</f>
        <v>0.22162863621836348</v>
      </c>
      <c r="X10" s="28">
        <f>MAX(B10:M10)</f>
        <v>0.24796057439706101</v>
      </c>
      <c r="Y10" s="28">
        <f>MIN(B10:M10)</f>
        <v>0.20341890910214999</v>
      </c>
      <c r="Z10" s="1" t="s">
        <v>38</v>
      </c>
    </row>
    <row r="11" spans="1:26" ht="127.5">
      <c r="A11" s="29" t="s">
        <v>48</v>
      </c>
      <c r="B11" s="30">
        <v>7.2316859781244899E-2</v>
      </c>
      <c r="C11" s="30">
        <v>7.5816904872813201E-2</v>
      </c>
      <c r="D11" s="30">
        <v>5.7934028946177198E-2</v>
      </c>
      <c r="E11" s="30">
        <v>7.1917858152166197E-2</v>
      </c>
      <c r="F11" s="30">
        <v>4.8912556596498999E-2</v>
      </c>
      <c r="G11" s="30">
        <v>6.6062273240292194E-2</v>
      </c>
      <c r="H11" s="30">
        <v>6.6751753248615306E-2</v>
      </c>
      <c r="I11" s="30">
        <v>7.9366524608897496E-2</v>
      </c>
      <c r="J11" s="30">
        <v>5.2285257029312603E-2</v>
      </c>
      <c r="K11" s="30">
        <v>6.6424693096245796E-2</v>
      </c>
      <c r="L11" s="30">
        <v>5.96213198187883E-2</v>
      </c>
      <c r="M11" s="30">
        <v>6.6357955686772399E-2</v>
      </c>
      <c r="N11" s="8">
        <v>2</v>
      </c>
      <c r="O11" s="31">
        <v>2</v>
      </c>
      <c r="P11" s="31">
        <v>9</v>
      </c>
      <c r="Q11" s="24"/>
      <c r="R11" s="16"/>
      <c r="S11" s="16"/>
      <c r="T11" s="11" t="s">
        <v>46</v>
      </c>
      <c r="U11" s="11" t="s">
        <v>47</v>
      </c>
      <c r="V11" s="32">
        <f>AVERAGE(B11:M11)</f>
        <v>6.5313998756485372E-2</v>
      </c>
      <c r="W11" s="32">
        <f>MEDIAN(B11:M11)</f>
        <v>6.6391324391509104E-2</v>
      </c>
      <c r="X11" s="32">
        <f>MAX(B11:M11)</f>
        <v>7.9366524608897496E-2</v>
      </c>
      <c r="Y11" s="32">
        <f>MIN(B11:M11)</f>
        <v>4.8912556596498999E-2</v>
      </c>
      <c r="Z11" s="1" t="s">
        <v>38</v>
      </c>
    </row>
    <row r="12" spans="1:26" ht="114.75">
      <c r="A12" s="7" t="s">
        <v>49</v>
      </c>
      <c r="B12" s="8">
        <v>397</v>
      </c>
      <c r="C12" s="8" t="s">
        <v>33</v>
      </c>
      <c r="D12" s="8" t="s">
        <v>33</v>
      </c>
      <c r="E12" s="8">
        <v>256</v>
      </c>
      <c r="F12" s="8">
        <v>215</v>
      </c>
      <c r="G12" s="8">
        <v>289</v>
      </c>
      <c r="H12" s="8">
        <v>351</v>
      </c>
      <c r="I12" s="8">
        <v>275</v>
      </c>
      <c r="J12" s="8">
        <v>219</v>
      </c>
      <c r="K12" s="8">
        <v>443</v>
      </c>
      <c r="L12" s="8">
        <v>301</v>
      </c>
      <c r="M12" s="8">
        <v>438</v>
      </c>
      <c r="N12" s="20">
        <v>3</v>
      </c>
      <c r="O12" s="16">
        <v>3</v>
      </c>
      <c r="P12" s="16">
        <v>3</v>
      </c>
      <c r="Q12" s="20">
        <v>0</v>
      </c>
      <c r="R12" s="16">
        <v>0</v>
      </c>
      <c r="S12" s="16">
        <v>0</v>
      </c>
      <c r="T12" s="11" t="s">
        <v>50</v>
      </c>
      <c r="U12" s="17" t="s">
        <v>51</v>
      </c>
      <c r="V12" s="33">
        <f>AVERAGE(E12:M12,B12)</f>
        <v>318.39999999999998</v>
      </c>
      <c r="W12" s="33">
        <f>MEDIAN(E12:M12,B12)</f>
        <v>295</v>
      </c>
      <c r="X12" s="33">
        <f>MAX(E12:M12,B12)</f>
        <v>443</v>
      </c>
      <c r="Y12" s="33">
        <f>MIN(E12:M12,B12)</f>
        <v>215</v>
      </c>
      <c r="Z12" s="1" t="s">
        <v>29</v>
      </c>
    </row>
    <row r="13" spans="1:26" ht="76.5">
      <c r="A13" s="34" t="s">
        <v>52</v>
      </c>
      <c r="B13" s="9">
        <v>4231</v>
      </c>
      <c r="C13" s="9">
        <v>4185</v>
      </c>
      <c r="D13" s="9">
        <v>846</v>
      </c>
      <c r="E13" s="9">
        <v>6624</v>
      </c>
      <c r="F13" s="9">
        <v>7605</v>
      </c>
      <c r="G13" s="9">
        <v>6080</v>
      </c>
      <c r="H13" s="9">
        <v>11066</v>
      </c>
      <c r="I13" s="9">
        <v>6365</v>
      </c>
      <c r="J13" s="9">
        <v>3193</v>
      </c>
      <c r="K13" s="9" t="s">
        <v>33</v>
      </c>
      <c r="L13" s="9" t="s">
        <v>33</v>
      </c>
      <c r="M13" s="9">
        <v>4406</v>
      </c>
      <c r="N13" s="9">
        <v>7</v>
      </c>
      <c r="O13" s="9">
        <v>7</v>
      </c>
      <c r="P13" s="9">
        <v>9</v>
      </c>
      <c r="Q13" s="9"/>
      <c r="R13" s="9"/>
      <c r="S13" s="9"/>
      <c r="T13" s="35" t="s">
        <v>40</v>
      </c>
      <c r="U13" s="35" t="s">
        <v>41</v>
      </c>
      <c r="V13" s="33">
        <f>AVERAGE(B13:J13,M13)</f>
        <v>5460.1</v>
      </c>
      <c r="W13" s="33">
        <f>MEDIAN(M13,B13:J13)</f>
        <v>5243</v>
      </c>
      <c r="X13" s="33">
        <f>MAX(M13,B13:J13)</f>
        <v>11066</v>
      </c>
      <c r="Y13" s="33">
        <f>MIN(M13,B13:J13)</f>
        <v>846</v>
      </c>
      <c r="Z13" s="1" t="s">
        <v>29</v>
      </c>
    </row>
    <row r="14" spans="1:26" ht="89.25">
      <c r="A14" s="7" t="s">
        <v>53</v>
      </c>
      <c r="B14" s="36" t="s">
        <v>33</v>
      </c>
      <c r="C14" s="36">
        <v>0.80874316899999998</v>
      </c>
      <c r="D14" s="36">
        <f>302/366</f>
        <v>0.82513661202185795</v>
      </c>
      <c r="E14" s="36">
        <f>246/366</f>
        <v>0.67213114754098358</v>
      </c>
      <c r="F14" s="36" t="s">
        <v>33</v>
      </c>
      <c r="G14" s="36">
        <v>0.78</v>
      </c>
      <c r="H14" s="36">
        <v>0.74</v>
      </c>
      <c r="I14" s="36">
        <v>0.76</v>
      </c>
      <c r="J14" s="36">
        <v>0.54</v>
      </c>
      <c r="K14" s="36">
        <f>259/366</f>
        <v>0.70765027322404372</v>
      </c>
      <c r="L14" s="36">
        <f>232/366</f>
        <v>0.63387978142076506</v>
      </c>
      <c r="M14" s="36">
        <v>0.75</v>
      </c>
      <c r="N14" s="8"/>
      <c r="O14" s="8">
        <v>2</v>
      </c>
      <c r="P14" s="8">
        <v>1</v>
      </c>
      <c r="Q14" s="9"/>
      <c r="R14" s="8">
        <v>0</v>
      </c>
      <c r="S14" s="10">
        <v>1</v>
      </c>
      <c r="T14" s="11" t="s">
        <v>27</v>
      </c>
      <c r="U14" s="11" t="s">
        <v>54</v>
      </c>
      <c r="V14" s="37">
        <f>AVERAGE(C14:E14,G14:M14)</f>
        <v>0.72175409832076498</v>
      </c>
      <c r="W14" s="37">
        <f>MEDIAN(G14:M14,C14:E14)</f>
        <v>0.745</v>
      </c>
      <c r="X14" s="37">
        <f>MAX(G14:M14,C14:E14)</f>
        <v>0.82513661202185795</v>
      </c>
      <c r="Y14" s="37">
        <f>MIN(G14:M14,C14:E14)</f>
        <v>0.54</v>
      </c>
      <c r="Z14" s="1" t="s">
        <v>38</v>
      </c>
    </row>
    <row r="15" spans="1:26" ht="76.5">
      <c r="A15" s="34" t="s">
        <v>55</v>
      </c>
      <c r="B15" s="9" t="s">
        <v>33</v>
      </c>
      <c r="C15" s="9" t="s">
        <v>56</v>
      </c>
      <c r="D15" s="9" t="s">
        <v>33</v>
      </c>
      <c r="E15" s="19" t="s">
        <v>57</v>
      </c>
      <c r="F15" s="19" t="s">
        <v>33</v>
      </c>
      <c r="G15" s="19" t="s">
        <v>58</v>
      </c>
      <c r="H15" s="19" t="s">
        <v>59</v>
      </c>
      <c r="I15" s="19" t="s">
        <v>60</v>
      </c>
      <c r="J15" s="19" t="s">
        <v>61</v>
      </c>
      <c r="K15" s="19" t="s">
        <v>62</v>
      </c>
      <c r="L15" s="19" t="s">
        <v>63</v>
      </c>
      <c r="M15" s="19" t="s">
        <v>64</v>
      </c>
      <c r="N15" s="9"/>
      <c r="O15" s="9">
        <v>6</v>
      </c>
      <c r="P15" s="9"/>
      <c r="Q15" s="9"/>
      <c r="R15" s="9"/>
      <c r="S15" s="9"/>
      <c r="T15" s="35" t="s">
        <v>27</v>
      </c>
      <c r="U15" s="35" t="s">
        <v>34</v>
      </c>
      <c r="V15" s="32">
        <f>0.359</f>
        <v>0.35899999999999999</v>
      </c>
      <c r="W15" s="32">
        <v>0.35599999999999998</v>
      </c>
      <c r="X15" s="32" t="str">
        <f>H15</f>
        <v>47.2%</v>
      </c>
      <c r="Y15" s="32" t="str">
        <f>G15</f>
        <v>27.6%</v>
      </c>
      <c r="Z15" s="1" t="s">
        <v>38</v>
      </c>
    </row>
    <row r="16" spans="1:26" ht="38.25">
      <c r="A16" s="7" t="s">
        <v>65</v>
      </c>
      <c r="B16" s="38">
        <f>C16+D16</f>
        <v>3694.0600000000004</v>
      </c>
      <c r="C16" s="38">
        <v>2823.28</v>
      </c>
      <c r="D16" s="38">
        <v>870.78</v>
      </c>
      <c r="E16" s="8">
        <v>3340.4</v>
      </c>
      <c r="F16" s="8">
        <v>1075.414</v>
      </c>
      <c r="G16" s="8">
        <v>7105.1110000000099</v>
      </c>
      <c r="H16" s="8">
        <v>844.08600000000001</v>
      </c>
      <c r="I16" s="8">
        <v>6278.9280000000099</v>
      </c>
      <c r="J16" s="8">
        <v>1932.425</v>
      </c>
      <c r="K16" s="8">
        <v>1669.751</v>
      </c>
      <c r="L16" s="8">
        <v>1685.07</v>
      </c>
      <c r="M16" s="8">
        <v>3402.5839999999998</v>
      </c>
      <c r="N16" s="8">
        <v>3</v>
      </c>
      <c r="O16" s="8">
        <v>5</v>
      </c>
      <c r="P16" s="8">
        <v>10</v>
      </c>
      <c r="Q16" s="9"/>
      <c r="R16" s="9"/>
      <c r="S16" s="9"/>
      <c r="T16" s="35" t="s">
        <v>66</v>
      </c>
      <c r="U16" s="35" t="s">
        <v>67</v>
      </c>
      <c r="V16" s="33">
        <f>AVERAGE(B16:M16)</f>
        <v>2893.4907500000022</v>
      </c>
      <c r="W16" s="33">
        <f>MEDIAN(B16:P16)</f>
        <v>1685.07</v>
      </c>
      <c r="X16" s="33">
        <f>G16</f>
        <v>7105.1110000000099</v>
      </c>
      <c r="Y16" s="33">
        <f>H16</f>
        <v>844.08600000000001</v>
      </c>
      <c r="Z16" s="1" t="s">
        <v>29</v>
      </c>
    </row>
    <row r="17" spans="1:26" ht="140.25">
      <c r="A17" s="34" t="s">
        <v>68</v>
      </c>
      <c r="B17" s="9" t="s">
        <v>33</v>
      </c>
      <c r="C17" s="9">
        <v>43</v>
      </c>
      <c r="D17" s="9" t="s">
        <v>33</v>
      </c>
      <c r="E17" s="9">
        <v>42</v>
      </c>
      <c r="F17" s="9">
        <v>27</v>
      </c>
      <c r="G17" s="9">
        <v>39</v>
      </c>
      <c r="H17" s="9">
        <v>39</v>
      </c>
      <c r="I17" s="9">
        <v>44</v>
      </c>
      <c r="J17" s="9">
        <v>35</v>
      </c>
      <c r="K17" s="9">
        <v>37</v>
      </c>
      <c r="L17" s="9">
        <v>37</v>
      </c>
      <c r="M17" s="9">
        <v>52</v>
      </c>
      <c r="N17" s="9"/>
      <c r="O17" s="9">
        <v>3</v>
      </c>
      <c r="P17" s="9"/>
      <c r="Q17" s="9"/>
      <c r="R17" s="9"/>
      <c r="S17" s="9"/>
      <c r="T17" s="35" t="s">
        <v>27</v>
      </c>
      <c r="U17" s="35" t="s">
        <v>34</v>
      </c>
      <c r="V17" s="33">
        <f>AVERAGE(E17:M17,C17)</f>
        <v>39.5</v>
      </c>
      <c r="W17" s="33">
        <f>MEDIAN(E17:M17,C17)</f>
        <v>39</v>
      </c>
      <c r="X17" s="33">
        <f>M17</f>
        <v>52</v>
      </c>
      <c r="Y17" s="33">
        <f>F17</f>
        <v>27</v>
      </c>
      <c r="Z17" s="1" t="s">
        <v>29</v>
      </c>
    </row>
    <row r="18" spans="1:26" ht="63.75">
      <c r="A18" s="34" t="s">
        <v>69</v>
      </c>
      <c r="B18" s="9" t="s">
        <v>33</v>
      </c>
      <c r="C18" s="9" t="s">
        <v>70</v>
      </c>
      <c r="D18" s="9" t="s">
        <v>33</v>
      </c>
      <c r="E18" s="19" t="s">
        <v>56</v>
      </c>
      <c r="F18" s="19" t="s">
        <v>33</v>
      </c>
      <c r="G18" s="19" t="s">
        <v>71</v>
      </c>
      <c r="H18" s="19" t="s">
        <v>72</v>
      </c>
      <c r="I18" s="19" t="s">
        <v>73</v>
      </c>
      <c r="J18" s="19" t="s">
        <v>74</v>
      </c>
      <c r="K18" s="19" t="s">
        <v>71</v>
      </c>
      <c r="L18" s="19" t="s">
        <v>75</v>
      </c>
      <c r="M18" s="19" t="s">
        <v>76</v>
      </c>
      <c r="N18" s="9"/>
      <c r="O18" s="9">
        <v>1</v>
      </c>
      <c r="P18" s="9"/>
      <c r="Q18" s="9"/>
      <c r="R18" s="9"/>
      <c r="S18" s="9"/>
      <c r="T18" s="35" t="s">
        <v>27</v>
      </c>
      <c r="U18" s="35" t="s">
        <v>34</v>
      </c>
      <c r="V18" s="32">
        <f>(0.476+0.346+0.238+0.095+0.286+0.19+0.238+0.316+0.25)/9</f>
        <v>0.27055555555555555</v>
      </c>
      <c r="W18" s="32">
        <v>0.25</v>
      </c>
      <c r="X18" s="32" t="str">
        <f>C18</f>
        <v>47.6%</v>
      </c>
      <c r="Y18" s="32" t="str">
        <f>H18</f>
        <v>9.5%</v>
      </c>
      <c r="Z18" s="1" t="s">
        <v>38</v>
      </c>
    </row>
    <row r="19" spans="1:26" ht="37.5" customHeight="1" thickBot="1">
      <c r="A19" s="34" t="s">
        <v>77</v>
      </c>
      <c r="B19" s="9" t="s">
        <v>33</v>
      </c>
      <c r="C19" s="39" t="s">
        <v>78</v>
      </c>
      <c r="D19" s="39" t="s">
        <v>33</v>
      </c>
      <c r="E19" s="39" t="s">
        <v>79</v>
      </c>
      <c r="F19" s="39" t="s">
        <v>80</v>
      </c>
      <c r="G19" s="39" t="s">
        <v>81</v>
      </c>
      <c r="H19" s="39" t="s">
        <v>82</v>
      </c>
      <c r="I19" s="39" t="s">
        <v>83</v>
      </c>
      <c r="J19" s="39" t="s">
        <v>84</v>
      </c>
      <c r="K19" s="39" t="s">
        <v>85</v>
      </c>
      <c r="L19" s="39" t="s">
        <v>83</v>
      </c>
      <c r="M19" s="39" t="s">
        <v>86</v>
      </c>
      <c r="N19" s="9"/>
      <c r="O19" s="9">
        <v>1</v>
      </c>
      <c r="P19" s="9"/>
      <c r="Q19" s="9"/>
      <c r="R19" s="9"/>
      <c r="S19" s="9"/>
      <c r="T19" s="35" t="s">
        <v>27</v>
      </c>
      <c r="U19" s="35" t="s">
        <v>34</v>
      </c>
      <c r="V19" s="27">
        <f>(90.2+86.6+82.1+89.1+84.6+87.8+84.4+85.3+87.8+89.5)/10</f>
        <v>86.739999999999981</v>
      </c>
      <c r="W19" s="27">
        <f>(86.6+87.8)/2</f>
        <v>87.199999999999989</v>
      </c>
      <c r="X19" s="33" t="str">
        <f>C19</f>
        <v>90.2</v>
      </c>
      <c r="Y19" s="27" t="str">
        <f>F19</f>
        <v>82.1</v>
      </c>
      <c r="Z19" s="1" t="s">
        <v>38</v>
      </c>
    </row>
    <row r="20" spans="1:26" ht="39" thickBot="1">
      <c r="A20" s="40" t="s">
        <v>87</v>
      </c>
      <c r="B20" s="41">
        <v>8.5</v>
      </c>
      <c r="C20" s="41">
        <v>8</v>
      </c>
      <c r="D20" s="41">
        <v>8.9</v>
      </c>
      <c r="E20" s="41">
        <v>9</v>
      </c>
      <c r="F20" s="41">
        <v>12.3</v>
      </c>
      <c r="G20" s="41">
        <v>9.9</v>
      </c>
      <c r="H20" s="41">
        <v>10.6</v>
      </c>
      <c r="I20" s="41">
        <v>9.8000000000000007</v>
      </c>
      <c r="J20" s="41">
        <v>10.6</v>
      </c>
      <c r="K20" s="41">
        <v>10.1</v>
      </c>
      <c r="L20" s="41">
        <v>8.1</v>
      </c>
      <c r="M20" s="41">
        <v>7.8</v>
      </c>
      <c r="N20" s="42">
        <v>3</v>
      </c>
      <c r="O20" s="41">
        <v>2</v>
      </c>
      <c r="P20" s="41">
        <v>4</v>
      </c>
      <c r="Q20" s="41"/>
      <c r="R20" s="41">
        <v>1</v>
      </c>
      <c r="S20" s="41">
        <v>1</v>
      </c>
      <c r="T20" s="43" t="s">
        <v>88</v>
      </c>
      <c r="U20" s="43" t="s">
        <v>89</v>
      </c>
    </row>
    <row r="21" spans="1:26" ht="26.25" thickBot="1">
      <c r="A21" s="44" t="s">
        <v>90</v>
      </c>
      <c r="B21" s="45">
        <v>3.3700000000000001E-2</v>
      </c>
      <c r="C21" s="45">
        <v>3.4299999999999997E-2</v>
      </c>
      <c r="D21" s="45">
        <v>2.8899999999999999E-2</v>
      </c>
      <c r="E21" s="45">
        <v>2.7300000000000001E-2</v>
      </c>
      <c r="F21" s="45">
        <v>1.84E-2</v>
      </c>
      <c r="G21" s="45">
        <v>2.9100000000000001E-2</v>
      </c>
      <c r="H21" s="45">
        <v>2.5399999999999999E-2</v>
      </c>
      <c r="I21" s="45">
        <v>2.9700000000000001E-2</v>
      </c>
      <c r="J21" s="45">
        <v>1.1900000000000001E-2</v>
      </c>
      <c r="K21" s="45">
        <v>1.46E-2</v>
      </c>
      <c r="L21" s="45">
        <v>1.52E-2</v>
      </c>
      <c r="M21" s="45">
        <v>2.5999999999999999E-2</v>
      </c>
      <c r="N21" s="46">
        <v>1</v>
      </c>
      <c r="O21" s="46">
        <v>1</v>
      </c>
      <c r="P21" s="46">
        <v>4</v>
      </c>
      <c r="Q21" s="47"/>
      <c r="R21" s="47"/>
      <c r="S21" s="47"/>
      <c r="T21" s="46" t="s">
        <v>46</v>
      </c>
      <c r="U21" s="48" t="s">
        <v>91</v>
      </c>
    </row>
    <row r="22" spans="1:26" ht="102.75" thickBot="1">
      <c r="A22" s="40" t="s">
        <v>92</v>
      </c>
      <c r="B22" s="49">
        <v>5.0799999999999998E-2</v>
      </c>
      <c r="C22" s="49">
        <v>5.5100000000000003E-2</v>
      </c>
      <c r="D22" s="49">
        <v>3.4099999999999998E-2</v>
      </c>
      <c r="E22" s="49">
        <v>4.99E-2</v>
      </c>
      <c r="F22" s="49">
        <v>4.0899999999999999E-2</v>
      </c>
      <c r="G22" s="49">
        <v>4.5900000000000003E-2</v>
      </c>
      <c r="H22" s="49">
        <v>4.7199999999999999E-2</v>
      </c>
      <c r="I22" s="49">
        <v>5.9799999999999999E-2</v>
      </c>
      <c r="J22" s="49">
        <v>3.9E-2</v>
      </c>
      <c r="K22" s="49">
        <v>4.4200000000000003E-2</v>
      </c>
      <c r="L22" s="49">
        <v>4.1500000000000002E-2</v>
      </c>
      <c r="M22" s="49">
        <v>4.6699999999999998E-2</v>
      </c>
      <c r="N22" s="50">
        <v>2</v>
      </c>
      <c r="O22" s="50">
        <v>2</v>
      </c>
      <c r="P22" s="50">
        <v>11</v>
      </c>
      <c r="Q22" s="50">
        <v>1</v>
      </c>
      <c r="R22" s="52">
        <v>0</v>
      </c>
      <c r="S22" s="53">
        <v>0</v>
      </c>
      <c r="T22" s="43" t="s">
        <v>46</v>
      </c>
      <c r="U22" s="51" t="s">
        <v>47</v>
      </c>
    </row>
    <row r="23" spans="1:26" ht="115.5" thickBot="1">
      <c r="A23" s="54" t="s">
        <v>126</v>
      </c>
      <c r="B23" s="55">
        <v>8.6999999999999994E-2</v>
      </c>
      <c r="C23" s="56" t="s">
        <v>33</v>
      </c>
      <c r="D23" s="56" t="s">
        <v>33</v>
      </c>
      <c r="E23" s="55">
        <v>9.8000000000000004E-2</v>
      </c>
      <c r="F23" s="55">
        <v>2.5999999999999999E-2</v>
      </c>
      <c r="G23" s="55">
        <v>5.3999999999999999E-2</v>
      </c>
      <c r="H23" s="55">
        <v>0.152</v>
      </c>
      <c r="I23" s="55">
        <v>8.5999999999999993E-2</v>
      </c>
      <c r="J23" s="55">
        <v>3.4000000000000002E-2</v>
      </c>
      <c r="K23" s="55">
        <v>-0.1</v>
      </c>
      <c r="L23" s="55">
        <v>2.9000000000000001E-2</v>
      </c>
      <c r="M23" s="55">
        <v>0.188</v>
      </c>
      <c r="N23" s="62">
        <v>4</v>
      </c>
      <c r="O23" s="63"/>
      <c r="P23" s="64"/>
      <c r="Q23" s="118"/>
      <c r="R23" s="119"/>
      <c r="S23" s="120"/>
      <c r="T23" s="57" t="s">
        <v>93</v>
      </c>
      <c r="U23" s="57" t="s">
        <v>93</v>
      </c>
    </row>
    <row r="24" spans="1:26" ht="141" thickBot="1">
      <c r="A24" s="58" t="s">
        <v>68</v>
      </c>
      <c r="B24" s="59" t="s">
        <v>33</v>
      </c>
      <c r="C24" s="59">
        <v>43</v>
      </c>
      <c r="D24" s="59" t="s">
        <v>33</v>
      </c>
      <c r="E24" s="59">
        <v>42</v>
      </c>
      <c r="F24" s="59">
        <v>27</v>
      </c>
      <c r="G24" s="59">
        <v>39</v>
      </c>
      <c r="H24" s="59">
        <v>39</v>
      </c>
      <c r="I24" s="59">
        <v>44</v>
      </c>
      <c r="J24" s="59">
        <v>35</v>
      </c>
      <c r="K24" s="59">
        <v>37</v>
      </c>
      <c r="L24" s="59">
        <v>37</v>
      </c>
      <c r="M24" s="59">
        <v>52</v>
      </c>
      <c r="N24" s="59"/>
      <c r="O24" s="59">
        <v>3</v>
      </c>
      <c r="P24" s="59"/>
      <c r="Q24" s="60"/>
      <c r="R24" s="60"/>
      <c r="S24" s="60"/>
      <c r="T24" s="60"/>
      <c r="U24" s="60"/>
    </row>
    <row r="25" spans="1:26" ht="39" thickBot="1">
      <c r="A25" s="61" t="s">
        <v>94</v>
      </c>
      <c r="B25" s="61" t="s">
        <v>33</v>
      </c>
      <c r="C25" s="61" t="s">
        <v>95</v>
      </c>
      <c r="D25" s="61" t="s">
        <v>96</v>
      </c>
      <c r="E25" s="61" t="s">
        <v>97</v>
      </c>
      <c r="F25" s="61" t="s">
        <v>98</v>
      </c>
      <c r="G25" s="61" t="s">
        <v>99</v>
      </c>
      <c r="H25" s="61" t="s">
        <v>100</v>
      </c>
      <c r="I25" s="61" t="s">
        <v>101</v>
      </c>
      <c r="J25" s="61" t="s">
        <v>102</v>
      </c>
      <c r="K25" s="61" t="s">
        <v>103</v>
      </c>
      <c r="L25" s="61" t="s">
        <v>104</v>
      </c>
      <c r="M25" s="61" t="s">
        <v>105</v>
      </c>
      <c r="N25" s="61"/>
      <c r="O25" s="61">
        <v>4</v>
      </c>
      <c r="P25" s="61">
        <v>7</v>
      </c>
      <c r="Q25" s="61"/>
      <c r="R25" s="61">
        <v>1</v>
      </c>
      <c r="S25" s="61">
        <v>1</v>
      </c>
      <c r="T25" s="61" t="s">
        <v>106</v>
      </c>
      <c r="U25" s="61" t="s">
        <v>107</v>
      </c>
    </row>
    <row r="26" spans="1:26" ht="77.25" thickBot="1">
      <c r="A26" s="65" t="s">
        <v>108</v>
      </c>
      <c r="B26" s="66" t="s">
        <v>33</v>
      </c>
      <c r="C26" s="66">
        <v>24</v>
      </c>
      <c r="D26" s="66" t="s">
        <v>33</v>
      </c>
      <c r="E26" s="66">
        <v>38</v>
      </c>
      <c r="F26" s="66">
        <v>24</v>
      </c>
      <c r="G26" s="66">
        <v>27</v>
      </c>
      <c r="H26" s="66">
        <v>16</v>
      </c>
      <c r="I26" s="66">
        <v>21</v>
      </c>
      <c r="J26" s="66">
        <v>24</v>
      </c>
      <c r="K26" s="66">
        <v>18</v>
      </c>
      <c r="L26" s="66">
        <v>11</v>
      </c>
      <c r="M26" s="66">
        <v>7</v>
      </c>
      <c r="N26" s="67"/>
      <c r="O26" s="66">
        <v>3</v>
      </c>
      <c r="P26" s="66"/>
      <c r="Q26" s="66"/>
      <c r="R26" s="66">
        <v>1</v>
      </c>
      <c r="S26" s="66"/>
      <c r="T26" s="68" t="s">
        <v>27</v>
      </c>
      <c r="U26" s="68" t="s">
        <v>109</v>
      </c>
    </row>
    <row r="27" spans="1:26" ht="115.5" thickBot="1">
      <c r="A27" s="69" t="s">
        <v>110</v>
      </c>
      <c r="B27" s="70">
        <v>8.8999999999999996E-2</v>
      </c>
      <c r="C27" s="70">
        <v>0.1</v>
      </c>
      <c r="D27" s="70">
        <v>3.9E-2</v>
      </c>
      <c r="E27" s="70">
        <v>7.8E-2</v>
      </c>
      <c r="F27" s="70">
        <v>7.5999999999999998E-2</v>
      </c>
      <c r="G27" s="70">
        <v>8.6999999999999994E-2</v>
      </c>
      <c r="H27" s="70">
        <v>9.2999999999999999E-2</v>
      </c>
      <c r="I27" s="70">
        <v>7.9000000000000001E-2</v>
      </c>
      <c r="J27" s="70">
        <v>0.10100000000000001</v>
      </c>
      <c r="K27" s="70">
        <v>7.3999999999999996E-2</v>
      </c>
      <c r="L27" s="70">
        <v>8.5000000000000006E-2</v>
      </c>
      <c r="M27" s="70">
        <v>0.10100000000000001</v>
      </c>
      <c r="N27" s="71">
        <v>5</v>
      </c>
      <c r="O27" s="71">
        <v>3</v>
      </c>
      <c r="P27" s="71">
        <v>11</v>
      </c>
      <c r="Q27" s="71">
        <v>-1</v>
      </c>
      <c r="R27" s="73">
        <v>0</v>
      </c>
      <c r="S27" s="74"/>
      <c r="T27" s="71" t="s">
        <v>46</v>
      </c>
      <c r="U27" s="71" t="s">
        <v>111</v>
      </c>
    </row>
    <row r="28" spans="1:26" ht="90" thickBot="1">
      <c r="A28" s="69" t="s">
        <v>112</v>
      </c>
      <c r="B28" s="70">
        <v>2.5600000000000001E-2</v>
      </c>
      <c r="C28" s="70">
        <v>3.0800000000000001E-2</v>
      </c>
      <c r="D28" s="70">
        <v>-2.9399999999999999E-2</v>
      </c>
      <c r="E28" s="70">
        <v>1.2200000000000001E-2</v>
      </c>
      <c r="F28" s="70">
        <v>6.1000000000000004E-3</v>
      </c>
      <c r="G28" s="70">
        <v>1.7600000000000001E-2</v>
      </c>
      <c r="H28" s="70">
        <v>2.3999999999999998E-3</v>
      </c>
      <c r="I28" s="70">
        <v>1.21E-2</v>
      </c>
      <c r="J28" s="70">
        <v>1.5100000000000001E-2</v>
      </c>
      <c r="K28" s="70">
        <v>-7.0000000000000001E-3</v>
      </c>
      <c r="L28" s="70">
        <v>-5.9999999999999995E-4</v>
      </c>
      <c r="M28" s="70">
        <v>1.6199999999999999E-2</v>
      </c>
      <c r="N28" s="71">
        <v>1</v>
      </c>
      <c r="O28" s="71">
        <v>1</v>
      </c>
      <c r="P28" s="71">
        <v>11</v>
      </c>
      <c r="Q28" s="72"/>
      <c r="R28" s="72"/>
      <c r="S28" s="72"/>
      <c r="T28" s="71" t="s">
        <v>46</v>
      </c>
      <c r="U28" s="71" t="s">
        <v>111</v>
      </c>
    </row>
    <row r="29" spans="1:26" ht="51.75" thickBot="1">
      <c r="A29" s="75" t="s">
        <v>113</v>
      </c>
      <c r="B29" s="76">
        <v>0.23300000000000001</v>
      </c>
      <c r="C29" s="76">
        <v>0.224</v>
      </c>
      <c r="D29" s="76">
        <v>0.26700000000000002</v>
      </c>
      <c r="E29" s="76">
        <v>0.27900000000000003</v>
      </c>
      <c r="F29" s="76">
        <v>0.318</v>
      </c>
      <c r="G29" s="76">
        <v>0.22800000000000001</v>
      </c>
      <c r="H29" s="76">
        <v>0.312</v>
      </c>
      <c r="I29" s="76">
        <v>0.251</v>
      </c>
      <c r="J29" s="76">
        <v>0.314</v>
      </c>
      <c r="K29" s="76">
        <v>0.251</v>
      </c>
      <c r="L29" s="76">
        <v>0.26</v>
      </c>
      <c r="M29" s="76">
        <v>0.24299999999999999</v>
      </c>
      <c r="N29" s="77">
        <v>2</v>
      </c>
      <c r="O29" s="77">
        <v>1</v>
      </c>
      <c r="P29" s="77">
        <v>7</v>
      </c>
      <c r="Q29" s="90">
        <v>0</v>
      </c>
      <c r="R29" s="91">
        <v>0</v>
      </c>
      <c r="S29" s="92">
        <v>0</v>
      </c>
      <c r="T29" s="78" t="s">
        <v>46</v>
      </c>
      <c r="U29" s="78" t="s">
        <v>91</v>
      </c>
      <c r="V29" s="78"/>
      <c r="W29" s="78"/>
      <c r="X29" s="78"/>
      <c r="Y29" s="78"/>
    </row>
    <row r="30" spans="1:26" ht="51.75" thickBot="1">
      <c r="A30" s="79" t="s">
        <v>113</v>
      </c>
      <c r="B30" s="80">
        <v>-2.01E-2</v>
      </c>
      <c r="C30" s="80">
        <v>-1.9900000000000001E-2</v>
      </c>
      <c r="D30" s="80">
        <v>-2.06E-2</v>
      </c>
      <c r="E30" s="80">
        <v>-1.67E-2</v>
      </c>
      <c r="F30" s="80">
        <v>-1.9199999999999998E-2</v>
      </c>
      <c r="G30" s="80">
        <v>-1.7500000000000002E-2</v>
      </c>
      <c r="H30" s="80">
        <v>-2.3400000000000001E-2</v>
      </c>
      <c r="I30" s="80">
        <v>-1.6899999999999998E-2</v>
      </c>
      <c r="J30" s="80">
        <v>-2.1499999999999998E-2</v>
      </c>
      <c r="K30" s="80">
        <v>-1.6899999999999998E-2</v>
      </c>
      <c r="L30" s="80">
        <v>-2.23E-2</v>
      </c>
      <c r="M30" s="80">
        <v>-1.78E-2</v>
      </c>
      <c r="N30" s="81">
        <v>4</v>
      </c>
      <c r="O30" s="81">
        <v>5</v>
      </c>
      <c r="P30" s="82">
        <v>4</v>
      </c>
      <c r="Q30" s="83"/>
      <c r="R30" s="83"/>
      <c r="S30" s="83"/>
      <c r="T30" s="84" t="s">
        <v>46</v>
      </c>
      <c r="U30" s="84" t="s">
        <v>91</v>
      </c>
      <c r="V30" s="85"/>
      <c r="W30" s="85"/>
      <c r="X30" s="85"/>
      <c r="Y30" s="85"/>
    </row>
    <row r="31" spans="1:26" ht="51.75" thickBot="1">
      <c r="A31" s="86" t="s">
        <v>114</v>
      </c>
      <c r="B31" s="87">
        <v>0.92600000000000005</v>
      </c>
      <c r="C31" s="88" t="s">
        <v>33</v>
      </c>
      <c r="D31" s="89" t="s">
        <v>33</v>
      </c>
      <c r="E31" s="87">
        <v>0.90500000000000003</v>
      </c>
      <c r="F31" s="87">
        <v>0.89700000000000002</v>
      </c>
      <c r="G31" s="87">
        <v>0.92100000000000004</v>
      </c>
      <c r="H31" s="87">
        <v>0.89100000000000001</v>
      </c>
      <c r="I31" s="87">
        <v>0.91200000000000003</v>
      </c>
      <c r="J31" s="87">
        <v>0.89900000000000002</v>
      </c>
      <c r="K31" s="87">
        <v>0.93100000000000005</v>
      </c>
      <c r="L31" s="87">
        <v>0.93100000000000005</v>
      </c>
      <c r="M31" s="87">
        <v>0.94199999999999995</v>
      </c>
      <c r="N31" s="90">
        <v>4</v>
      </c>
      <c r="O31" s="91">
        <v>4</v>
      </c>
      <c r="P31" s="92">
        <v>4</v>
      </c>
      <c r="Q31" s="90">
        <v>-1</v>
      </c>
      <c r="R31" s="91">
        <v>-1</v>
      </c>
      <c r="S31" s="92">
        <v>-1</v>
      </c>
      <c r="T31" s="88" t="s">
        <v>115</v>
      </c>
      <c r="U31" s="88" t="s">
        <v>116</v>
      </c>
      <c r="V31" s="88"/>
      <c r="W31" s="88"/>
      <c r="X31" s="88"/>
      <c r="Y31" s="88"/>
    </row>
    <row r="32" spans="1:26" ht="64.5" thickBot="1">
      <c r="A32" s="93" t="s">
        <v>117</v>
      </c>
      <c r="B32" s="94">
        <v>3820</v>
      </c>
      <c r="C32" s="94">
        <v>1043</v>
      </c>
      <c r="D32" s="94">
        <v>2777</v>
      </c>
      <c r="E32" s="95">
        <v>10</v>
      </c>
      <c r="F32" s="95">
        <v>302</v>
      </c>
      <c r="G32" s="95">
        <v>57</v>
      </c>
      <c r="H32" s="95">
        <v>61</v>
      </c>
      <c r="I32" s="95">
        <v>603</v>
      </c>
      <c r="J32" s="95">
        <v>512</v>
      </c>
      <c r="K32" s="95">
        <v>11</v>
      </c>
      <c r="L32" s="95">
        <v>10</v>
      </c>
      <c r="M32" s="95">
        <v>0</v>
      </c>
      <c r="N32" s="95">
        <v>1</v>
      </c>
      <c r="O32" s="95">
        <v>2</v>
      </c>
      <c r="P32" s="95">
        <v>1</v>
      </c>
      <c r="Q32" s="103">
        <v>0</v>
      </c>
      <c r="R32" s="104">
        <v>0</v>
      </c>
      <c r="S32" s="105">
        <v>0</v>
      </c>
      <c r="T32" s="95" t="s">
        <v>46</v>
      </c>
      <c r="U32" s="95" t="s">
        <v>111</v>
      </c>
      <c r="V32" s="96"/>
      <c r="W32" s="96"/>
      <c r="X32" s="96"/>
      <c r="Y32" s="96"/>
    </row>
    <row r="33" spans="1:25" ht="51.75" thickBot="1">
      <c r="A33" s="93" t="s">
        <v>118</v>
      </c>
      <c r="B33" s="97">
        <v>2.3E-2</v>
      </c>
      <c r="C33" s="97">
        <v>4.7E-2</v>
      </c>
      <c r="D33" s="97">
        <v>1.47E-2</v>
      </c>
      <c r="E33" s="95" t="s">
        <v>33</v>
      </c>
      <c r="F33" s="97">
        <v>3.44E-2</v>
      </c>
      <c r="G33" s="97">
        <v>-0.15709999999999999</v>
      </c>
      <c r="H33" s="97">
        <v>3.2399999999999998E-2</v>
      </c>
      <c r="I33" s="97">
        <v>2.7000000000000001E-3</v>
      </c>
      <c r="J33" s="97">
        <v>-4.0000000000000002E-4</v>
      </c>
      <c r="K33" s="95" t="s">
        <v>33</v>
      </c>
      <c r="L33" s="95" t="s">
        <v>33</v>
      </c>
      <c r="M33" s="95" t="s">
        <v>33</v>
      </c>
      <c r="N33" s="95">
        <v>3</v>
      </c>
      <c r="O33" s="95">
        <v>1</v>
      </c>
      <c r="P33" s="95">
        <v>3</v>
      </c>
      <c r="Q33" s="98"/>
      <c r="R33" s="98"/>
      <c r="S33" s="98"/>
      <c r="T33" s="95" t="s">
        <v>46</v>
      </c>
      <c r="U33" s="95" t="s">
        <v>111</v>
      </c>
      <c r="V33" s="96"/>
      <c r="W33" s="96"/>
      <c r="X33" s="96"/>
      <c r="Y33" s="96"/>
    </row>
    <row r="34" spans="1:25" ht="64.5" thickBot="1">
      <c r="A34" s="93" t="s">
        <v>119</v>
      </c>
      <c r="B34" s="94">
        <v>7374</v>
      </c>
      <c r="C34" s="94">
        <v>2665</v>
      </c>
      <c r="D34" s="94">
        <v>4709</v>
      </c>
      <c r="E34" s="95">
        <v>428</v>
      </c>
      <c r="F34" s="94">
        <v>10124</v>
      </c>
      <c r="G34" s="94">
        <v>33739</v>
      </c>
      <c r="H34" s="95">
        <v>297</v>
      </c>
      <c r="I34" s="94">
        <v>6637</v>
      </c>
      <c r="J34" s="94">
        <v>2086</v>
      </c>
      <c r="K34" s="94">
        <v>1015</v>
      </c>
      <c r="L34" s="95">
        <v>21</v>
      </c>
      <c r="M34" s="95">
        <v>4</v>
      </c>
      <c r="N34" s="95">
        <v>3</v>
      </c>
      <c r="O34" s="95">
        <v>5</v>
      </c>
      <c r="P34" s="95">
        <v>4</v>
      </c>
      <c r="Q34" s="103">
        <v>0</v>
      </c>
      <c r="R34" s="104">
        <v>0</v>
      </c>
      <c r="S34" s="105">
        <v>0</v>
      </c>
      <c r="T34" s="95" t="s">
        <v>46</v>
      </c>
      <c r="U34" s="95" t="s">
        <v>111</v>
      </c>
      <c r="V34" s="96"/>
      <c r="W34" s="96"/>
      <c r="X34" s="96"/>
      <c r="Y34" s="96"/>
    </row>
    <row r="35" spans="1:25" ht="51.75" thickBot="1">
      <c r="A35" s="99" t="s">
        <v>118</v>
      </c>
      <c r="B35" s="100">
        <v>4.8500000000000001E-2</v>
      </c>
      <c r="C35" s="100">
        <v>3.2199999999999999E-2</v>
      </c>
      <c r="D35" s="100">
        <v>5.8400000000000001E-2</v>
      </c>
      <c r="E35" s="100">
        <v>1.6199999999999999E-2</v>
      </c>
      <c r="F35" s="100">
        <v>2.2800000000000001E-2</v>
      </c>
      <c r="G35" s="100">
        <v>3.7999999999999999E-2</v>
      </c>
      <c r="H35" s="100">
        <v>1.1900000000000001E-2</v>
      </c>
      <c r="I35" s="100">
        <v>1.77E-2</v>
      </c>
      <c r="J35" s="100">
        <v>-4.7000000000000002E-3</v>
      </c>
      <c r="K35" s="100">
        <v>1E-3</v>
      </c>
      <c r="L35" s="100">
        <v>0.2457</v>
      </c>
      <c r="M35" s="100">
        <v>5.9200000000000003E-2</v>
      </c>
      <c r="N35" s="101">
        <v>3</v>
      </c>
      <c r="O35" s="101">
        <v>5</v>
      </c>
      <c r="P35" s="101">
        <v>3</v>
      </c>
      <c r="Q35" s="102"/>
      <c r="R35" s="102"/>
      <c r="S35" s="102"/>
      <c r="T35" s="101" t="s">
        <v>46</v>
      </c>
      <c r="U35" s="101" t="s">
        <v>111</v>
      </c>
      <c r="V35" s="102"/>
      <c r="W35" s="102"/>
      <c r="X35" s="102"/>
      <c r="Y35" s="102"/>
    </row>
    <row r="36" spans="1:25" ht="77.25" thickBot="1">
      <c r="A36" s="106" t="s">
        <v>120</v>
      </c>
      <c r="B36" s="107">
        <v>7.1999999999999995E-2</v>
      </c>
      <c r="C36" s="107">
        <v>8.5000000000000006E-2</v>
      </c>
      <c r="D36" s="107">
        <v>1.0999999999999999E-2</v>
      </c>
      <c r="E36" s="107">
        <v>5.7000000000000002E-2</v>
      </c>
      <c r="F36" s="107">
        <v>4.9000000000000002E-2</v>
      </c>
      <c r="G36" s="107">
        <v>7.6999999999999999E-2</v>
      </c>
      <c r="H36" s="107">
        <v>6.5000000000000002E-2</v>
      </c>
      <c r="I36" s="107">
        <v>5.8000000000000003E-2</v>
      </c>
      <c r="J36" s="107">
        <v>6.5000000000000002E-2</v>
      </c>
      <c r="K36" s="107">
        <v>4.2000000000000003E-2</v>
      </c>
      <c r="L36" s="107">
        <v>0.11700000000000001</v>
      </c>
      <c r="M36" s="107">
        <v>8.3000000000000004E-2</v>
      </c>
      <c r="N36" s="108">
        <v>4</v>
      </c>
      <c r="O36" s="108">
        <v>2</v>
      </c>
      <c r="P36" s="108">
        <v>11</v>
      </c>
      <c r="Q36" s="115">
        <v>0</v>
      </c>
      <c r="R36" s="116">
        <v>0</v>
      </c>
      <c r="S36" s="117">
        <v>0</v>
      </c>
      <c r="T36" s="108" t="s">
        <v>121</v>
      </c>
      <c r="U36" s="109" t="s">
        <v>122</v>
      </c>
      <c r="V36" s="110"/>
      <c r="W36" s="110"/>
      <c r="X36" s="110"/>
      <c r="Y36" s="110"/>
    </row>
    <row r="37" spans="1:25" ht="102.75" thickBot="1">
      <c r="A37" s="106" t="s">
        <v>123</v>
      </c>
      <c r="B37" s="107">
        <v>3.6799999999999999E-2</v>
      </c>
      <c r="C37" s="107">
        <v>3.8600000000000002E-2</v>
      </c>
      <c r="D37" s="107">
        <v>-2.1399999999999999E-2</v>
      </c>
      <c r="E37" s="107">
        <v>2.4299999999999999E-2</v>
      </c>
      <c r="F37" s="107">
        <v>6.7000000000000002E-3</v>
      </c>
      <c r="G37" s="107">
        <v>2.01E-2</v>
      </c>
      <c r="H37" s="107">
        <v>4.0899999999999999E-2</v>
      </c>
      <c r="I37" s="107">
        <v>1.8100000000000002E-2</v>
      </c>
      <c r="J37" s="107">
        <v>2.63E-2</v>
      </c>
      <c r="K37" s="107">
        <v>1.61E-2</v>
      </c>
      <c r="L37" s="107">
        <v>1.1999999999999999E-3</v>
      </c>
      <c r="M37" s="107">
        <v>3.0800000000000001E-2</v>
      </c>
      <c r="N37" s="108">
        <v>2</v>
      </c>
      <c r="O37" s="108">
        <v>2</v>
      </c>
      <c r="P37" s="108">
        <v>11</v>
      </c>
      <c r="Q37" s="110"/>
      <c r="R37" s="110"/>
      <c r="S37" s="110"/>
      <c r="T37" s="108" t="s">
        <v>121</v>
      </c>
      <c r="U37" s="109" t="s">
        <v>122</v>
      </c>
      <c r="V37" s="110"/>
      <c r="W37" s="110"/>
      <c r="X37" s="110"/>
      <c r="Y37" s="110"/>
    </row>
    <row r="38" spans="1:25" ht="90" thickBot="1">
      <c r="A38" s="106" t="s">
        <v>124</v>
      </c>
      <c r="B38" s="107">
        <v>3.0099999999999998E-2</v>
      </c>
      <c r="C38" s="107">
        <v>3.2800000000000003E-2</v>
      </c>
      <c r="D38" s="107">
        <v>5.7000000000000002E-3</v>
      </c>
      <c r="E38" s="107">
        <v>1.83E-2</v>
      </c>
      <c r="F38" s="107">
        <v>1.2500000000000001E-2</v>
      </c>
      <c r="G38" s="107">
        <v>2.2599999999999999E-2</v>
      </c>
      <c r="H38" s="107">
        <v>2.4799999999999999E-2</v>
      </c>
      <c r="I38" s="107">
        <v>2.8000000000000001E-2</v>
      </c>
      <c r="J38" s="107">
        <v>8.8000000000000005E-3</v>
      </c>
      <c r="K38" s="107">
        <v>1.09E-2</v>
      </c>
      <c r="L38" s="107">
        <v>1.04E-2</v>
      </c>
      <c r="M38" s="107">
        <v>0.02</v>
      </c>
      <c r="N38" s="108">
        <v>1</v>
      </c>
      <c r="O38" s="108">
        <v>1</v>
      </c>
      <c r="P38" s="108">
        <v>11</v>
      </c>
      <c r="Q38" s="110"/>
      <c r="R38" s="110"/>
      <c r="S38" s="110"/>
      <c r="T38" s="108" t="s">
        <v>46</v>
      </c>
      <c r="U38" s="108" t="s">
        <v>37</v>
      </c>
      <c r="V38" s="110"/>
      <c r="W38" s="110"/>
      <c r="X38" s="110"/>
      <c r="Y38" s="110"/>
    </row>
    <row r="39" spans="1:25" ht="77.25" thickBot="1">
      <c r="A39" s="111" t="s">
        <v>30</v>
      </c>
      <c r="B39" s="112" t="s">
        <v>33</v>
      </c>
      <c r="C39" s="112">
        <v>10.7</v>
      </c>
      <c r="D39" s="112" t="s">
        <v>33</v>
      </c>
      <c r="E39" s="112">
        <v>11.1</v>
      </c>
      <c r="F39" s="112">
        <v>11.8</v>
      </c>
      <c r="G39" s="112">
        <v>10.5</v>
      </c>
      <c r="H39" s="112">
        <v>11.1</v>
      </c>
      <c r="I39" s="112">
        <v>11.1</v>
      </c>
      <c r="J39" s="112">
        <v>13.5</v>
      </c>
      <c r="K39" s="112">
        <v>9.8000000000000007</v>
      </c>
      <c r="L39" s="112" t="s">
        <v>33</v>
      </c>
      <c r="M39" s="112">
        <v>10.4</v>
      </c>
      <c r="N39" s="112"/>
      <c r="O39" s="112">
        <v>4</v>
      </c>
      <c r="P39" s="112"/>
      <c r="Q39" s="113"/>
      <c r="R39" s="113"/>
      <c r="S39" s="113"/>
      <c r="T39" s="113"/>
      <c r="U39" s="113"/>
      <c r="V39" s="113"/>
      <c r="W39" s="113"/>
      <c r="X39" s="113"/>
      <c r="Y39" s="113"/>
    </row>
    <row r="40" spans="1:25" ht="90" thickBot="1">
      <c r="A40" s="111" t="s">
        <v>125</v>
      </c>
      <c r="B40" s="114">
        <v>0.82</v>
      </c>
      <c r="C40" s="114">
        <v>0.81</v>
      </c>
      <c r="D40" s="114">
        <v>0.83</v>
      </c>
      <c r="E40" s="114">
        <v>0.67</v>
      </c>
      <c r="F40" s="112" t="s">
        <v>33</v>
      </c>
      <c r="G40" s="114">
        <v>0.78</v>
      </c>
      <c r="H40" s="114">
        <v>0.74</v>
      </c>
      <c r="I40" s="114">
        <v>0.76</v>
      </c>
      <c r="J40" s="114">
        <v>0.54</v>
      </c>
      <c r="K40" s="114">
        <v>0.71</v>
      </c>
      <c r="L40" s="114">
        <v>0.63</v>
      </c>
      <c r="M40" s="114">
        <v>0.75</v>
      </c>
      <c r="N40" s="112"/>
      <c r="O40" s="112">
        <v>2</v>
      </c>
      <c r="P40" s="112">
        <v>1</v>
      </c>
      <c r="Q40" s="113"/>
      <c r="R40" s="113"/>
      <c r="S40" s="113"/>
      <c r="T40" s="113"/>
      <c r="U40" s="113"/>
      <c r="V40" s="113"/>
      <c r="W40" s="113"/>
      <c r="X40" s="113"/>
      <c r="Y40" s="113"/>
    </row>
  </sheetData>
  <mergeCells count="1">
    <mergeCell ref="Q23:S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2018-02-02T17:14:06Z</dcterms:modifi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Matthieu TURPIN</cp:lastModifiedBy>
  <dcterms:modified xsi:type="dcterms:W3CDTF">2018-02-04T20:54:30Z</dcterms:modified>
</cp:coreProperties>
</file>